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50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027" i="1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<sst xmlns="http://schemas.openxmlformats.org/spreadsheetml/2006/main" count="75986" uniqueCount="3481">
  <si>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</si>
  <si>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</si>
  <si>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</si>
  <si>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</si>
  <si>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</si>
  <si>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</si>
  <si>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</si>
  <si>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</si>
  <si>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</si>
  <si>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</si>
  <si>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</si>
  <si>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</si>
  <si>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</si>
  <si>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</si>
  <si>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</si>
  <si>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</si>
  <si>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</si>
  <si>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</si>
  <si>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</si>
  <si>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</si>
  <si>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</si>
  <si>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</si>
  <si>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</si>
  <si>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</si>
  <si>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</si>
  <si>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</si>
  <si>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</si>
  <si>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</si>
  <si>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</si>
  <si>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</si>
  <si>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</si>
  <si>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</si>
  <si>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</si>
  <si>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</si>
  <si>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</si>
  <si>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</si>
  <si>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</si>
  <si>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</si>
  <si>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</si>
  <si>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</si>
  <si>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</si>
  <si>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</si>
  <si>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</si>
  <si>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</si>
  <si>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</si>
  <si>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</si>
  <si>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</si>
  <si>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</si>
  <si>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</si>
  <si>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</si>
  <si>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</si>
  <si>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</si>
  <si>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</si>
  <si>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</si>
  <si>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</si>
  <si>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</si>
  <si>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</si>
  <si>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</si>
  <si>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</si>
  <si>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</si>
  <si>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</si>
  <si>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</si>
  <si>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</si>
  <si>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</si>
  <si>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</si>
  <si>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</si>
  <si>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</si>
  <si>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</si>
  <si>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</si>
  <si>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</si>
  <si>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</si>
  <si>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</si>
  <si>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</si>
  <si>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</si>
  <si>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</si>
  <si>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</si>
  <si>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</si>
  <si>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</si>
  <si>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</si>
  <si>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UITEN</t>
  </si>
  <si>
    <t>UITENHAGE</t>
  </si>
  <si>
    <t xml:space="preserve">TURNCO ENGINEERING CC              </t>
  </si>
  <si>
    <t>ON1</t>
  </si>
  <si>
    <t>GRANT SMITH</t>
  </si>
  <si>
    <t>Abram Machaka</t>
  </si>
  <si>
    <t>Quinton</t>
  </si>
  <si>
    <t>yes</t>
  </si>
  <si>
    <t>POD received from cell 0605616935 M</t>
  </si>
  <si>
    <t>PARCEL</t>
  </si>
  <si>
    <t>no</t>
  </si>
  <si>
    <t>CAPET</t>
  </si>
  <si>
    <t>CAPE TOWN</t>
  </si>
  <si>
    <t xml:space="preserve">UNIVERSITY OF CAPE TOWN            </t>
  </si>
  <si>
    <t>Carol</t>
  </si>
  <si>
    <t>POD received from cell 0835346652 M</t>
  </si>
  <si>
    <t>ALBE2</t>
  </si>
  <si>
    <t>ALBERTON</t>
  </si>
  <si>
    <t xml:space="preserve">UMOYA AUTOMATION CC                </t>
  </si>
  <si>
    <t>SASH</t>
  </si>
  <si>
    <t>bernie</t>
  </si>
  <si>
    <t>POD received from cell 0727172649 M</t>
  </si>
  <si>
    <t>PRETO</t>
  </si>
  <si>
    <t>PRETORIA</t>
  </si>
  <si>
    <t xml:space="preserve">CROWN CHICKENS                     </t>
  </si>
  <si>
    <t>lucy</t>
  </si>
  <si>
    <t>POD received from cell 0827418949 M</t>
  </si>
  <si>
    <t>PORT3</t>
  </si>
  <si>
    <t>PORT ELIZABETH</t>
  </si>
  <si>
    <t xml:space="preserve">CONTINENTAL TYRE SA                </t>
  </si>
  <si>
    <t>Receiving</t>
  </si>
  <si>
    <t>Richard</t>
  </si>
  <si>
    <t>POD received from cell 0848977566 M</t>
  </si>
  <si>
    <t>DURBA</t>
  </si>
  <si>
    <t>DURBAN</t>
  </si>
  <si>
    <t xml:space="preserve">TOTAL POWER CONTACT CC             </t>
  </si>
  <si>
    <t>SHABIR ADAM</t>
  </si>
  <si>
    <t>shane</t>
  </si>
  <si>
    <t>POD received from cell 0765278339 M</t>
  </si>
  <si>
    <t>PIET1</t>
  </si>
  <si>
    <t>PIETERMARITZBURG</t>
  </si>
  <si>
    <t xml:space="preserve">EGLI PRECISION ENGINEERING PTY     </t>
  </si>
  <si>
    <t>RECEIVING</t>
  </si>
  <si>
    <t xml:space="preserve">VUKILE                        </t>
  </si>
  <si>
    <t xml:space="preserve">                                        </t>
  </si>
  <si>
    <t>JOHAN</t>
  </si>
  <si>
    <t>JOHANNESBURG</t>
  </si>
  <si>
    <t xml:space="preserve">QUALITECHS                         </t>
  </si>
  <si>
    <t xml:space="preserve">sam                           </t>
  </si>
  <si>
    <t xml:space="preserve">JENDAMARK AUTOMATION PTY LTD       </t>
  </si>
  <si>
    <t>shaarik</t>
  </si>
  <si>
    <t xml:space="preserve">CLIFFORD MACHINES   TECHNOLOGY     </t>
  </si>
  <si>
    <t>Cedric</t>
  </si>
  <si>
    <t>POD received from cell 0843680350 M</t>
  </si>
  <si>
    <t>EAST</t>
  </si>
  <si>
    <t>EAST LONDON</t>
  </si>
  <si>
    <t xml:space="preserve">BMG EAST LONDON                    </t>
  </si>
  <si>
    <t>erve</t>
  </si>
  <si>
    <t>POD received from cell 0834172191 M</t>
  </si>
  <si>
    <t xml:space="preserve">P T SCALE SERVICE CC               </t>
  </si>
  <si>
    <t>malinda</t>
  </si>
  <si>
    <t>POD received from cell 07466644640 M</t>
  </si>
  <si>
    <t xml:space="preserve">KANSAI PLASCON (PTY) LTD           </t>
  </si>
  <si>
    <t>RECIEVING</t>
  </si>
  <si>
    <t xml:space="preserve">musa                          </t>
  </si>
  <si>
    <t>Appointment required</t>
  </si>
  <si>
    <t>ssh</t>
  </si>
  <si>
    <t xml:space="preserve">POD received from cell 0609818648 M     </t>
  </si>
  <si>
    <t>Flyer</t>
  </si>
  <si>
    <t xml:space="preserve">L OREAL MANUFACTURING (PTY)LTD     </t>
  </si>
  <si>
    <t>sello</t>
  </si>
  <si>
    <t xml:space="preserve">CLURE PROJECTS CC                  </t>
  </si>
  <si>
    <t>nathan</t>
  </si>
  <si>
    <t>fes1162720656</t>
  </si>
  <si>
    <t xml:space="preserve">FAURECIA EXHAUST SYSTEMS (PTY)     </t>
  </si>
  <si>
    <t>kathy</t>
  </si>
  <si>
    <t>MIDRA</t>
  </si>
  <si>
    <t>MIDRAND</t>
  </si>
  <si>
    <t xml:space="preserve">SOLID WEDGE SERVICES CC            </t>
  </si>
  <si>
    <t>MARIA</t>
  </si>
  <si>
    <t>POD received from cell 0792153175 M</t>
  </si>
  <si>
    <t xml:space="preserve">COMPRESSED AIR EQUIPMENT           </t>
  </si>
  <si>
    <t>Recieving</t>
  </si>
  <si>
    <t>noma</t>
  </si>
  <si>
    <t>POD received from cell 0848255037 M</t>
  </si>
  <si>
    <t>LADYS</t>
  </si>
  <si>
    <t>LADYSMITH (NTL)</t>
  </si>
  <si>
    <t xml:space="preserve">LADYSMITH TRADING CO.              </t>
  </si>
  <si>
    <t>FREEMAM</t>
  </si>
  <si>
    <t>POD received from cell 0735504483 M</t>
  </si>
  <si>
    <t xml:space="preserve">0017063719 G.U.D Holding           </t>
  </si>
  <si>
    <t>annitha</t>
  </si>
  <si>
    <t>POD received from cell 0732912108 M</t>
  </si>
  <si>
    <t>KRUGE</t>
  </si>
  <si>
    <t>KRUGERSDORP</t>
  </si>
  <si>
    <t xml:space="preserve">WATCH TOWER BIBLE TRACT SOCIET     </t>
  </si>
  <si>
    <t xml:space="preserve">keegan                        </t>
  </si>
  <si>
    <t>PINET</t>
  </si>
  <si>
    <t>PINETOWN</t>
  </si>
  <si>
    <t xml:space="preserve">NATIONAL PACKAGING SYSTEMS         </t>
  </si>
  <si>
    <t>MOSES</t>
  </si>
  <si>
    <t>POD received from cell 0733966806 M</t>
  </si>
  <si>
    <t xml:space="preserve">EMENEM INDUSTRIAL CC               </t>
  </si>
  <si>
    <t>Nicolette</t>
  </si>
  <si>
    <t>POD received from cell 0729919507 M</t>
  </si>
  <si>
    <t>BENON</t>
  </si>
  <si>
    <t>BENONI</t>
  </si>
  <si>
    <t xml:space="preserve">BRADCHER INDUSTRIAL WHOLESALER     </t>
  </si>
  <si>
    <t>RECEIVER</t>
  </si>
  <si>
    <t xml:space="preserve">Jackie                        </t>
  </si>
  <si>
    <t xml:space="preserve">POD received from cell 0717669109 M     </t>
  </si>
  <si>
    <t xml:space="preserve">ACEPAK PACKAGING SYSTEMS           </t>
  </si>
  <si>
    <t>Freddy</t>
  </si>
  <si>
    <t>SOME2</t>
  </si>
  <si>
    <t>SOMERSET WEST</t>
  </si>
  <si>
    <t xml:space="preserve">GOSSAMER STRUCTURES CC             </t>
  </si>
  <si>
    <t>Janine</t>
  </si>
  <si>
    <t xml:space="preserve">LITTLE GREEN BEVERAGES             </t>
  </si>
  <si>
    <t>Shaun</t>
  </si>
  <si>
    <t>POD received from cell 0739524922 M</t>
  </si>
  <si>
    <t xml:space="preserve">PFERD SA PTY LTD                   </t>
  </si>
  <si>
    <t>MAINTENANCE STORES</t>
  </si>
  <si>
    <t>?</t>
  </si>
  <si>
    <t>GERMI</t>
  </si>
  <si>
    <t>GERMISTON</t>
  </si>
  <si>
    <t xml:space="preserve">CONSOL GLASS                       </t>
  </si>
  <si>
    <t xml:space="preserve">phillip                       </t>
  </si>
  <si>
    <t xml:space="preserve">NR EXTREME ENGINEERING   PIPIN     </t>
  </si>
  <si>
    <t>jennifer</t>
  </si>
  <si>
    <t xml:space="preserve">EBERSPACHER ROSSLYN                </t>
  </si>
  <si>
    <t>CLINTON AKOM</t>
  </si>
  <si>
    <t>caroline</t>
  </si>
  <si>
    <t xml:space="preserve">FESTO                              </t>
  </si>
  <si>
    <t>ABRAM MACHAKA</t>
  </si>
  <si>
    <t>POD received from cell 0749641064 M</t>
  </si>
  <si>
    <t>PAARL</t>
  </si>
  <si>
    <t xml:space="preserve">FILMATIC PACKAGING SYSTEM (PTY     </t>
  </si>
  <si>
    <t>Gary</t>
  </si>
  <si>
    <t>POD received from cell 0725006442 M</t>
  </si>
  <si>
    <t xml:space="preserve">BEARING MAN GROUP                  </t>
  </si>
  <si>
    <t>RESEND</t>
  </si>
  <si>
    <t>satib</t>
  </si>
  <si>
    <t>POD received from cell 0738058187 M</t>
  </si>
  <si>
    <t xml:space="preserve">TOPLINE TOOLING (PTY) LTD          </t>
  </si>
  <si>
    <t>Maxwell</t>
  </si>
  <si>
    <t>POD received from cell 0625063292 M</t>
  </si>
  <si>
    <t>JACO1</t>
  </si>
  <si>
    <t>JACOBS</t>
  </si>
  <si>
    <t xml:space="preserve">AMS BEARING CC                     </t>
  </si>
  <si>
    <t>mandla</t>
  </si>
  <si>
    <t>POD received from cell 0620923972 M</t>
  </si>
  <si>
    <t xml:space="preserve">DE BEERS GROUP SERVICES            </t>
  </si>
  <si>
    <t>illage</t>
  </si>
  <si>
    <t xml:space="preserve">CTP WEB PRINTERS JOHANNESBURG      </t>
  </si>
  <si>
    <t>Elijah</t>
  </si>
  <si>
    <t xml:space="preserve">LION MATCH PRODUCTS                </t>
  </si>
  <si>
    <t>Vivo</t>
  </si>
  <si>
    <t xml:space="preserve">BEARING   HYDRAULIC SPARES         </t>
  </si>
  <si>
    <t>nomvula</t>
  </si>
  <si>
    <t>POD received from cell 0833616148 M</t>
  </si>
  <si>
    <t xml:space="preserve">b emma                        </t>
  </si>
  <si>
    <t xml:space="preserve">NAMPAK LIQUID PACKAGING            </t>
  </si>
  <si>
    <t>Sandy</t>
  </si>
  <si>
    <t xml:space="preserve">S4 INTEGRATION (PTY) LTD           </t>
  </si>
  <si>
    <t>Ayanda</t>
  </si>
  <si>
    <t>POD received from cell 0847768401 M</t>
  </si>
  <si>
    <t xml:space="preserve">COLLABORATIVE PACKING SOLUTION     </t>
  </si>
  <si>
    <t>RECIEVER</t>
  </si>
  <si>
    <t>ruth</t>
  </si>
  <si>
    <t xml:space="preserve">EGLI PRECISION ENGENNERING PTY     </t>
  </si>
  <si>
    <t xml:space="preserve">Vukile                        </t>
  </si>
  <si>
    <t xml:space="preserve">POD received from cell 0795396044 M     </t>
  </si>
  <si>
    <t>ISIPI</t>
  </si>
  <si>
    <t>ISIPINGO</t>
  </si>
  <si>
    <t xml:space="preserve">CROSSLEY HOLDINGS                  </t>
  </si>
  <si>
    <t>Marima</t>
  </si>
  <si>
    <t>POD received from cell 0744435413 M</t>
  </si>
  <si>
    <t xml:space="preserve">FEDERAL MOGUL ENGINE BEARINGS      </t>
  </si>
  <si>
    <t>Prem</t>
  </si>
  <si>
    <t xml:space="preserve">GLUE MORE PARCKAGING               </t>
  </si>
  <si>
    <t xml:space="preserve">Magreit                       </t>
  </si>
  <si>
    <t xml:space="preserve">AUTO X PTY LTD                     </t>
  </si>
  <si>
    <t>alex</t>
  </si>
  <si>
    <t xml:space="preserve">FESTO PLZ                          </t>
  </si>
  <si>
    <t>BERDUS</t>
  </si>
  <si>
    <t>Patrick</t>
  </si>
  <si>
    <t xml:space="preserve">AUTOMOULD PTY LTD                  </t>
  </si>
  <si>
    <t>MAX HARRICHUND</t>
  </si>
  <si>
    <t>Max Max</t>
  </si>
  <si>
    <t xml:space="preserve">GUD HOLDINGS (PTY)LTD              </t>
  </si>
  <si>
    <t>Conraid</t>
  </si>
  <si>
    <t>DESPA</t>
  </si>
  <si>
    <t>DESPATCH</t>
  </si>
  <si>
    <t xml:space="preserve">CLOVER SA (PTY) LTD                </t>
  </si>
  <si>
    <t>ROZELLE SCOTSON</t>
  </si>
  <si>
    <t>clinton</t>
  </si>
  <si>
    <t>POD received from cell 0614103810 M</t>
  </si>
  <si>
    <t xml:space="preserve">NESTLE SOUTH AFRICA (PTY) L.T.     </t>
  </si>
  <si>
    <t xml:space="preserve">Terry                         </t>
  </si>
  <si>
    <t>AVW</t>
  </si>
  <si>
    <t xml:space="preserve">POD received from cell 0736644806 M     </t>
  </si>
  <si>
    <t>preto</t>
  </si>
  <si>
    <t xml:space="preserve">CSIR CENTRAL PROCUREMENT OFFIC     </t>
  </si>
  <si>
    <t>RD</t>
  </si>
  <si>
    <t>Grace</t>
  </si>
  <si>
    <t>POD received from cell 0788931763 M</t>
  </si>
  <si>
    <t>RDR</t>
  </si>
  <si>
    <t xml:space="preserve">P V T                              </t>
  </si>
  <si>
    <t>NIREN</t>
  </si>
  <si>
    <t>Bjngo</t>
  </si>
  <si>
    <t>RDD</t>
  </si>
  <si>
    <t xml:space="preserve">RIDGE DISTRIBUTORS CC              </t>
  </si>
  <si>
    <t>Allyson</t>
  </si>
  <si>
    <t>SASOL</t>
  </si>
  <si>
    <t>SASOLBURG</t>
  </si>
  <si>
    <t xml:space="preserve">COREL INSTRUMENTATION   CONTRO     </t>
  </si>
  <si>
    <t>ILLEG</t>
  </si>
  <si>
    <t>WORCE</t>
  </si>
  <si>
    <t>WORCESTER</t>
  </si>
  <si>
    <t xml:space="preserve">GRW ENGINERING                     </t>
  </si>
  <si>
    <t>HARRY</t>
  </si>
  <si>
    <t>POD received from cell 0723786860 M</t>
  </si>
  <si>
    <t xml:space="preserve">MSG SYSTEMS                        </t>
  </si>
  <si>
    <t>MARK</t>
  </si>
  <si>
    <t>yamkela</t>
  </si>
  <si>
    <t>KINGW</t>
  </si>
  <si>
    <t>KINGWILLIAMSTOWN</t>
  </si>
  <si>
    <t xml:space="preserve">REHAU POLYMER (PTY) LTD            </t>
  </si>
  <si>
    <t>Linda Kolisi</t>
  </si>
  <si>
    <t xml:space="preserve">FLEXICON AFRICA PTY LTD            </t>
  </si>
  <si>
    <t>a c meyer</t>
  </si>
  <si>
    <t xml:space="preserve">HACKMACK ENTERPRISES               </t>
  </si>
  <si>
    <t>james</t>
  </si>
  <si>
    <t xml:space="preserve">HYDRAQUIP                          </t>
  </si>
  <si>
    <t>Leoni</t>
  </si>
  <si>
    <t xml:space="preserve">H.G MOLENAAR (PTY) LTD             </t>
  </si>
  <si>
    <t>Werner</t>
  </si>
  <si>
    <t xml:space="preserve">LEAR ELECTRICAL                    </t>
  </si>
  <si>
    <t>TARRYN CHETTY</t>
  </si>
  <si>
    <t>Christopher</t>
  </si>
  <si>
    <t>Late linehaul</t>
  </si>
  <si>
    <t>UAT</t>
  </si>
  <si>
    <t xml:space="preserve">LAUB ENGIEERING PTY LTD            </t>
  </si>
  <si>
    <t>gerald</t>
  </si>
  <si>
    <t>POD received from cell 0745037779 M</t>
  </si>
  <si>
    <t xml:space="preserve">ADIENT PASDEC PTY                  </t>
  </si>
  <si>
    <t>s a adams</t>
  </si>
  <si>
    <t xml:space="preserve">TIGER CONSUMER BRANDS              </t>
  </si>
  <si>
    <t>CECIL</t>
  </si>
  <si>
    <t>merle</t>
  </si>
  <si>
    <t>POD received from cell 0638152011 M</t>
  </si>
  <si>
    <t xml:space="preserve">THE SOUTH AFRICAN BREWERIES LT     </t>
  </si>
  <si>
    <t>Neven</t>
  </si>
  <si>
    <t xml:space="preserve">PREMIER BAKERY                     </t>
  </si>
  <si>
    <t>philile</t>
  </si>
  <si>
    <t xml:space="preserve">MEXAN PRODUCTS                     </t>
  </si>
  <si>
    <t>Jason</t>
  </si>
  <si>
    <t xml:space="preserve">TIGER BRANDS SNACKS   TREATS       </t>
  </si>
  <si>
    <t>Engineering Stores</t>
  </si>
  <si>
    <t xml:space="preserve">kader                         </t>
  </si>
  <si>
    <t>VERWO</t>
  </si>
  <si>
    <t>CENTURION</t>
  </si>
  <si>
    <t xml:space="preserve">MAVTECH                            </t>
  </si>
  <si>
    <t>Neo</t>
  </si>
  <si>
    <t>POD received from cell 0725230163 M</t>
  </si>
  <si>
    <t>RANDB</t>
  </si>
  <si>
    <t>RANDBURG</t>
  </si>
  <si>
    <t xml:space="preserve">DIRECTECH                          </t>
  </si>
  <si>
    <t>dino</t>
  </si>
  <si>
    <t>POD received from cell 0742059629 M</t>
  </si>
  <si>
    <t>GEORG</t>
  </si>
  <si>
    <t>GEORGE</t>
  </si>
  <si>
    <t xml:space="preserve">SANMIK AGENCIES CC                 </t>
  </si>
  <si>
    <t>CLIVE</t>
  </si>
  <si>
    <t xml:space="preserve">BRIDGESTONE FIRESTONE              </t>
  </si>
  <si>
    <t>GENERAL STORES</t>
  </si>
  <si>
    <t>romano</t>
  </si>
  <si>
    <t xml:space="preserve">SPRAY TECH SA                      </t>
  </si>
  <si>
    <t>JACO</t>
  </si>
  <si>
    <t>carina</t>
  </si>
  <si>
    <t>POD received from cell 0796132179 M</t>
  </si>
  <si>
    <t xml:space="preserve">AEL MINING SERVICES LIMITED        </t>
  </si>
  <si>
    <t>thebejwa</t>
  </si>
  <si>
    <t>POD received from cell 0833788669 M</t>
  </si>
  <si>
    <t>MARINUS</t>
  </si>
  <si>
    <t>Missed cutoff</t>
  </si>
  <si>
    <t>NGF</t>
  </si>
  <si>
    <t xml:space="preserve">UNILEVER S.A (PTY)LTD              </t>
  </si>
  <si>
    <t>Elias</t>
  </si>
  <si>
    <t>POD received from cell 0837323487 M</t>
  </si>
  <si>
    <t xml:space="preserve">SAPPI SA LTD                       </t>
  </si>
  <si>
    <t>SIGNATURE</t>
  </si>
  <si>
    <t>Consignee not available)</t>
  </si>
  <si>
    <t>jap</t>
  </si>
  <si>
    <t xml:space="preserve">FELTEX AUTOMOTIVE DIVISION         </t>
  </si>
  <si>
    <t>Vitesh</t>
  </si>
  <si>
    <t xml:space="preserve">CONTINETAL BISCUITS PTY LTD        </t>
  </si>
  <si>
    <t>nomandla</t>
  </si>
  <si>
    <t xml:space="preserve">FLOWROX PTY LTD                    </t>
  </si>
  <si>
    <t>DAVID</t>
  </si>
  <si>
    <t>RDL</t>
  </si>
  <si>
    <t xml:space="preserve">SANOFI INDUSTRIES SA (PTY)LTD      </t>
  </si>
  <si>
    <t>albert</t>
  </si>
  <si>
    <t>ayanda</t>
  </si>
  <si>
    <t xml:space="preserve">MACSTEEL FLUID CONTROL             </t>
  </si>
  <si>
    <t xml:space="preserve">logan                         </t>
  </si>
  <si>
    <t xml:space="preserve">POD received from cell 0833938811 M     </t>
  </si>
  <si>
    <t xml:space="preserve">DNH MANUFACTURING (PTY) LTD        </t>
  </si>
  <si>
    <t>ROBERT</t>
  </si>
  <si>
    <t>robert</t>
  </si>
  <si>
    <t xml:space="preserve">KSNACKS                            </t>
  </si>
  <si>
    <t>neels</t>
  </si>
  <si>
    <t xml:space="preserve">BARNES REINFORCING INDUSTRIES      </t>
  </si>
  <si>
    <t>Amos</t>
  </si>
  <si>
    <t xml:space="preserve">FESTO CPT                          </t>
  </si>
  <si>
    <t>harlus</t>
  </si>
  <si>
    <t xml:space="preserve">DES GROUP (PTY)LTD                 </t>
  </si>
  <si>
    <t>Nicky</t>
  </si>
  <si>
    <t xml:space="preserve">FESTO DUR OFFICE                   </t>
  </si>
  <si>
    <t>skye</t>
  </si>
  <si>
    <t xml:space="preserve">caroline                      </t>
  </si>
  <si>
    <t xml:space="preserve">silence                       </t>
  </si>
  <si>
    <t xml:space="preserve">VICTORY ELECTRICAL CC              </t>
  </si>
  <si>
    <t>Saul</t>
  </si>
  <si>
    <t xml:space="preserve">QUALIPAK (PTY) LTD                 </t>
  </si>
  <si>
    <t>Cammy</t>
  </si>
  <si>
    <t>BRIT1</t>
  </si>
  <si>
    <t>BRITS</t>
  </si>
  <si>
    <t xml:space="preserve">RG BROSE AUTOMOTIVE COMPONENTS     </t>
  </si>
  <si>
    <t>george</t>
  </si>
  <si>
    <t>POD received from cell 0824745801 M</t>
  </si>
  <si>
    <t xml:space="preserve">FORD MOTORING CO OF SA             </t>
  </si>
  <si>
    <t>k a moloto</t>
  </si>
  <si>
    <t xml:space="preserve">UNILIVER SA                        </t>
  </si>
  <si>
    <t>noxolo</t>
  </si>
  <si>
    <t xml:space="preserve">mazwi                         </t>
  </si>
  <si>
    <t xml:space="preserve">POD received from cell 0844988662 M     </t>
  </si>
  <si>
    <t>VEENA</t>
  </si>
  <si>
    <t xml:space="preserve">JM FREE   ASSOCIATES C C           </t>
  </si>
  <si>
    <t>chris</t>
  </si>
  <si>
    <t xml:space="preserve">MAHLE BEHR SOUTH AFRCA (PTY) L     </t>
  </si>
  <si>
    <t>thobile</t>
  </si>
  <si>
    <t xml:space="preserve">PHARMACARE LTD T A ASPEN           </t>
  </si>
  <si>
    <t>shydon</t>
  </si>
  <si>
    <t xml:space="preserve">UNILEVER SOUTH AFRICA (PTY) LT     </t>
  </si>
  <si>
    <t>RECEVING   STORE</t>
  </si>
  <si>
    <t>sboniso</t>
  </si>
  <si>
    <t>POD received from cell 0833938811 M</t>
  </si>
  <si>
    <t xml:space="preserve">NAMPAK CLOSURES                    </t>
  </si>
  <si>
    <t>POD received from cell 0609818648 M</t>
  </si>
  <si>
    <t xml:space="preserve">PAK 2000 (PTY) LTD                 </t>
  </si>
  <si>
    <t>Precious</t>
  </si>
  <si>
    <t>HAMME</t>
  </si>
  <si>
    <t>OLD HAMMARSDALE</t>
  </si>
  <si>
    <t xml:space="preserve">RCL FOODS CONSUMER (PTY) LTD       </t>
  </si>
  <si>
    <t>Vukani</t>
  </si>
  <si>
    <t>POD received from cell 0795396044 M</t>
  </si>
  <si>
    <t xml:space="preserve">RCL FOODS CONSUMER (PTY)LTD        </t>
  </si>
  <si>
    <t xml:space="preserve">UNILEVER SA PTY LTD                </t>
  </si>
  <si>
    <t>phinda</t>
  </si>
  <si>
    <t xml:space="preserve">HULAMIN OPERATIONTS PTY LTD        </t>
  </si>
  <si>
    <t xml:space="preserve">Chris                         </t>
  </si>
  <si>
    <t xml:space="preserve">POD received from cell 0843680350 M     </t>
  </si>
  <si>
    <t xml:space="preserve">J.J PRECISION PLASTICS             </t>
  </si>
  <si>
    <t>STHANDIWE</t>
  </si>
  <si>
    <t xml:space="preserve">ALBANY BAKERIES A DIVISION OF      </t>
  </si>
  <si>
    <t>shaun</t>
  </si>
  <si>
    <t xml:space="preserve">MONDI LIMITED                      </t>
  </si>
  <si>
    <t xml:space="preserve">Varetia                       </t>
  </si>
  <si>
    <t xml:space="preserve">POD received from cell 0744435413 M     </t>
  </si>
  <si>
    <t xml:space="preserve">UNILEVER SA                        </t>
  </si>
  <si>
    <t>CHRISTIAN ZUKE</t>
  </si>
  <si>
    <t>ESTCO</t>
  </si>
  <si>
    <t>ESTCOURT</t>
  </si>
  <si>
    <t xml:space="preserve">NESTLE SOUTH AFRICA PTY LTD        </t>
  </si>
  <si>
    <t>l t naiker</t>
  </si>
  <si>
    <t>POD received from cell 0849917765 M</t>
  </si>
  <si>
    <t xml:space="preserve">VOLKSWAGEN OF SA (VC 3055)         </t>
  </si>
  <si>
    <t>nomvuyo</t>
  </si>
  <si>
    <t xml:space="preserve">BENTELER AUTOMOTIVE SA (PTY) L     </t>
  </si>
  <si>
    <t>sinethemba</t>
  </si>
  <si>
    <t xml:space="preserve">QUALITEC ENGINEERING CC            </t>
  </si>
  <si>
    <t>MONIQUE KUKLA</t>
  </si>
  <si>
    <t xml:space="preserve">r Holloway                    </t>
  </si>
  <si>
    <t xml:space="preserve">Neven                         </t>
  </si>
  <si>
    <t xml:space="preserve">BMO FOOD SERVICES                  </t>
  </si>
  <si>
    <t>KHALIPHA</t>
  </si>
  <si>
    <t xml:space="preserve">ILLOVO SUGAR LTD                   </t>
  </si>
  <si>
    <t>zakes</t>
  </si>
  <si>
    <t xml:space="preserve">ABSOLUTE AFRICA                    </t>
  </si>
  <si>
    <t>nuholas</t>
  </si>
  <si>
    <t>POD received from cell 0713017212 M</t>
  </si>
  <si>
    <t xml:space="preserve">BMW ROSSLYN                        </t>
  </si>
  <si>
    <t>Martin</t>
  </si>
  <si>
    <t xml:space="preserve">morongwa                      </t>
  </si>
  <si>
    <t>teb</t>
  </si>
  <si>
    <t xml:space="preserve">POD received from cell 0727949491 M     </t>
  </si>
  <si>
    <t xml:space="preserve">kabelo                        </t>
  </si>
  <si>
    <t xml:space="preserve">XYMECH (PTY)LTD                    </t>
  </si>
  <si>
    <t>z basson</t>
  </si>
  <si>
    <t xml:space="preserve">JOHNSON MATTHEY PTY LTD            </t>
  </si>
  <si>
    <t xml:space="preserve">ILLEG                         </t>
  </si>
  <si>
    <t>kfh</t>
  </si>
  <si>
    <t>BOKSB</t>
  </si>
  <si>
    <t>BOKSBURG</t>
  </si>
  <si>
    <t xml:space="preserve">GREENFIEDS                         </t>
  </si>
  <si>
    <t>Toy</t>
  </si>
  <si>
    <t>POD received from cell 0837842726 M</t>
  </si>
  <si>
    <t xml:space="preserve">EFAMATIC MACHINE TOOLS             </t>
  </si>
  <si>
    <t xml:space="preserve">walter                        </t>
  </si>
  <si>
    <t xml:space="preserve">FORD OF SOUTHERN AFRICA AX9WA      </t>
  </si>
  <si>
    <t>KURT</t>
  </si>
  <si>
    <t>POD received from cell 0836333439 M</t>
  </si>
  <si>
    <t>SOME1</t>
  </si>
  <si>
    <t>SOMERSET EAST</t>
  </si>
  <si>
    <t xml:space="preserve">P.J.ENGINEERING                    </t>
  </si>
  <si>
    <t>mariska</t>
  </si>
  <si>
    <t>shaarok</t>
  </si>
  <si>
    <t xml:space="preserve">BMG ROSSLYN 0182                   </t>
  </si>
  <si>
    <t>DONALD</t>
  </si>
  <si>
    <t>Rico</t>
  </si>
  <si>
    <t>ATLAN</t>
  </si>
  <si>
    <t>ATLANTIS</t>
  </si>
  <si>
    <t xml:space="preserve">ATLANTIS FOUNDRY                   </t>
  </si>
  <si>
    <t>Reagan</t>
  </si>
  <si>
    <t>POD received from cell 0844549356 M</t>
  </si>
  <si>
    <t xml:space="preserve">LIQUI BOX (PTY)LTD                 </t>
  </si>
  <si>
    <t xml:space="preserve">LOREN                         </t>
  </si>
  <si>
    <t xml:space="preserve">POD received from cell 0833656676 M     </t>
  </si>
  <si>
    <t xml:space="preserve">CAMERON                       </t>
  </si>
  <si>
    <t xml:space="preserve">MECHATRONICS                       </t>
  </si>
  <si>
    <t>giaan</t>
  </si>
  <si>
    <t xml:space="preserve">GOODYEAR SOUTH AFRICA PTY LTD      </t>
  </si>
  <si>
    <t>trevor</t>
  </si>
  <si>
    <t xml:space="preserve">COCA COLA PENINSULA BEVERAGES      </t>
  </si>
  <si>
    <t>anthea</t>
  </si>
  <si>
    <t>POD received from cell 0640497784 M</t>
  </si>
  <si>
    <t xml:space="preserve">NATIONAL BRANDS LTD BECKETTS       </t>
  </si>
  <si>
    <t>Jacob</t>
  </si>
  <si>
    <t xml:space="preserve">IEC HOLDEN                         </t>
  </si>
  <si>
    <t>NIVESH SINGH</t>
  </si>
  <si>
    <t>Nombulelo</t>
  </si>
  <si>
    <t xml:space="preserve">DISTELL                            </t>
  </si>
  <si>
    <t>VANDE</t>
  </si>
  <si>
    <t>VANDERBIJLPARK</t>
  </si>
  <si>
    <t xml:space="preserve">CAPE GATE                          </t>
  </si>
  <si>
    <t>Meshack</t>
  </si>
  <si>
    <t>POD received from cell 0726258782 M</t>
  </si>
  <si>
    <t xml:space="preserve">HYDROMATIC                         </t>
  </si>
  <si>
    <t>Keenan</t>
  </si>
  <si>
    <t xml:space="preserve">TRANSNET ENGINEERING               </t>
  </si>
  <si>
    <t>burner</t>
  </si>
  <si>
    <t xml:space="preserve">PROPET S.A (PTY) LTD               </t>
  </si>
  <si>
    <t xml:space="preserve">REEVAH                        </t>
  </si>
  <si>
    <t xml:space="preserve">KIMBERLEY-CLARK S.A                </t>
  </si>
  <si>
    <t>patrick</t>
  </si>
  <si>
    <t xml:space="preserve">Cedric                        </t>
  </si>
  <si>
    <t>VINESH</t>
  </si>
  <si>
    <t>keenan</t>
  </si>
  <si>
    <t xml:space="preserve">BMG BELLVILLE 0120                 </t>
  </si>
  <si>
    <t xml:space="preserve">iceron                        </t>
  </si>
  <si>
    <t xml:space="preserve">POD received from cell 07466644640 M    </t>
  </si>
  <si>
    <t xml:space="preserve">FUEL INDUSTRY SERVICES PTY LTD     </t>
  </si>
  <si>
    <t xml:space="preserve">G ERMIER                      </t>
  </si>
  <si>
    <t>MIKE</t>
  </si>
  <si>
    <t xml:space="preserve">DANONE SA PTY LTD                  </t>
  </si>
  <si>
    <t>SAMUKELISIWE KOENAITE</t>
  </si>
  <si>
    <t>ROODE</t>
  </si>
  <si>
    <t>ROODEPOORT</t>
  </si>
  <si>
    <t xml:space="preserve">J F EQUIPMENT                      </t>
  </si>
  <si>
    <t xml:space="preserve">RYAN                          </t>
  </si>
  <si>
    <t xml:space="preserve">ACCUTECH WEIGHING SERVICES         </t>
  </si>
  <si>
    <t>SANNA</t>
  </si>
  <si>
    <t>BRAKP</t>
  </si>
  <si>
    <t>BRAKPAN</t>
  </si>
  <si>
    <t xml:space="preserve">Saint-Gobain Construction Prod     </t>
  </si>
  <si>
    <t>Bridgette</t>
  </si>
  <si>
    <t>POD received from cell 0826644094 M</t>
  </si>
  <si>
    <t xml:space="preserve">MAXION WHEELS SA                   </t>
  </si>
  <si>
    <t xml:space="preserve">SOUTHERN PULP MACHINERY            </t>
  </si>
  <si>
    <t xml:space="preserve">A PAULSE                      </t>
  </si>
  <si>
    <t xml:space="preserve">MARCE FIRE FIGHTING TECHNOLOGY     </t>
  </si>
  <si>
    <t>precious</t>
  </si>
  <si>
    <t>POD received from cell 0631426232 M</t>
  </si>
  <si>
    <t>nicky</t>
  </si>
  <si>
    <t>kurt</t>
  </si>
  <si>
    <t xml:space="preserve">Mavtech Technologies Ltd           </t>
  </si>
  <si>
    <t>BALF2</t>
  </si>
  <si>
    <t>BALFOUR (TVL)</t>
  </si>
  <si>
    <t xml:space="preserve">KARAN BEEF (PTY) LTD               </t>
  </si>
  <si>
    <t xml:space="preserve">PCS GLOBAL (PTY) LTD               </t>
  </si>
  <si>
    <t xml:space="preserve">karen naidoo                  </t>
  </si>
  <si>
    <t xml:space="preserve">POD received from cell 0833616148 M     </t>
  </si>
  <si>
    <t xml:space="preserve">INNOVATIVE MINING PRODUCTS (PT     </t>
  </si>
  <si>
    <t>jabulani</t>
  </si>
  <si>
    <t xml:space="preserve">TENNECO RIDE CONTROL SA            </t>
  </si>
  <si>
    <t>SIYA</t>
  </si>
  <si>
    <t xml:space="preserve">CIM AUTOMATION                     </t>
  </si>
  <si>
    <t>stacey</t>
  </si>
  <si>
    <t>STEL2</t>
  </si>
  <si>
    <t>STELLENBOSCH</t>
  </si>
  <si>
    <t xml:space="preserve">DISTELL (PTY) LTD                  </t>
  </si>
  <si>
    <t>Spangenberg Kenny</t>
  </si>
  <si>
    <t>keith</t>
  </si>
  <si>
    <t>POD received from cell 0731478500 M</t>
  </si>
  <si>
    <t xml:space="preserve">METAL BADGE AND BUTTON MNFRS       </t>
  </si>
  <si>
    <t>JOHN HUNTER</t>
  </si>
  <si>
    <t>Mary</t>
  </si>
  <si>
    <t xml:space="preserve">WINTERTIDE TRADING 69 CC           </t>
  </si>
  <si>
    <t>may</t>
  </si>
  <si>
    <t>BRYAN BELL</t>
  </si>
  <si>
    <t>thembela</t>
  </si>
  <si>
    <t>jam</t>
  </si>
  <si>
    <t xml:space="preserve">MED ENGINEERING (PTY) LTD          </t>
  </si>
  <si>
    <t>Arno</t>
  </si>
  <si>
    <t xml:space="preserve">SIQALO FOODS (PTY)LTD              </t>
  </si>
  <si>
    <t>sipho</t>
  </si>
  <si>
    <t>Driver late</t>
  </si>
  <si>
    <t>mmd</t>
  </si>
  <si>
    <t xml:space="preserve">PAILPAC PTY LTD                    </t>
  </si>
  <si>
    <t>msa</t>
  </si>
  <si>
    <t xml:space="preserve">PNEUMATIC AID                      </t>
  </si>
  <si>
    <t>Audrey</t>
  </si>
  <si>
    <t xml:space="preserve">PREMIER FMCG (PTY)LTD              </t>
  </si>
  <si>
    <t>Melvin</t>
  </si>
  <si>
    <t>POD received from cell 0718141551 M</t>
  </si>
  <si>
    <t>HAMMA</t>
  </si>
  <si>
    <t>HAMMANSKRAAL</t>
  </si>
  <si>
    <t xml:space="preserve">SHATTERPRUFE TRADING               </t>
  </si>
  <si>
    <t>JANN SCHNEPEL</t>
  </si>
  <si>
    <t xml:space="preserve">sina                          </t>
  </si>
  <si>
    <t xml:space="preserve">POD received from cell 0726847990 M     </t>
  </si>
  <si>
    <t xml:space="preserve">GENERAL PNEUMATICS NATAL PTY L     </t>
  </si>
  <si>
    <t>bongani</t>
  </si>
  <si>
    <t xml:space="preserve">ESKORT LTD                         </t>
  </si>
  <si>
    <t>diresh</t>
  </si>
  <si>
    <t xml:space="preserve">PRODUCTIVE SYSTEMS CC              </t>
  </si>
  <si>
    <t>Ben</t>
  </si>
  <si>
    <t>kishen</t>
  </si>
  <si>
    <t xml:space="preserve">DKT   PARTNERS                     </t>
  </si>
  <si>
    <t>lorinda</t>
  </si>
  <si>
    <t xml:space="preserve">FILTEC AUTOMATION PTY LTD          </t>
  </si>
  <si>
    <t>lewellyn</t>
  </si>
  <si>
    <t xml:space="preserve">Nkonzo                        </t>
  </si>
  <si>
    <t>Vukile</t>
  </si>
  <si>
    <t>UMKOM</t>
  </si>
  <si>
    <t>UMKOMAAS</t>
  </si>
  <si>
    <t xml:space="preserve">UMKOMAAS LIGNIN                    </t>
  </si>
  <si>
    <t>revern</t>
  </si>
  <si>
    <t>POD received from cell 0658647001 M</t>
  </si>
  <si>
    <t xml:space="preserve">Conraif                       </t>
  </si>
  <si>
    <t xml:space="preserve">DIYA VALVES INTERNATIONALS CC      </t>
  </si>
  <si>
    <t>reshik</t>
  </si>
  <si>
    <t>POD received from cell 0737818615 M</t>
  </si>
  <si>
    <t xml:space="preserve">MAGNET ELECTRICAL                  </t>
  </si>
  <si>
    <t>joash</t>
  </si>
  <si>
    <t xml:space="preserve">SHATTERPRUFE TRADING AS A          </t>
  </si>
  <si>
    <t>siya</t>
  </si>
  <si>
    <t xml:space="preserve">PIONEER FOODS (PTY) LTD            </t>
  </si>
  <si>
    <t>sanele</t>
  </si>
  <si>
    <t>POD received from cell 0725851046 M</t>
  </si>
  <si>
    <t xml:space="preserve">BARROWS DESIGN   MANUFACTURING     </t>
  </si>
  <si>
    <t>michael</t>
  </si>
  <si>
    <t xml:space="preserve">UV + IR ENGINEERING PTY LTD        </t>
  </si>
  <si>
    <t>leaden</t>
  </si>
  <si>
    <t xml:space="preserve">GUTH NDE SA                        </t>
  </si>
  <si>
    <t>piet</t>
  </si>
  <si>
    <t>POD received from cell 0728892773 M</t>
  </si>
  <si>
    <t xml:space="preserve">DETNET SA                          </t>
  </si>
  <si>
    <t>CAROLINE MSIBI</t>
  </si>
  <si>
    <t>beanca</t>
  </si>
  <si>
    <t xml:space="preserve">MECHANICAL CONCEPTS CC             </t>
  </si>
  <si>
    <t>jarryd</t>
  </si>
  <si>
    <t>morne</t>
  </si>
  <si>
    <t>UMHLA</t>
  </si>
  <si>
    <t>UMHLANGA ROCKS</t>
  </si>
  <si>
    <t xml:space="preserve">ILLOVO SUGAR                       </t>
  </si>
  <si>
    <t>basil</t>
  </si>
  <si>
    <t>shharik</t>
  </si>
  <si>
    <t>LYNDON</t>
  </si>
  <si>
    <t xml:space="preserve">BOWLER PLASTICS (PTY) LTD          </t>
  </si>
  <si>
    <t xml:space="preserve">Wasiefa                       </t>
  </si>
  <si>
    <t xml:space="preserve">POD received from cell 0655572018 M     </t>
  </si>
  <si>
    <t>MOSSE</t>
  </si>
  <si>
    <t>MOSSEL BAY</t>
  </si>
  <si>
    <t xml:space="preserve">PETRO SA CENTRAL PLANT             </t>
  </si>
  <si>
    <t>Veliswa</t>
  </si>
  <si>
    <t xml:space="preserve">PACIFIC FLUID COMPONENTS CC        </t>
  </si>
  <si>
    <t xml:space="preserve">Vivian                        </t>
  </si>
  <si>
    <t xml:space="preserve">POD received from cell 0732237417 M     </t>
  </si>
  <si>
    <t xml:space="preserve">NR EXTREME ENGINEERING AND PIP     </t>
  </si>
  <si>
    <t>zanile</t>
  </si>
  <si>
    <t>Regan</t>
  </si>
  <si>
    <t xml:space="preserve">RCL FOODS CONSUMER PTY             </t>
  </si>
  <si>
    <t>DANDRE</t>
  </si>
  <si>
    <t xml:space="preserve">LIQUI BOX                          </t>
  </si>
  <si>
    <t xml:space="preserve">FAURECIA EMISSIONS CONTROL TEC     </t>
  </si>
  <si>
    <t xml:space="preserve">SIPHELELE                     </t>
  </si>
  <si>
    <t xml:space="preserve">POD received from cell 0736814363 M     </t>
  </si>
  <si>
    <t xml:space="preserve">CTP PRINTERS CPT                   </t>
  </si>
  <si>
    <t>Africa</t>
  </si>
  <si>
    <t>POD received from cell 0763378994 M</t>
  </si>
  <si>
    <t>VEREE</t>
  </si>
  <si>
    <t>VEREENIGING</t>
  </si>
  <si>
    <t xml:space="preserve">LIXIL                              </t>
  </si>
  <si>
    <t>Mzwakhe</t>
  </si>
  <si>
    <t>POD received from cell 0825884890 M</t>
  </si>
  <si>
    <t xml:space="preserve">SALT FOUNDATION                    </t>
  </si>
  <si>
    <t>ADELAIDE MALAN</t>
  </si>
  <si>
    <t xml:space="preserve">sive                          </t>
  </si>
  <si>
    <t xml:space="preserve">POD received from cell 0747227056 M     </t>
  </si>
  <si>
    <t>DANRE</t>
  </si>
  <si>
    <t>SPRI3</t>
  </si>
  <si>
    <t>SPRINGS</t>
  </si>
  <si>
    <t xml:space="preserve">ELEMENT SIX PRODUCTION             </t>
  </si>
  <si>
    <t>illeg</t>
  </si>
  <si>
    <t>shaar8k</t>
  </si>
  <si>
    <t xml:space="preserve">SMA ENGINEERING S.A. (PTY) LTD     </t>
  </si>
  <si>
    <t>Noel</t>
  </si>
  <si>
    <t>POD received from cell 0844681051 M</t>
  </si>
  <si>
    <t xml:space="preserve">SIME DARBY HUDSON   KINGHT         </t>
  </si>
  <si>
    <t xml:space="preserve">FORD MOTOR CO. SA MANUFACTURIN     </t>
  </si>
  <si>
    <t>RUSTE</t>
  </si>
  <si>
    <t>RUSTENBURG</t>
  </si>
  <si>
    <t xml:space="preserve">NORTON   SCALLAN MINING SUPPLY     </t>
  </si>
  <si>
    <t>annah</t>
  </si>
  <si>
    <t xml:space="preserve">VAN NIEKERK PACKAGING SUPPORT      </t>
  </si>
  <si>
    <t>Lindsay</t>
  </si>
  <si>
    <t xml:space="preserve">PROMAX                             </t>
  </si>
  <si>
    <t>Marenique</t>
  </si>
  <si>
    <t>POD received from cell 0780245853 M</t>
  </si>
  <si>
    <t>Alex</t>
  </si>
  <si>
    <t>rd1</t>
  </si>
  <si>
    <t xml:space="preserve">OEM SUPPORT SOLUTIONS (PTY)LTD     </t>
  </si>
  <si>
    <t>PHILLIP</t>
  </si>
  <si>
    <t>shaakir</t>
  </si>
  <si>
    <t xml:space="preserve">PREMIER CAPE TOWN WHEAT MILL       </t>
  </si>
  <si>
    <t>duria</t>
  </si>
  <si>
    <t>POD received from cell 0747227056 M</t>
  </si>
  <si>
    <t xml:space="preserve">ROBOTIC INNOVATIONS PTY            </t>
  </si>
  <si>
    <t>Margaret</t>
  </si>
  <si>
    <t>POD received from cell 0735078103 M</t>
  </si>
  <si>
    <t xml:space="preserve">AL S PROJECTS SPECIALIZED          </t>
  </si>
  <si>
    <t>ALAN</t>
  </si>
  <si>
    <t>goodwill</t>
  </si>
  <si>
    <t>Anthony</t>
  </si>
  <si>
    <t xml:space="preserve">CCG CABLE TERMINATIONS             </t>
  </si>
  <si>
    <t>Neils</t>
  </si>
  <si>
    <t xml:space="preserve">A2C DISTRIBUTORS                   </t>
  </si>
  <si>
    <t xml:space="preserve">JUANITA                       </t>
  </si>
  <si>
    <t xml:space="preserve">tiveo                         </t>
  </si>
  <si>
    <t xml:space="preserve">POD received from cell 0834172191 M     </t>
  </si>
  <si>
    <t>usa millder</t>
  </si>
  <si>
    <t>POD received from cell 0732611486 M</t>
  </si>
  <si>
    <t>Phillip</t>
  </si>
  <si>
    <t>POD received from cell 0625670397 M</t>
  </si>
  <si>
    <t xml:space="preserve">FIRST NATIONAL BATTERY             </t>
  </si>
  <si>
    <t>sbulelo</t>
  </si>
  <si>
    <t>UMTAT</t>
  </si>
  <si>
    <t>UMTATA</t>
  </si>
  <si>
    <t xml:space="preserve">PREMIER FMCG PTY LTD               </t>
  </si>
  <si>
    <t>VINCENT</t>
  </si>
  <si>
    <t xml:space="preserve">LATHAM FILTARTION TECHNOLOGY P     </t>
  </si>
  <si>
    <t>Bernice</t>
  </si>
  <si>
    <t>bem</t>
  </si>
  <si>
    <t>THAB1</t>
  </si>
  <si>
    <t>THABAZIMBI</t>
  </si>
  <si>
    <t xml:space="preserve">PPC CEMENT SA (PTY) LTD            </t>
  </si>
  <si>
    <t xml:space="preserve">IMMACULATE                    </t>
  </si>
  <si>
    <t xml:space="preserve">NUKOR (PTY)LTD                     </t>
  </si>
  <si>
    <t xml:space="preserve">CADSOURCE                          </t>
  </si>
  <si>
    <t xml:space="preserve">Uli Uli                       </t>
  </si>
  <si>
    <t xml:space="preserve">POD received from cell 0838232663 M     </t>
  </si>
  <si>
    <t>Austin</t>
  </si>
  <si>
    <t xml:space="preserve">KABELO                        </t>
  </si>
  <si>
    <t xml:space="preserve">J WALLER                      </t>
  </si>
  <si>
    <t xml:space="preserve">SAINT GOBAIN CONSTRUCTION PROD     </t>
  </si>
  <si>
    <t>ON2</t>
  </si>
  <si>
    <t>FRAGILE OIL</t>
  </si>
  <si>
    <t>sifiso</t>
  </si>
  <si>
    <t xml:space="preserve">INDOCO REMEDIES                    </t>
  </si>
  <si>
    <t>Gugu</t>
  </si>
  <si>
    <t>let</t>
  </si>
  <si>
    <t>POD received from cell 0818590343 M</t>
  </si>
  <si>
    <t xml:space="preserve">ROBOTIC HANDLING SYSTEM Cc         </t>
  </si>
  <si>
    <t>Debbie</t>
  </si>
  <si>
    <t xml:space="preserve">ZF ACTIVE   PASSIVE SAFTEY TEC     </t>
  </si>
  <si>
    <t>Iona</t>
  </si>
  <si>
    <t>Werner Adams</t>
  </si>
  <si>
    <t xml:space="preserve">MAINSTREET 1310                    </t>
  </si>
  <si>
    <t>RENSIA SCHOEMAN</t>
  </si>
  <si>
    <t>clement</t>
  </si>
  <si>
    <t xml:space="preserve">EBERSPACHER SOUTH AFRICA (PTY)     </t>
  </si>
  <si>
    <t>FEZIWE</t>
  </si>
  <si>
    <t>POD received from cell 0825362192 M</t>
  </si>
  <si>
    <t>bathobile</t>
  </si>
  <si>
    <t xml:space="preserve">ALBANY BAKERY A DIVISION OF TI     </t>
  </si>
  <si>
    <t xml:space="preserve">lwellyn                       </t>
  </si>
  <si>
    <t xml:space="preserve">POD received from cell 0732912108 M     </t>
  </si>
  <si>
    <t>KANAYNE</t>
  </si>
  <si>
    <t xml:space="preserve">BORBET SA (PTY) LTD                </t>
  </si>
  <si>
    <t>MERVIN</t>
  </si>
  <si>
    <t xml:space="preserve">PIONEER FOODS GROCERIES PTY        </t>
  </si>
  <si>
    <t>zodidi</t>
  </si>
  <si>
    <t>HARRI</t>
  </si>
  <si>
    <t>HARRISMITH</t>
  </si>
  <si>
    <t xml:space="preserve">NESTLE SA                          </t>
  </si>
  <si>
    <t>THOBILE</t>
  </si>
  <si>
    <t xml:space="preserve">DEFY APPLIANCES (PTY) LTD          </t>
  </si>
  <si>
    <t>Clint Petersen</t>
  </si>
  <si>
    <t>clint</t>
  </si>
  <si>
    <t xml:space="preserve">ABI DIV OF SAB LTD                 </t>
  </si>
  <si>
    <t>shanice</t>
  </si>
  <si>
    <t xml:space="preserve">PAILPRINT PTY LTD                  </t>
  </si>
  <si>
    <t>SIPHO</t>
  </si>
  <si>
    <t xml:space="preserve">AS AUTOMATIONS SOLUTIONS CC        </t>
  </si>
  <si>
    <t>PAULOS</t>
  </si>
  <si>
    <t>victory</t>
  </si>
  <si>
    <t>POD received from cell 0766412100 M</t>
  </si>
  <si>
    <t>SDX</t>
  </si>
  <si>
    <t>SAMEDAY</t>
  </si>
  <si>
    <t>CINDY</t>
  </si>
  <si>
    <t>THABO</t>
  </si>
  <si>
    <t xml:space="preserve">CSM BEARING   PNUEMATIC SUPPLI     </t>
  </si>
  <si>
    <t>KAREN</t>
  </si>
  <si>
    <t>SOUL</t>
  </si>
  <si>
    <t xml:space="preserve">RHEINMETALL DENEL MUNITION         </t>
  </si>
  <si>
    <t>STORES</t>
  </si>
  <si>
    <t xml:space="preserve">RJ VAN WYK                    </t>
  </si>
  <si>
    <t xml:space="preserve">SUPERIOR PACKAGING INDUSTRIES      </t>
  </si>
  <si>
    <t>Crystal</t>
  </si>
  <si>
    <t xml:space="preserve">IRVIN   JONSON LTD                 </t>
  </si>
  <si>
    <t>NICA MOUTON</t>
  </si>
  <si>
    <t>Shamonick</t>
  </si>
  <si>
    <t>NTEMBEKO</t>
  </si>
  <si>
    <t>a steyn</t>
  </si>
  <si>
    <t>Lucy</t>
  </si>
  <si>
    <t xml:space="preserve">KELLOGGS CO OF SA                  </t>
  </si>
  <si>
    <t>EDWINA CLOETE</t>
  </si>
  <si>
    <t>isaack</t>
  </si>
  <si>
    <t>POD received from cell 0836743353 M</t>
  </si>
  <si>
    <t xml:space="preserve">KANSAI PLASCON KRUGERSDORP         </t>
  </si>
  <si>
    <t>ZELDA</t>
  </si>
  <si>
    <t>F THORNE</t>
  </si>
  <si>
    <t xml:space="preserve">FAIR CAPE DAIRIES (PTY) LTD        </t>
  </si>
  <si>
    <t>BERNARD</t>
  </si>
  <si>
    <t>RANDF</t>
  </si>
  <si>
    <t>RANDFONTEIN</t>
  </si>
  <si>
    <t xml:space="preserve">TIGER CONSUMER BRANDS LTD          </t>
  </si>
  <si>
    <t xml:space="preserve">TOTAL MINING CC                    </t>
  </si>
  <si>
    <t>panson</t>
  </si>
  <si>
    <t xml:space="preserve">UNIVERSAL CLIPS                    </t>
  </si>
  <si>
    <t>LINDIWE</t>
  </si>
  <si>
    <t>LEON</t>
  </si>
  <si>
    <t>shaariR</t>
  </si>
  <si>
    <t>Vusi</t>
  </si>
  <si>
    <t>WALTER MEYER</t>
  </si>
  <si>
    <t>wAlter</t>
  </si>
  <si>
    <t>POD received from cell 0844988662 M</t>
  </si>
  <si>
    <t>silence</t>
  </si>
  <si>
    <t>CHRISSA</t>
  </si>
  <si>
    <t xml:space="preserve">FRESENIUS KABI MANUFACTURING       </t>
  </si>
  <si>
    <t>h brown</t>
  </si>
  <si>
    <t xml:space="preserve">HANSENS ENGENNERING                </t>
  </si>
  <si>
    <t xml:space="preserve">GRANROTH (PTY)LTD                  </t>
  </si>
  <si>
    <t>LELAKHE</t>
  </si>
  <si>
    <t xml:space="preserve">POWER WORKS                        </t>
  </si>
  <si>
    <t>jay</t>
  </si>
  <si>
    <t xml:space="preserve">EXTREM MACHINE TECHNOLOGY          </t>
  </si>
  <si>
    <t>Anitta</t>
  </si>
  <si>
    <t>POD received from cell 0717669109 M</t>
  </si>
  <si>
    <t xml:space="preserve">IMARA AUTOMATION                   </t>
  </si>
  <si>
    <t>wayne</t>
  </si>
  <si>
    <t>PARCEL PARCEL PARCEL</t>
  </si>
  <si>
    <t xml:space="preserve">andiswa                       </t>
  </si>
  <si>
    <t xml:space="preserve">POD received from cell 0605616935 M     </t>
  </si>
  <si>
    <t>zandui</t>
  </si>
  <si>
    <t xml:space="preserve">ThamiSithole                  </t>
  </si>
  <si>
    <t xml:space="preserve">bervan                        </t>
  </si>
  <si>
    <t>mary Ann</t>
  </si>
  <si>
    <t xml:space="preserve">VARELEC DISTRIBUTORS CC            </t>
  </si>
  <si>
    <t>desigan</t>
  </si>
  <si>
    <t>Enerst</t>
  </si>
  <si>
    <t xml:space="preserve">SOUTH AFRICAN BANK NOTE CO.        </t>
  </si>
  <si>
    <t>JACOB BAHOLO</t>
  </si>
  <si>
    <t>R Naidoo</t>
  </si>
  <si>
    <t>Client refused delivery</t>
  </si>
  <si>
    <t>POD received from cell 0842332441 M</t>
  </si>
  <si>
    <t xml:space="preserve">CSM BEARING AND PNEUMATIC SUPP     </t>
  </si>
  <si>
    <t xml:space="preserve">Carlize                       </t>
  </si>
  <si>
    <t xml:space="preserve">POD received from cell 0725230163 M     </t>
  </si>
  <si>
    <t>NATASHA</t>
  </si>
  <si>
    <t xml:space="preserve">BRIDGESTONE FIRESTONE SA PTY L     </t>
  </si>
  <si>
    <t>M fourie</t>
  </si>
  <si>
    <t>POD received from cell 0786510203 M</t>
  </si>
  <si>
    <t xml:space="preserve">J MARK ENGINEERING                 </t>
  </si>
  <si>
    <t>Jaycee</t>
  </si>
  <si>
    <t xml:space="preserve">COCA-COCAL BEVERAGES SOTH AFRI     </t>
  </si>
  <si>
    <t>mahlatse</t>
  </si>
  <si>
    <t>POD received from cell 0780526579 M</t>
  </si>
  <si>
    <t xml:space="preserve">MARCOM PLASTICS CC                 </t>
  </si>
  <si>
    <t>Elsje</t>
  </si>
  <si>
    <t xml:space="preserve">CLOVER WATERS PTY LTD              </t>
  </si>
  <si>
    <t>Telisa</t>
  </si>
  <si>
    <t>shaadiR</t>
  </si>
  <si>
    <t>vinessan</t>
  </si>
  <si>
    <t xml:space="preserve">TRUDA SNACKS                       </t>
  </si>
  <si>
    <t>Mbali</t>
  </si>
  <si>
    <t xml:space="preserve">BAGTECH INTERNATIONAL (PTY)LTD     </t>
  </si>
  <si>
    <t>J Schnepel</t>
  </si>
  <si>
    <t>POD received from cell 0726847990 M</t>
  </si>
  <si>
    <t>Leani</t>
  </si>
  <si>
    <t>WELLI</t>
  </si>
  <si>
    <t>WELLINGTON</t>
  </si>
  <si>
    <t xml:space="preserve">PREMIER INDUSTERIAL                </t>
  </si>
  <si>
    <t>H vd Merwe</t>
  </si>
  <si>
    <t xml:space="preserve">IRVIN   JOHNSON LTD                </t>
  </si>
  <si>
    <t>CARELLE</t>
  </si>
  <si>
    <t xml:space="preserve">RAMSAY ENGINEERING PTY LTD         </t>
  </si>
  <si>
    <t xml:space="preserve">Tutty                         </t>
  </si>
  <si>
    <t xml:space="preserve">PRIMA INDUSTRIAL HOLDINGS          </t>
  </si>
  <si>
    <t>WEBSTER</t>
  </si>
  <si>
    <t xml:space="preserve">AUTOMA MULTI STYRENE               </t>
  </si>
  <si>
    <t>Jeanette</t>
  </si>
  <si>
    <t xml:space="preserve">ATLAS ELECTRO HYDRAULIC SYSTEM     </t>
  </si>
  <si>
    <t>RETHA VD MERWE</t>
  </si>
  <si>
    <t>Scott</t>
  </si>
  <si>
    <t xml:space="preserve">PE HYDRAULIC   PNEUMATICS          </t>
  </si>
  <si>
    <t>rakesh</t>
  </si>
  <si>
    <t xml:space="preserve">SPICER AXLE (PTY) LTD              </t>
  </si>
  <si>
    <t>Xoliani Antoni</t>
  </si>
  <si>
    <t xml:space="preserve">elmaine                       </t>
  </si>
  <si>
    <t>jeff</t>
  </si>
  <si>
    <t>POD received from cell 0828088659 M</t>
  </si>
  <si>
    <t xml:space="preserve">BIG OR SMALL PROJECTS ENG          </t>
  </si>
  <si>
    <t>STEPHAN</t>
  </si>
  <si>
    <t>sc van wyk</t>
  </si>
  <si>
    <t>POD received from cell 0726813383 M</t>
  </si>
  <si>
    <t>DELMA</t>
  </si>
  <si>
    <t>DELMAS</t>
  </si>
  <si>
    <t xml:space="preserve">MCCAIN FOOD SOUTH AFRICA PTY L     </t>
  </si>
  <si>
    <t>mbali</t>
  </si>
  <si>
    <t>moses</t>
  </si>
  <si>
    <t>POD received from cell 0649888746 M</t>
  </si>
  <si>
    <t xml:space="preserve">J MEYER ENGINEERING CC             </t>
  </si>
  <si>
    <t>Lesego</t>
  </si>
  <si>
    <t>BRONK</t>
  </si>
  <si>
    <t>BRONKHORSTSPRUIT</t>
  </si>
  <si>
    <t xml:space="preserve">SASOL DYNO NOBEL PTY LTD           </t>
  </si>
  <si>
    <t>Mandisi</t>
  </si>
  <si>
    <t>POD received from cell 0795897055 M</t>
  </si>
  <si>
    <t>Moses</t>
  </si>
  <si>
    <t xml:space="preserve">CBI ELECTRIC TELECOM CABLES        </t>
  </si>
  <si>
    <t>NARISKA EVELEIGH</t>
  </si>
  <si>
    <t>marcus</t>
  </si>
  <si>
    <t xml:space="preserve">PLASTIC OMNIUM AUTO INERGY SA      </t>
  </si>
  <si>
    <t>veronica</t>
  </si>
  <si>
    <t>RESEND PARCEL</t>
  </si>
  <si>
    <t>MELVIN</t>
  </si>
  <si>
    <t xml:space="preserve">Neo                           </t>
  </si>
  <si>
    <t xml:space="preserve">RCL FOODCORP (PTY) LTD             </t>
  </si>
  <si>
    <t>client</t>
  </si>
  <si>
    <t>karam</t>
  </si>
  <si>
    <t xml:space="preserve">PROCESS DYNAMICS PTY LTD           </t>
  </si>
  <si>
    <t>AMANDA</t>
  </si>
  <si>
    <t>cara</t>
  </si>
  <si>
    <t xml:space="preserve">CONRO PRECISION                    </t>
  </si>
  <si>
    <t>Kenn</t>
  </si>
  <si>
    <t xml:space="preserve">CALDEIRA ENGENEERING               </t>
  </si>
  <si>
    <t>VIOLET</t>
  </si>
  <si>
    <t>KANYANE</t>
  </si>
  <si>
    <t xml:space="preserve">CONSOL GLASS (PTY) LTD             </t>
  </si>
  <si>
    <t>CIDNEY</t>
  </si>
  <si>
    <t>mario</t>
  </si>
  <si>
    <t>mark</t>
  </si>
  <si>
    <t xml:space="preserve">BM FOOD MANUFACTURERS              </t>
  </si>
  <si>
    <t>valencia</t>
  </si>
  <si>
    <t>Bad address</t>
  </si>
  <si>
    <t xml:space="preserve">HUHTAMAKI DIV FLEXIBLE             </t>
  </si>
  <si>
    <t>vuyo</t>
  </si>
  <si>
    <t xml:space="preserve">FONTANA MANUFACTURERS PTY LTD      </t>
  </si>
  <si>
    <t>anesh</t>
  </si>
  <si>
    <t>SSH</t>
  </si>
  <si>
    <t>sherif</t>
  </si>
  <si>
    <t>vijay</t>
  </si>
  <si>
    <t xml:space="preserve">Thami Sithole                 </t>
  </si>
  <si>
    <t xml:space="preserve">BLEISTAHL MANUFACTURING SA PTY     </t>
  </si>
  <si>
    <t>WYNE</t>
  </si>
  <si>
    <t>AMTA</t>
  </si>
  <si>
    <t xml:space="preserve">REEF CONSTRUCTION MACHINERY        </t>
  </si>
  <si>
    <t>kenneth</t>
  </si>
  <si>
    <t xml:space="preserve">ELECTRAHERTZ                       </t>
  </si>
  <si>
    <t>nkosinathi</t>
  </si>
  <si>
    <t>SYMON</t>
  </si>
  <si>
    <t>Veronica</t>
  </si>
  <si>
    <t xml:space="preserve">FILQUIP ENGINEERING                </t>
  </si>
  <si>
    <t>bongi</t>
  </si>
  <si>
    <t xml:space="preserve">BANTEX SOUTH AFRICA (PTY) LTD      </t>
  </si>
  <si>
    <t>STARMON</t>
  </si>
  <si>
    <t>lerato</t>
  </si>
  <si>
    <t xml:space="preserve">HARVARD PROJECTS                   </t>
  </si>
  <si>
    <t>WELCOME</t>
  </si>
  <si>
    <t>MANIE KILIAN</t>
  </si>
  <si>
    <t>PETER</t>
  </si>
  <si>
    <t>wendy</t>
  </si>
  <si>
    <t>Keith</t>
  </si>
  <si>
    <t>roux</t>
  </si>
  <si>
    <t xml:space="preserve">MERCEDES - BENZ S.A LIMITED        </t>
  </si>
  <si>
    <t>Strydom</t>
  </si>
  <si>
    <t>POD received from cell 0781885723 M</t>
  </si>
  <si>
    <t xml:space="preserve">AUTO INDUSTRIAL MACHINING          </t>
  </si>
  <si>
    <t>PORT4</t>
  </si>
  <si>
    <t>PORT SHEPSTONE</t>
  </si>
  <si>
    <t xml:space="preserve">HYDROMATIC ENTERPRISES PTY LTD     </t>
  </si>
  <si>
    <t>rajesh</t>
  </si>
  <si>
    <t>rd2</t>
  </si>
  <si>
    <t xml:space="preserve">H BIRKENMAYER (PTY) LTD            </t>
  </si>
  <si>
    <t>Rosan</t>
  </si>
  <si>
    <t xml:space="preserve">ACAP HYDRO PNEUMATIC SUPPLY CC     </t>
  </si>
  <si>
    <t>Louis</t>
  </si>
  <si>
    <t>capet</t>
  </si>
  <si>
    <t>Carelle</t>
  </si>
  <si>
    <t>POD received from cell 0764958693 M</t>
  </si>
  <si>
    <t>RD2</t>
  </si>
  <si>
    <t xml:space="preserve">PAARL PNEUMATICS CC                </t>
  </si>
  <si>
    <t>Jevan</t>
  </si>
  <si>
    <t>POD received from cell 0641377685 M</t>
  </si>
  <si>
    <t xml:space="preserve">TROPICAL PLASTICS   PACKAGING      </t>
  </si>
  <si>
    <t>Abasas</t>
  </si>
  <si>
    <t xml:space="preserve">HORNBEE                            </t>
  </si>
  <si>
    <t>NQF4-WILL</t>
  </si>
  <si>
    <t>PETA HORN</t>
  </si>
  <si>
    <t>.</t>
  </si>
  <si>
    <t xml:space="preserve">PETA                          </t>
  </si>
  <si>
    <t>FLYER</t>
  </si>
  <si>
    <t xml:space="preserve">FESTO ISANDO                       </t>
  </si>
  <si>
    <t>ROBBY ABRAM</t>
  </si>
  <si>
    <t>Bingo</t>
  </si>
  <si>
    <t>VALVE</t>
  </si>
  <si>
    <t>bheki</t>
  </si>
  <si>
    <t>craig</t>
  </si>
  <si>
    <t xml:space="preserve">TF DESIGN (PTY) LTD                </t>
  </si>
  <si>
    <t>sanet</t>
  </si>
  <si>
    <t>POD received from cell 0634787633 M</t>
  </si>
  <si>
    <t xml:space="preserve">TEBOGO                        </t>
  </si>
  <si>
    <t xml:space="preserve">ntembeko                      </t>
  </si>
  <si>
    <t>VRED3</t>
  </si>
  <si>
    <t>VREDENBURG</t>
  </si>
  <si>
    <t xml:space="preserve">BEARINGS DISTRIBUTORS WESKUS       </t>
  </si>
  <si>
    <t>GARFIELD</t>
  </si>
  <si>
    <t>POD received from cell 0608696445 M</t>
  </si>
  <si>
    <t xml:space="preserve">SUNBAKE BENONI                     </t>
  </si>
  <si>
    <t>January</t>
  </si>
  <si>
    <t>POD received from cell 0844982935 M</t>
  </si>
  <si>
    <t>willie</t>
  </si>
  <si>
    <t xml:space="preserve">4 BYTES AUTOMATION CC              </t>
  </si>
  <si>
    <t xml:space="preserve">Itumeleng                     </t>
  </si>
  <si>
    <t xml:space="preserve">PG BISON A DIV OF KAP DIVERSIF     </t>
  </si>
  <si>
    <t>katia</t>
  </si>
  <si>
    <t xml:space="preserve">TECHNICRETE CLAYVILLE              </t>
  </si>
  <si>
    <t xml:space="preserve">illeg                         </t>
  </si>
  <si>
    <t>RE SEND PARCEL</t>
  </si>
  <si>
    <t>LAWRENCE REDDY</t>
  </si>
  <si>
    <t>TONGA</t>
  </si>
  <si>
    <t>TONGAAT</t>
  </si>
  <si>
    <t xml:space="preserve">TONGAAT HULLETTS GROUP LTD         </t>
  </si>
  <si>
    <t>Vincent</t>
  </si>
  <si>
    <t>POD received from cell 0732603055 M</t>
  </si>
  <si>
    <t>B Nxele</t>
  </si>
  <si>
    <t>UMBOG</t>
  </si>
  <si>
    <t>UMBOGINTWINI</t>
  </si>
  <si>
    <t xml:space="preserve">EXPERSE A DIVISION OF AECI LIM     </t>
  </si>
  <si>
    <t>dean w</t>
  </si>
  <si>
    <t>POD received from cell 0717313860 M</t>
  </si>
  <si>
    <t>G LUNDALL</t>
  </si>
  <si>
    <t xml:space="preserve">RAPID INDUSTRIAL SUPPLIES PTY      </t>
  </si>
  <si>
    <t>japie</t>
  </si>
  <si>
    <t xml:space="preserve">shaarik                       </t>
  </si>
  <si>
    <t>GRAHA</t>
  </si>
  <si>
    <t>GRAHAMSTOWN</t>
  </si>
  <si>
    <t xml:space="preserve">GRAHAMSTOWN BRICK PTL LTD          </t>
  </si>
  <si>
    <t>HEIMISH</t>
  </si>
  <si>
    <t>XOLANI</t>
  </si>
  <si>
    <t xml:space="preserve">DIMAKATSO                     </t>
  </si>
  <si>
    <t>WESTO</t>
  </si>
  <si>
    <t>WESTONARIA</t>
  </si>
  <si>
    <t xml:space="preserve">ALPLA PACKAGING SA                 </t>
  </si>
  <si>
    <t>BIANCA</t>
  </si>
  <si>
    <t>POD received from cell 0810382830 M</t>
  </si>
  <si>
    <t xml:space="preserve">A STEYN                       </t>
  </si>
  <si>
    <t>poveen</t>
  </si>
  <si>
    <t xml:space="preserve">TOYOTA SA MOTORS                   </t>
  </si>
  <si>
    <t>S J Jaca</t>
  </si>
  <si>
    <t>Zakhele</t>
  </si>
  <si>
    <t>Marika</t>
  </si>
  <si>
    <t>GEORGE ANDERSON</t>
  </si>
  <si>
    <t>francina</t>
  </si>
  <si>
    <t>Nickolas Tinkler</t>
  </si>
  <si>
    <t xml:space="preserve">ELECTRONIC   POWER                 </t>
  </si>
  <si>
    <t>mavis</t>
  </si>
  <si>
    <t>Keagan</t>
  </si>
  <si>
    <t xml:space="preserve">DIVFOOD A DIV OF NAMPAK PRODUC     </t>
  </si>
  <si>
    <t>MTHA</t>
  </si>
  <si>
    <t>zama</t>
  </si>
  <si>
    <t xml:space="preserve">CAVALETTO 98                       </t>
  </si>
  <si>
    <t>gray</t>
  </si>
  <si>
    <t xml:space="preserve">pooven                        </t>
  </si>
  <si>
    <t xml:space="preserve">PRIME INSTRUMENTATION CC           </t>
  </si>
  <si>
    <t>Neoo</t>
  </si>
  <si>
    <t>Rosma</t>
  </si>
  <si>
    <t>Samson</t>
  </si>
  <si>
    <t xml:space="preserve">INDUSTRIAL CONSUMER PLASTICS (     </t>
  </si>
  <si>
    <t>ANELE</t>
  </si>
  <si>
    <t>phr</t>
  </si>
  <si>
    <t xml:space="preserve">japie                         </t>
  </si>
  <si>
    <t xml:space="preserve">POD received from cell 0837842726 M     </t>
  </si>
  <si>
    <t xml:space="preserve">ATC INNOVATION (PTY)LTD            </t>
  </si>
  <si>
    <t>SHIEEN</t>
  </si>
  <si>
    <t>POD received from cell 0783350261 M</t>
  </si>
  <si>
    <t xml:space="preserve">IMFUYO PROJECTS (PTY)LTD           </t>
  </si>
  <si>
    <t>Thembi</t>
  </si>
  <si>
    <t xml:space="preserve">SPRINGS BEE GEE ELECT WHOLE CC     </t>
  </si>
  <si>
    <t>JUSTINE MCALPINE</t>
  </si>
  <si>
    <t>tommy</t>
  </si>
  <si>
    <t xml:space="preserve">ref dl jnxp089640             </t>
  </si>
  <si>
    <t xml:space="preserve">outstanding pod                         </t>
  </si>
  <si>
    <t xml:space="preserve">THE HYDRAULIC CONNECTION           </t>
  </si>
  <si>
    <t>SABELO</t>
  </si>
  <si>
    <t>PETROS</t>
  </si>
  <si>
    <t>Jeff</t>
  </si>
  <si>
    <t>POD received from cell 0736644806 M</t>
  </si>
  <si>
    <t>Mirriam</t>
  </si>
  <si>
    <t>kanyane</t>
  </si>
  <si>
    <t xml:space="preserve">ECOLAB PTY LTD                     </t>
  </si>
  <si>
    <t>Simon</t>
  </si>
  <si>
    <t xml:space="preserve">JOHN BEAN TECHNOLOGIES PTY LTD     </t>
  </si>
  <si>
    <t xml:space="preserve">shaun                         </t>
  </si>
  <si>
    <t xml:space="preserve">TFM INDUSTRIES PTY LTD             </t>
  </si>
  <si>
    <t xml:space="preserve">HARDWARE MECCA (PTY)LTD            </t>
  </si>
  <si>
    <t>TINUS</t>
  </si>
  <si>
    <t>POD received from cell 0630388730 M</t>
  </si>
  <si>
    <t>Jarrod</t>
  </si>
  <si>
    <t>POD received from cell 0833656676 M</t>
  </si>
  <si>
    <t>Nathi</t>
  </si>
  <si>
    <t xml:space="preserve">ANDERSON ENGINEERING               </t>
  </si>
  <si>
    <t>ROMANO</t>
  </si>
  <si>
    <t>Rejoice</t>
  </si>
  <si>
    <t>theo</t>
  </si>
  <si>
    <t>john</t>
  </si>
  <si>
    <t>vusasive</t>
  </si>
  <si>
    <t>busily</t>
  </si>
  <si>
    <t xml:space="preserve">Morris                        </t>
  </si>
  <si>
    <t xml:space="preserve">POD received from cell 0842332441 M     </t>
  </si>
  <si>
    <t>Marj</t>
  </si>
  <si>
    <t>mzimasi</t>
  </si>
  <si>
    <t xml:space="preserve">BLISS BRANDS (PTY) LTD             </t>
  </si>
  <si>
    <t xml:space="preserve">PATEL                         </t>
  </si>
  <si>
    <t xml:space="preserve">OVER ARFICA INDUSTRIAL SUPPLIE     </t>
  </si>
  <si>
    <t>Lelane</t>
  </si>
  <si>
    <t xml:space="preserve">Sa Bullet                          </t>
  </si>
  <si>
    <t>carrel</t>
  </si>
  <si>
    <t>POD received from cell 0768934183 M</t>
  </si>
  <si>
    <t xml:space="preserve">CHET CHEMICALS A DIV OF            </t>
  </si>
  <si>
    <t>Joel</t>
  </si>
  <si>
    <t xml:space="preserve">IPACKCHEM PTY LTD                  </t>
  </si>
  <si>
    <t>queen</t>
  </si>
  <si>
    <t xml:space="preserve">stacey                        </t>
  </si>
  <si>
    <t xml:space="preserve">POD received from cell 0749641064 M     </t>
  </si>
  <si>
    <t>ajit</t>
  </si>
  <si>
    <t xml:space="preserve">ROBIN COSS AVIATION CC             </t>
  </si>
  <si>
    <t>Ashley</t>
  </si>
  <si>
    <t>Jamie</t>
  </si>
  <si>
    <t>nectus</t>
  </si>
  <si>
    <t>keather</t>
  </si>
  <si>
    <t xml:space="preserve">JADEC STEEL PROJECT CC             </t>
  </si>
  <si>
    <t>france</t>
  </si>
  <si>
    <t>PIET</t>
  </si>
  <si>
    <t>PIET RETIEF</t>
  </si>
  <si>
    <t xml:space="preserve">PUMPS   TRANSMISSION               </t>
  </si>
  <si>
    <t>SIGNED</t>
  </si>
  <si>
    <t>POD received from cell 0792702449 M</t>
  </si>
  <si>
    <t>PARCEOL</t>
  </si>
  <si>
    <t xml:space="preserve">VEENA                         </t>
  </si>
  <si>
    <t xml:space="preserve">POD received from cell 0735504483 M     </t>
  </si>
  <si>
    <t>sanna</t>
  </si>
  <si>
    <t xml:space="preserve">CULINARY A DIV OF TIGER CONSUM     </t>
  </si>
  <si>
    <t xml:space="preserve">REGRADE MASTERS                    </t>
  </si>
  <si>
    <t xml:space="preserve">SIGNED                        </t>
  </si>
  <si>
    <t xml:space="preserve">FILTRATION   TRANSMISION SERVI     </t>
  </si>
  <si>
    <t>simphiwe</t>
  </si>
  <si>
    <t>ronne</t>
  </si>
  <si>
    <t xml:space="preserve">TIGER BRANDS SNACKS   TREANTS      </t>
  </si>
  <si>
    <t xml:space="preserve">THABILE                       </t>
  </si>
  <si>
    <t>FRAN1</t>
  </si>
  <si>
    <t>FRANKFORT</t>
  </si>
  <si>
    <t xml:space="preserve">CLOVER S.A (PTY) LTD               </t>
  </si>
  <si>
    <t>C BEZUIDENHOUT</t>
  </si>
  <si>
    <t>POD received from cell 0725293907 M</t>
  </si>
  <si>
    <t xml:space="preserve">BREWBEV                            </t>
  </si>
  <si>
    <t>CONSTANCE</t>
  </si>
  <si>
    <t xml:space="preserve">AFROX GOC LTD                      </t>
  </si>
  <si>
    <t>winny</t>
  </si>
  <si>
    <t>POD received from cell 0631962221 M</t>
  </si>
  <si>
    <t>shieen</t>
  </si>
  <si>
    <t xml:space="preserve">UNIPLATE GROUP (PTY)LTD            </t>
  </si>
  <si>
    <t>matilda</t>
  </si>
  <si>
    <t xml:space="preserve">APPLIED COATING TECHNOLOGIES S     </t>
  </si>
  <si>
    <t>SAMANTHA</t>
  </si>
  <si>
    <t xml:space="preserve">SIGNKOR                            </t>
  </si>
  <si>
    <t>nakita</t>
  </si>
  <si>
    <t>Contaid</t>
  </si>
  <si>
    <t xml:space="preserve">EVEREADY (PTY) LTD                 </t>
  </si>
  <si>
    <t>morice</t>
  </si>
  <si>
    <t>Chris</t>
  </si>
  <si>
    <t>sce2430434693</t>
  </si>
  <si>
    <t xml:space="preserve">PRO PROJECT MACHINERY PTY LTD      </t>
  </si>
  <si>
    <t xml:space="preserve">Roland                        </t>
  </si>
  <si>
    <t xml:space="preserve">POD received from cell 0761190287 M     </t>
  </si>
  <si>
    <t xml:space="preserve">JANINE                        </t>
  </si>
  <si>
    <t>LLOYD</t>
  </si>
  <si>
    <t xml:space="preserve">SMITHS MANUFACTURING PTY LTD       </t>
  </si>
  <si>
    <t>neli</t>
  </si>
  <si>
    <t xml:space="preserve">MERCEDES BENZ SOUTH AFRICA LIM     </t>
  </si>
  <si>
    <t>R STRYDOM</t>
  </si>
  <si>
    <t>steyn</t>
  </si>
  <si>
    <t>RICH2</t>
  </si>
  <si>
    <t>RICHMOND (NATAL)</t>
  </si>
  <si>
    <t xml:space="preserve">NORMANDIEN FARMS                   </t>
  </si>
  <si>
    <t xml:space="preserve">Wayne                         </t>
  </si>
  <si>
    <t xml:space="preserve">POD received from cell 0743151586 M     </t>
  </si>
  <si>
    <t xml:space="preserve">NATIONAL BIOPRODUCTS INST          </t>
  </si>
  <si>
    <t>NIKI DEELEY-BARNARD</t>
  </si>
  <si>
    <t>vusi</t>
  </si>
  <si>
    <t>OLGA NZIMANDE</t>
  </si>
  <si>
    <t xml:space="preserve">DARGLE WATER                       </t>
  </si>
  <si>
    <t>awil</t>
  </si>
  <si>
    <t>POD received from cell 0727287520 M</t>
  </si>
  <si>
    <t>Parcel</t>
  </si>
  <si>
    <t xml:space="preserve">BEVCAN                             </t>
  </si>
  <si>
    <t>ilage</t>
  </si>
  <si>
    <t xml:space="preserve">MARTIN   MARTIN (PTY) LTD          </t>
  </si>
  <si>
    <t>SONJA</t>
  </si>
  <si>
    <t>pam</t>
  </si>
  <si>
    <t xml:space="preserve">NATIONAL CERAMIC INDUSTRIES Sa     </t>
  </si>
  <si>
    <t>Makgako</t>
  </si>
  <si>
    <t>POD received from cell 0838232663 M</t>
  </si>
  <si>
    <t xml:space="preserve">ALUVIN SECURISEAL                  </t>
  </si>
  <si>
    <t>MARIA MOOTHOSAMY</t>
  </si>
  <si>
    <t>maria</t>
  </si>
  <si>
    <t>zeyanah</t>
  </si>
  <si>
    <t>saney</t>
  </si>
  <si>
    <t>Thamian</t>
  </si>
  <si>
    <t xml:space="preserve">AMCOR FLEXIBLE CAPE                </t>
  </si>
  <si>
    <t>themba</t>
  </si>
  <si>
    <t xml:space="preserve">VOLKSWAGEN OF SA                   </t>
  </si>
  <si>
    <t>mg madwara</t>
  </si>
  <si>
    <t>shamonick</t>
  </si>
  <si>
    <t xml:space="preserve">LEDA ENGINEERING SERVICES CC       </t>
  </si>
  <si>
    <t>Jayson</t>
  </si>
  <si>
    <t>POD received from cell 0636391488 M</t>
  </si>
  <si>
    <t>HUMAN</t>
  </si>
  <si>
    <t>HUMANSDORP</t>
  </si>
  <si>
    <t xml:space="preserve">WOODLANDS RESOURCE RECOVERY PL     </t>
  </si>
  <si>
    <t>william</t>
  </si>
  <si>
    <t>asanda</t>
  </si>
  <si>
    <t xml:space="preserve">WISE CRACKS                        </t>
  </si>
  <si>
    <t>MARK VAN ANTWERP</t>
  </si>
  <si>
    <t>anesa</t>
  </si>
  <si>
    <t>POD received from cell 0610951998 M</t>
  </si>
  <si>
    <t>Eric</t>
  </si>
  <si>
    <t xml:space="preserve">UMICORE CATALYST SA PTY LTD        </t>
  </si>
  <si>
    <t>RICARDO ASSAM</t>
  </si>
  <si>
    <t xml:space="preserve">CONTRACTUM (PTY)LTD                </t>
  </si>
  <si>
    <t>D WILLOWS</t>
  </si>
  <si>
    <t xml:space="preserve">PNEUMATIC RETAIL OPERATIONS        </t>
  </si>
  <si>
    <t>Bennett</t>
  </si>
  <si>
    <t xml:space="preserve">sbogiseni                     </t>
  </si>
  <si>
    <t xml:space="preserve">IMP AUTOMATED LABORATORY SERVI     </t>
  </si>
  <si>
    <t xml:space="preserve">AUTOMATION TECHNIQUES              </t>
  </si>
  <si>
    <t>J fourie</t>
  </si>
  <si>
    <t>joyce</t>
  </si>
  <si>
    <t>M ZUMA</t>
  </si>
  <si>
    <t xml:space="preserve">R.M INDUSTRIAL AUTOMATION          </t>
  </si>
  <si>
    <t>ann</t>
  </si>
  <si>
    <t>collen</t>
  </si>
  <si>
    <t xml:space="preserve">ANDRITZ DELKOR PTY LTD             </t>
  </si>
  <si>
    <t>JABU MHULA</t>
  </si>
  <si>
    <t xml:space="preserve">Rampersadh                    </t>
  </si>
  <si>
    <t xml:space="preserve">POD received from cell 0710864689 M     </t>
  </si>
  <si>
    <t>HOWIC</t>
  </si>
  <si>
    <t>HOWICK</t>
  </si>
  <si>
    <t xml:space="preserve">FAIRFIELD DAIRY PTY LTD            </t>
  </si>
  <si>
    <t>collin</t>
  </si>
  <si>
    <t xml:space="preserve">TECHNICRETE ISG                    </t>
  </si>
  <si>
    <t xml:space="preserve">babsie                        </t>
  </si>
  <si>
    <t xml:space="preserve">SME EXPORTS                        </t>
  </si>
  <si>
    <t>Lechandre</t>
  </si>
  <si>
    <t xml:space="preserve">UNIVERSAL PAPER   PLASTIC          </t>
  </si>
  <si>
    <t>J DE VILLIERS</t>
  </si>
  <si>
    <t>M M Tsonope</t>
  </si>
  <si>
    <t xml:space="preserve">MAVERICK PACKAGING                 </t>
  </si>
  <si>
    <t>Dawn</t>
  </si>
  <si>
    <t>POD received from cell 0736814363 M</t>
  </si>
  <si>
    <t xml:space="preserve">STAR HYDRAULICS   PNEUMATICS       </t>
  </si>
  <si>
    <t>Godfrey</t>
  </si>
  <si>
    <t>charles</t>
  </si>
  <si>
    <t>POD received from cell 0727949491 M</t>
  </si>
  <si>
    <t xml:space="preserve">nomvelo                       </t>
  </si>
  <si>
    <t>Talisa</t>
  </si>
  <si>
    <t xml:space="preserve">juanita                       </t>
  </si>
  <si>
    <t>Jabulani</t>
  </si>
  <si>
    <t xml:space="preserve">PRESSURE DIE CASTINGS PTY LTD      </t>
  </si>
  <si>
    <t>roy</t>
  </si>
  <si>
    <t>spha</t>
  </si>
  <si>
    <t xml:space="preserve">S.C. JOHNSON   SON SA (PTY)LTD     </t>
  </si>
  <si>
    <t xml:space="preserve">Lydia                         </t>
  </si>
  <si>
    <t xml:space="preserve">POD received from cell 0729919507 M     </t>
  </si>
  <si>
    <t xml:space="preserve">PATERSON HUGHES ENGINEERING        </t>
  </si>
  <si>
    <t xml:space="preserve">HANS                          </t>
  </si>
  <si>
    <t>kevin</t>
  </si>
  <si>
    <t xml:space="preserve">SMITHS MANUFACTURING               </t>
  </si>
  <si>
    <t>CHRIS BOTHA</t>
  </si>
  <si>
    <t xml:space="preserve">AM SYSTEMS INTEGRATION             </t>
  </si>
  <si>
    <t>RIAAN COETZE</t>
  </si>
  <si>
    <t xml:space="preserve">ACTIVE ENTERPRISES CC              </t>
  </si>
  <si>
    <t xml:space="preserve">Hylton                        </t>
  </si>
  <si>
    <t>niki</t>
  </si>
  <si>
    <t xml:space="preserve">TONGAAT HULETT STARCH PTY LTD      </t>
  </si>
  <si>
    <t>MANIE ELS</t>
  </si>
  <si>
    <t>Peter</t>
  </si>
  <si>
    <t>POD received from cell 0761190287 M</t>
  </si>
  <si>
    <t>Neil</t>
  </si>
  <si>
    <t xml:space="preserve">BASF SA PTY LTD                    </t>
  </si>
  <si>
    <t>Bruce</t>
  </si>
  <si>
    <t>Koos</t>
  </si>
  <si>
    <t xml:space="preserve">AVION EAST RAND PTY LTD            </t>
  </si>
  <si>
    <t>MORNE</t>
  </si>
  <si>
    <t>POD received from cell 0729630904 M</t>
  </si>
  <si>
    <t xml:space="preserve">COLLIN                        </t>
  </si>
  <si>
    <t>beloana</t>
  </si>
  <si>
    <t>khanyo</t>
  </si>
  <si>
    <t xml:space="preserve">PREMIER FGCM                       </t>
  </si>
  <si>
    <t>SINAZO</t>
  </si>
  <si>
    <t xml:space="preserve">GRINDING MEDIA SOUTH AFRICA        </t>
  </si>
  <si>
    <t>amt</t>
  </si>
  <si>
    <t>PHINDILE</t>
  </si>
  <si>
    <t>zandile</t>
  </si>
  <si>
    <t xml:space="preserve">B EMMA                        </t>
  </si>
  <si>
    <t>BETHL</t>
  </si>
  <si>
    <t>BETHLEHEM</t>
  </si>
  <si>
    <t xml:space="preserve">BUILD IT BETLHEHEM                 </t>
  </si>
  <si>
    <t>POD received from cell 0731643511 M</t>
  </si>
  <si>
    <t>Ernest</t>
  </si>
  <si>
    <t xml:space="preserve">ENTYCE BEVERAGES                   </t>
  </si>
  <si>
    <t>Mohammed</t>
  </si>
  <si>
    <t>POD received from cell 0731123851 M</t>
  </si>
  <si>
    <t>goodman</t>
  </si>
  <si>
    <t>POD received from cell 0732937434 M</t>
  </si>
  <si>
    <t xml:space="preserve">BMI COVERLAN PTY LTD               </t>
  </si>
  <si>
    <t>manny</t>
  </si>
  <si>
    <t>POD received from cell 0823984226 M</t>
  </si>
  <si>
    <t>Oupa</t>
  </si>
  <si>
    <t xml:space="preserve">EVRIGARD PTY LTD                   </t>
  </si>
  <si>
    <t>LEON GOVENDER</t>
  </si>
  <si>
    <t>Lincoln</t>
  </si>
  <si>
    <t xml:space="preserve">ZETES (PTY)LTD                     </t>
  </si>
  <si>
    <t xml:space="preserve">thabang                       </t>
  </si>
  <si>
    <t>Bernard</t>
  </si>
  <si>
    <t>THEO</t>
  </si>
  <si>
    <t xml:space="preserve">NELLY                         </t>
  </si>
  <si>
    <t>PORT1</t>
  </si>
  <si>
    <t>PORT ALFRED</t>
  </si>
  <si>
    <t xml:space="preserve">UPS SHAVINGS                       </t>
  </si>
  <si>
    <t>LM DREYER</t>
  </si>
  <si>
    <t>c17924</t>
  </si>
  <si>
    <t xml:space="preserve">FESTO (PTY) LTD - NEWTON PARK      </t>
  </si>
  <si>
    <t xml:space="preserve">FESTO (PTY)LTD                     </t>
  </si>
  <si>
    <t>ROBBY MOFOKENG</t>
  </si>
  <si>
    <t>PATRICK PRENT</t>
  </si>
  <si>
    <t>Mkhize</t>
  </si>
  <si>
    <t>zandie</t>
  </si>
  <si>
    <t>baij</t>
  </si>
  <si>
    <t>aubrey</t>
  </si>
  <si>
    <t>NHLANHLA</t>
  </si>
  <si>
    <t>Zeenat</t>
  </si>
  <si>
    <t>POD received from cell 0792561133 M</t>
  </si>
  <si>
    <t xml:space="preserve">AUTOLIV SA                         </t>
  </si>
  <si>
    <t>HANLIE</t>
  </si>
  <si>
    <t>GORDA</t>
  </si>
  <si>
    <t xml:space="preserve">CYCLONE INDUSTRIES PTY LTD         </t>
  </si>
  <si>
    <t>CHARLENE</t>
  </si>
  <si>
    <t>bart</t>
  </si>
  <si>
    <t>shaakur</t>
  </si>
  <si>
    <t xml:space="preserve">COCA COLA CANNERS OF SA            </t>
  </si>
  <si>
    <t>DEIRDRE PLINT</t>
  </si>
  <si>
    <t>JONES</t>
  </si>
  <si>
    <t>MICHAEL</t>
  </si>
  <si>
    <t>l james</t>
  </si>
  <si>
    <t>poven</t>
  </si>
  <si>
    <t>thabang</t>
  </si>
  <si>
    <t>FES1162716448</t>
  </si>
  <si>
    <t xml:space="preserve">TONGAAT HULETTS GROUP LIMITED      </t>
  </si>
  <si>
    <t>Ronaldo</t>
  </si>
  <si>
    <t xml:space="preserve">PRECISION METAL PRODUCTS           </t>
  </si>
  <si>
    <t>dhaya</t>
  </si>
  <si>
    <t>H Robb</t>
  </si>
  <si>
    <t xml:space="preserve">DYNAMIC PLASITC                    </t>
  </si>
  <si>
    <t>Chaian</t>
  </si>
  <si>
    <t>erly delivery</t>
  </si>
  <si>
    <t>P BARLEN</t>
  </si>
  <si>
    <t>niren</t>
  </si>
  <si>
    <t xml:space="preserve">MA AUTOMOTIVE TOOL   DIE           </t>
  </si>
  <si>
    <t>LYDEN</t>
  </si>
  <si>
    <t xml:space="preserve">TI AUTOMOTIVE FUEL SYSTEMS         </t>
  </si>
  <si>
    <t>Prinsloo</t>
  </si>
  <si>
    <t xml:space="preserve">APL CATONS CT                      </t>
  </si>
  <si>
    <t>wezile</t>
  </si>
  <si>
    <t xml:space="preserve">Slk Bolt And Nuts                  </t>
  </si>
  <si>
    <t xml:space="preserve">joseph                        </t>
  </si>
  <si>
    <t xml:space="preserve">POD received from cell 0768934183 M     </t>
  </si>
  <si>
    <t xml:space="preserve">FIRST CUT PTY LTD                  </t>
  </si>
  <si>
    <t>hillary</t>
  </si>
  <si>
    <t xml:space="preserve">EXCEL TOOLING                      </t>
  </si>
  <si>
    <t>gwen</t>
  </si>
  <si>
    <t>Rudi</t>
  </si>
  <si>
    <t xml:space="preserve">suanne                        </t>
  </si>
  <si>
    <t xml:space="preserve">copper                        </t>
  </si>
  <si>
    <t>Yonela</t>
  </si>
  <si>
    <t xml:space="preserve">ERA STENE   ROSEMA BRICKS PTY      </t>
  </si>
  <si>
    <t>marco</t>
  </si>
  <si>
    <t xml:space="preserve">PPC CEMENT SA (PTY)LTD             </t>
  </si>
  <si>
    <t xml:space="preserve">DENNIS                        </t>
  </si>
  <si>
    <t xml:space="preserve">QUANTUM AUTMOTICE                  </t>
  </si>
  <si>
    <t>JOYCE</t>
  </si>
  <si>
    <t xml:space="preserve">ENTERPRISE FOODS                   </t>
  </si>
  <si>
    <t>PHALANDWA</t>
  </si>
  <si>
    <t>bert kriel</t>
  </si>
  <si>
    <t xml:space="preserve">NATIONAL BRANDS BIS   SNK DIV      </t>
  </si>
  <si>
    <t>MEMORY OOSTHUIZEN</t>
  </si>
  <si>
    <t>Silas</t>
  </si>
  <si>
    <t xml:space="preserve">WASSERTEC OZONE SYSTEMS            </t>
  </si>
  <si>
    <t>marlie</t>
  </si>
  <si>
    <t>Afrika</t>
  </si>
  <si>
    <t>POD received from cell 0619762165 M</t>
  </si>
  <si>
    <t xml:space="preserve">KDP HYDRAULIC SERVICES   ENG C     </t>
  </si>
  <si>
    <t>JACO VAN DER MIST</t>
  </si>
  <si>
    <t>Joyce</t>
  </si>
  <si>
    <t xml:space="preserve">lorinda                       </t>
  </si>
  <si>
    <t xml:space="preserve">POD received from cell 0825362192 M     </t>
  </si>
  <si>
    <t xml:space="preserve">G S VAN NIEUWENHUIZEN         </t>
  </si>
  <si>
    <t xml:space="preserve">COCA COLA BEVERAGES SA             </t>
  </si>
  <si>
    <t>thula</t>
  </si>
  <si>
    <t xml:space="preserve">PARMALAT SA (PTY) LTD              </t>
  </si>
  <si>
    <t>ivan</t>
  </si>
  <si>
    <t>Johannes</t>
  </si>
  <si>
    <t xml:space="preserve">UNILEVER SOUTH AFRICA PTY LTD      </t>
  </si>
  <si>
    <t>marlin</t>
  </si>
  <si>
    <t xml:space="preserve">B.T. ENTERPRISES                   </t>
  </si>
  <si>
    <t>GERHARD</t>
  </si>
  <si>
    <t>louise</t>
  </si>
  <si>
    <t>SAMSON M</t>
  </si>
  <si>
    <t xml:space="preserve">PIONEER FOODS GROCERIES (PTY)L     </t>
  </si>
  <si>
    <t>OUMA</t>
  </si>
  <si>
    <t xml:space="preserve">CAPITAL MAITANACE                  </t>
  </si>
  <si>
    <t>simon</t>
  </si>
  <si>
    <t xml:space="preserve">Jabulani                      </t>
  </si>
  <si>
    <t xml:space="preserve">COCA -COLA BEVERAGES SOUTH AFR     </t>
  </si>
  <si>
    <t>k gounden</t>
  </si>
  <si>
    <t xml:space="preserve">C   M HYDRAULIC SERVICES           </t>
  </si>
  <si>
    <t xml:space="preserve">DURR SOUTH AFRICA                  </t>
  </si>
  <si>
    <t>yaseen</t>
  </si>
  <si>
    <t xml:space="preserve">FLOWSERVE SA PTY LTD               </t>
  </si>
  <si>
    <t>Musa</t>
  </si>
  <si>
    <t>DIMAKATSO</t>
  </si>
  <si>
    <t xml:space="preserve">EXTRUFORM PTY LTD                  </t>
  </si>
  <si>
    <t>shadai</t>
  </si>
  <si>
    <t xml:space="preserve">BALLENA TRADING 31 PTY LTD         </t>
  </si>
  <si>
    <t>RISHAL RAMKISSORE</t>
  </si>
  <si>
    <t>GREMMAH</t>
  </si>
  <si>
    <t xml:space="preserve">INDUSTRIAL COMPONENTS              </t>
  </si>
  <si>
    <t>daniel</t>
  </si>
  <si>
    <t>mkhize</t>
  </si>
  <si>
    <t xml:space="preserve">I M E SA                           </t>
  </si>
  <si>
    <t>NICKY</t>
  </si>
  <si>
    <t xml:space="preserve">Hanne                         </t>
  </si>
  <si>
    <t xml:space="preserve">POD received from cell 0718141551 M     </t>
  </si>
  <si>
    <t>DBC AS PER TONY</t>
  </si>
  <si>
    <t>selby</t>
  </si>
  <si>
    <t xml:space="preserve">jeff                          </t>
  </si>
  <si>
    <t xml:space="preserve">COMPRESSED AIR EQUIP               </t>
  </si>
  <si>
    <t xml:space="preserve">FESTO JHB                          </t>
  </si>
  <si>
    <t>NOMA</t>
  </si>
  <si>
    <t>rdd</t>
  </si>
  <si>
    <t xml:space="preserve">WARSHAY INVESTMENTS (PTY)LTD       </t>
  </si>
  <si>
    <t>Frikkie</t>
  </si>
  <si>
    <t>POD received from cell 0719864304 M</t>
  </si>
  <si>
    <t>DEREK ALLEN</t>
  </si>
  <si>
    <t>POD received from cell 0617990218 M</t>
  </si>
  <si>
    <t>Kathleen</t>
  </si>
  <si>
    <t xml:space="preserve">CORNING PRODUCTS                   </t>
  </si>
  <si>
    <t xml:space="preserve">NOVUS PRINT (PTY)LTD               </t>
  </si>
  <si>
    <t>S MTSHINGILA</t>
  </si>
  <si>
    <t xml:space="preserve">PROGETTO INTERNATIONAL             </t>
  </si>
  <si>
    <t>Nico</t>
  </si>
  <si>
    <t>kwusile</t>
  </si>
  <si>
    <t>andiswa</t>
  </si>
  <si>
    <t>henry</t>
  </si>
  <si>
    <t xml:space="preserve">NEW PNEUMATICS DISTRIBUTORS        </t>
  </si>
  <si>
    <t xml:space="preserve">georges                       </t>
  </si>
  <si>
    <t xml:space="preserve">silas                         </t>
  </si>
  <si>
    <t>E ERT</t>
  </si>
  <si>
    <t xml:space="preserve">DEFY APPLIANCES (PTY)LTD           </t>
  </si>
  <si>
    <t xml:space="preserve">GUGU                          </t>
  </si>
  <si>
    <t xml:space="preserve">DG IMPEX CC                        </t>
  </si>
  <si>
    <t xml:space="preserve">willin                        </t>
  </si>
  <si>
    <t xml:space="preserve">POD received from cell 0713017212 M     </t>
  </si>
  <si>
    <t xml:space="preserve">SPIRAX SARCO SA                    </t>
  </si>
  <si>
    <t>ZONIKA JACOBS</t>
  </si>
  <si>
    <t xml:space="preserve">Joseph                        </t>
  </si>
  <si>
    <t xml:space="preserve">POD received from cell 0837323487 M     </t>
  </si>
  <si>
    <t>wez</t>
  </si>
  <si>
    <t xml:space="preserve">marcus                        </t>
  </si>
  <si>
    <t xml:space="preserve">POD received from cell 0824745801 M     </t>
  </si>
  <si>
    <t>F RAS</t>
  </si>
  <si>
    <t>peter</t>
  </si>
  <si>
    <t>moo</t>
  </si>
  <si>
    <t>PHR</t>
  </si>
  <si>
    <t>roxy</t>
  </si>
  <si>
    <t xml:space="preserve">UTI JET PARK                       </t>
  </si>
  <si>
    <t>lanton</t>
  </si>
  <si>
    <t xml:space="preserve">SAAB GRINTEK DEFENCE PTY LTD       </t>
  </si>
  <si>
    <t>PETER DUIMPIES</t>
  </si>
  <si>
    <t>winston</t>
  </si>
  <si>
    <t>POD received from cell 0796327755 M</t>
  </si>
  <si>
    <t xml:space="preserve">LYNDON                        </t>
  </si>
  <si>
    <t xml:space="preserve">POD received from cell 0723786860 M     </t>
  </si>
  <si>
    <t xml:space="preserve">SPRING MEADOW DAIRY FARM (PTY)     </t>
  </si>
  <si>
    <t>siphephelo</t>
  </si>
  <si>
    <t xml:space="preserve">THOBILE                       </t>
  </si>
  <si>
    <t>SIGN</t>
  </si>
  <si>
    <t>Rivash</t>
  </si>
  <si>
    <t xml:space="preserve">A C PNEUMATICS                     </t>
  </si>
  <si>
    <t>Brian</t>
  </si>
  <si>
    <t>POD received from cell 0655572018 M</t>
  </si>
  <si>
    <t xml:space="preserve">VANNPAX PACKAGING SUPPORT          </t>
  </si>
  <si>
    <t xml:space="preserve">CEREBOS LTD                        </t>
  </si>
  <si>
    <t>lombard</t>
  </si>
  <si>
    <t>nandipha</t>
  </si>
  <si>
    <t>lungiswa</t>
  </si>
  <si>
    <t>Reevah</t>
  </si>
  <si>
    <t xml:space="preserve">INDECON CC                         </t>
  </si>
  <si>
    <t>A Nel</t>
  </si>
  <si>
    <t>Rashaad</t>
  </si>
  <si>
    <t xml:space="preserve">CHILL BEVERAGES INTERNATIONAL      </t>
  </si>
  <si>
    <t>fralena</t>
  </si>
  <si>
    <t>FRANCINA</t>
  </si>
  <si>
    <t xml:space="preserve">MITTAL STEEL SOUTH AFRICA LIMI     </t>
  </si>
  <si>
    <t>COLLIN - CENTRAL RECEIVING</t>
  </si>
  <si>
    <t>Kerileng</t>
  </si>
  <si>
    <t>TES</t>
  </si>
  <si>
    <t>DZAULO</t>
  </si>
  <si>
    <t xml:space="preserve">SUNNY MACHINES MANUFACTURING P     </t>
  </si>
  <si>
    <t>vanessa</t>
  </si>
  <si>
    <t xml:space="preserve">SIGNATURE                     </t>
  </si>
  <si>
    <t xml:space="preserve">MITTAL STEEL SA LTD                </t>
  </si>
  <si>
    <t>THULI MASOOA</t>
  </si>
  <si>
    <t>boipelo</t>
  </si>
  <si>
    <t>POD received from cell 0787652707 M</t>
  </si>
  <si>
    <t xml:space="preserve">LEONARD DIGLER (PTY)LTD            </t>
  </si>
  <si>
    <t>POTLAKO</t>
  </si>
  <si>
    <t xml:space="preserve">TRANSNET                           </t>
  </si>
  <si>
    <t xml:space="preserve">portia                        </t>
  </si>
  <si>
    <t>non</t>
  </si>
  <si>
    <t xml:space="preserve">POD received from cell 0796132179 M     </t>
  </si>
  <si>
    <t>DANIEL</t>
  </si>
  <si>
    <t>LERATO</t>
  </si>
  <si>
    <t xml:space="preserve">Zakhele                       </t>
  </si>
  <si>
    <t>malcolm</t>
  </si>
  <si>
    <t>jolene</t>
  </si>
  <si>
    <t xml:space="preserve">D.GRADINER   C.SMITH               </t>
  </si>
  <si>
    <t>c smith</t>
  </si>
  <si>
    <t>R  Kanisa</t>
  </si>
  <si>
    <t xml:space="preserve">erve                          </t>
  </si>
  <si>
    <t xml:space="preserve">Joel                          </t>
  </si>
  <si>
    <t xml:space="preserve">PHARMAPAC (PTY)LTD                 </t>
  </si>
  <si>
    <t>JABULANI</t>
  </si>
  <si>
    <t xml:space="preserve">RCL FOODS SUGAR   MILING (PTY)     </t>
  </si>
  <si>
    <t>Ria</t>
  </si>
  <si>
    <t>santidh</t>
  </si>
  <si>
    <t>conroy</t>
  </si>
  <si>
    <t xml:space="preserve">FOXTEC-IKHWEZI PTY LTD             </t>
  </si>
  <si>
    <t>VUYO MALI</t>
  </si>
  <si>
    <t>zolani</t>
  </si>
  <si>
    <t xml:space="preserve">HYDRABERG HYDRAULICS CC            </t>
  </si>
  <si>
    <t>Tania</t>
  </si>
  <si>
    <t xml:space="preserve">A.P.L. CARTONS (PTY) LTD           </t>
  </si>
  <si>
    <t>JOEL</t>
  </si>
  <si>
    <t>JOWILL</t>
  </si>
  <si>
    <t>gert</t>
  </si>
  <si>
    <t xml:space="preserve">ALPHA HYDRAULICS                   </t>
  </si>
  <si>
    <t>army</t>
  </si>
  <si>
    <t>Sharishna</t>
  </si>
  <si>
    <t>rajesa</t>
  </si>
  <si>
    <t xml:space="preserve">CLOVER S.A                         </t>
  </si>
  <si>
    <t>megan</t>
  </si>
  <si>
    <t xml:space="preserve">COCA COLA BEVERAGES SA(Pty) LT     </t>
  </si>
  <si>
    <t>ABISAI</t>
  </si>
  <si>
    <t xml:space="preserve">VC AUTOMATION   INDUSTRIAL CON     </t>
  </si>
  <si>
    <t>VERNON</t>
  </si>
  <si>
    <t>Helmet</t>
  </si>
  <si>
    <t>MIDD2</t>
  </si>
  <si>
    <t>MIDDELBURG (Mpumalanga)</t>
  </si>
  <si>
    <t xml:space="preserve">REDLAND ENGINEERING PTY LTD        </t>
  </si>
  <si>
    <t>Jenny</t>
  </si>
  <si>
    <t>POD received from cell 0733250519 M</t>
  </si>
  <si>
    <t xml:space="preserve">FELTEX                             </t>
  </si>
  <si>
    <t>RAY</t>
  </si>
  <si>
    <t>abram</t>
  </si>
  <si>
    <t>POD received from cell 0633672030 M</t>
  </si>
  <si>
    <t>BOX</t>
  </si>
  <si>
    <t>Carlize</t>
  </si>
  <si>
    <t xml:space="preserve">INDECON                            </t>
  </si>
  <si>
    <t>ZIYAAD</t>
  </si>
  <si>
    <t>christie</t>
  </si>
  <si>
    <t xml:space="preserve">BANDINI CHEESE PTY LTD             </t>
  </si>
  <si>
    <t>paulina</t>
  </si>
  <si>
    <t>thabile</t>
  </si>
  <si>
    <t>CAROLINE</t>
  </si>
  <si>
    <t>jacob</t>
  </si>
  <si>
    <t xml:space="preserve">PMD PACKAGING SYSTEMS              </t>
  </si>
  <si>
    <t>ANDRE</t>
  </si>
  <si>
    <t xml:space="preserve">FOXOLUTION SYSTEMS ENG CC          </t>
  </si>
  <si>
    <t>Rashni</t>
  </si>
  <si>
    <t xml:space="preserve">VEES AUTOMATIVE PIPES   FITTIN     </t>
  </si>
  <si>
    <t>JUDELIZE ENSLIN</t>
  </si>
  <si>
    <t>RICHARD</t>
  </si>
  <si>
    <t>MARKUS NOERTEMANN</t>
  </si>
  <si>
    <t xml:space="preserve">garry                         </t>
  </si>
  <si>
    <t xml:space="preserve">PRO PROJECT ENGINEERING            </t>
  </si>
  <si>
    <t>Donovan</t>
  </si>
  <si>
    <t>RYAN</t>
  </si>
  <si>
    <t>Nita</t>
  </si>
  <si>
    <t>wieber</t>
  </si>
  <si>
    <t>Larry</t>
  </si>
  <si>
    <t xml:space="preserve">trevor                        </t>
  </si>
  <si>
    <t>lesego</t>
  </si>
  <si>
    <t xml:space="preserve">REHAU POLYMER PTY LTD              </t>
  </si>
  <si>
    <t>lubelelo</t>
  </si>
  <si>
    <t xml:space="preserve">TABLEGEAR CC                       </t>
  </si>
  <si>
    <t xml:space="preserve">YANFENG SA AUTOMOTIVE              </t>
  </si>
  <si>
    <t>Lydia</t>
  </si>
  <si>
    <t>PIETER RAUBENHEIMER</t>
  </si>
  <si>
    <t>Pieter</t>
  </si>
  <si>
    <t xml:space="preserve">UNIQUE HYDRA (PTY)LTD              </t>
  </si>
  <si>
    <t>natal</t>
  </si>
  <si>
    <t>sigini</t>
  </si>
  <si>
    <t xml:space="preserve">ZF LEMFORDER SA (PTY)LTD           </t>
  </si>
  <si>
    <t>Benton</t>
  </si>
  <si>
    <t xml:space="preserve">XMECO HEAVY ENGINEERING PTY LT     </t>
  </si>
  <si>
    <t>XMECO HEAVY ENGINEERING PTY LT</t>
  </si>
  <si>
    <t>thomas</t>
  </si>
  <si>
    <t>sam</t>
  </si>
  <si>
    <t>andile</t>
  </si>
  <si>
    <t xml:space="preserve">Lindsay                       </t>
  </si>
  <si>
    <t xml:space="preserve">POD received from cell 0725006442 M     </t>
  </si>
  <si>
    <t xml:space="preserve">BREWTECH EMGINERRING               </t>
  </si>
  <si>
    <t>thabo</t>
  </si>
  <si>
    <t xml:space="preserve">BRIDGE PROCUREMENT                 </t>
  </si>
  <si>
    <t>PRESHAN REDDY</t>
  </si>
  <si>
    <t xml:space="preserve">NEPHTER                       </t>
  </si>
  <si>
    <t xml:space="preserve">MACHINE SERVICES                   </t>
  </si>
  <si>
    <t>Maria</t>
  </si>
  <si>
    <t>NIGEL</t>
  </si>
  <si>
    <t xml:space="preserve">M   C BEARINGS   TRANSMISSION      </t>
  </si>
  <si>
    <t>jobb</t>
  </si>
  <si>
    <t xml:space="preserve">ADCOCK INGRAM HEALTHCARE           </t>
  </si>
  <si>
    <t>PHINDIWE GABA</t>
  </si>
  <si>
    <t>memela</t>
  </si>
  <si>
    <t xml:space="preserve">EMMA                          </t>
  </si>
  <si>
    <t xml:space="preserve">MARTIN ENGINEERING                 </t>
  </si>
  <si>
    <t>signed</t>
  </si>
  <si>
    <t>POD received from cell 0722601650 M</t>
  </si>
  <si>
    <t xml:space="preserve">MEGA - PAK                         </t>
  </si>
  <si>
    <t>RESHMA</t>
  </si>
  <si>
    <t xml:space="preserve">gerry                         </t>
  </si>
  <si>
    <t>SECURITY</t>
  </si>
  <si>
    <t xml:space="preserve">DUNLOP INDUSTRIAL PRODUCTS PTY     </t>
  </si>
  <si>
    <t>WARREN   Julian Chetty</t>
  </si>
  <si>
    <t xml:space="preserve">chelsey                       </t>
  </si>
  <si>
    <t xml:space="preserve">POD received from cell 0727287520 M     </t>
  </si>
  <si>
    <t>SUGAN</t>
  </si>
  <si>
    <t>Ruen</t>
  </si>
  <si>
    <t>sygan</t>
  </si>
  <si>
    <t>SIPHELELE</t>
  </si>
  <si>
    <t xml:space="preserve">Ctp Flexibles                      </t>
  </si>
  <si>
    <t>alvinita</t>
  </si>
  <si>
    <t>VINESSAN</t>
  </si>
  <si>
    <t>Varetia</t>
  </si>
  <si>
    <t>s zulu</t>
  </si>
  <si>
    <t xml:space="preserve">HENDOK DISTRIBUTION (PTY) LTD      </t>
  </si>
  <si>
    <t>depn</t>
  </si>
  <si>
    <t>STANG</t>
  </si>
  <si>
    <t>STANGER</t>
  </si>
  <si>
    <t>d pillay</t>
  </si>
  <si>
    <t>POD received from cell 0733986414 M</t>
  </si>
  <si>
    <t>amon</t>
  </si>
  <si>
    <t>Heather</t>
  </si>
  <si>
    <t>zeenat</t>
  </si>
  <si>
    <t xml:space="preserve">Patrick                       </t>
  </si>
  <si>
    <t>R Geduld</t>
  </si>
  <si>
    <t>LUNGA</t>
  </si>
  <si>
    <t>Nichane</t>
  </si>
  <si>
    <t>Outlying delivery location</t>
  </si>
  <si>
    <t>MPHAKANYISWA</t>
  </si>
  <si>
    <t>macka</t>
  </si>
  <si>
    <t xml:space="preserve">LINDE + WIEMANN (PTY) LTD          </t>
  </si>
  <si>
    <t>putter</t>
  </si>
  <si>
    <t>MZIMASE</t>
  </si>
  <si>
    <t xml:space="preserve">HALEWOOD INTERNATIONAL             </t>
  </si>
  <si>
    <t>Rita</t>
  </si>
  <si>
    <t>graig</t>
  </si>
  <si>
    <t xml:space="preserve">SCAW SA                            </t>
  </si>
  <si>
    <t>LOBOHANG</t>
  </si>
  <si>
    <t>frans</t>
  </si>
  <si>
    <t>constance</t>
  </si>
  <si>
    <t>phinias</t>
  </si>
  <si>
    <t>nomvelo</t>
  </si>
  <si>
    <t xml:space="preserve">MACSTEEL COIL PROCESSING           </t>
  </si>
  <si>
    <t>HENRICH VAN DEN BERG</t>
  </si>
  <si>
    <t>nkululeko</t>
  </si>
  <si>
    <t xml:space="preserve">RHODES FOOD GROUP                  </t>
  </si>
  <si>
    <t xml:space="preserve">ntsako                        </t>
  </si>
  <si>
    <t xml:space="preserve">HUNTER DOUGLAS S.A (PTY)LTD        </t>
  </si>
  <si>
    <t xml:space="preserve">malenie                       </t>
  </si>
  <si>
    <t>signature</t>
  </si>
  <si>
    <t>Box</t>
  </si>
  <si>
    <t>nomthando</t>
  </si>
  <si>
    <t xml:space="preserve">zandile                       </t>
  </si>
  <si>
    <t>Nqoba</t>
  </si>
  <si>
    <t>absalom</t>
  </si>
  <si>
    <t xml:space="preserve">BEARING   ACCESSORIES CC           </t>
  </si>
  <si>
    <t>Lenny</t>
  </si>
  <si>
    <t>elisha</t>
  </si>
  <si>
    <t xml:space="preserve">AL ZEHRI INVESTMENTS PTY LTD       </t>
  </si>
  <si>
    <t>jasa</t>
  </si>
  <si>
    <t>Pauline</t>
  </si>
  <si>
    <t xml:space="preserve">Jamie                         </t>
  </si>
  <si>
    <t xml:space="preserve">JOHNSON   JOHNSON PTY LTD          </t>
  </si>
  <si>
    <t>BONGINKOSI ZOKUFA</t>
  </si>
  <si>
    <t>kwakhanya</t>
  </si>
  <si>
    <t xml:space="preserve">KW BREAD PACKAGING SYSTEMS CC      </t>
  </si>
  <si>
    <t xml:space="preserve">WENDY                         </t>
  </si>
  <si>
    <t xml:space="preserve">NON FERROUS METAL WORKS SA PTY     </t>
  </si>
  <si>
    <t>SHARMALA LACHMAN</t>
  </si>
  <si>
    <t>RIAAN</t>
  </si>
  <si>
    <t xml:space="preserve">BRANDLINE PACKAGING (PTY)LTD       </t>
  </si>
  <si>
    <t>SITHEMBISO</t>
  </si>
  <si>
    <t>keolan</t>
  </si>
  <si>
    <t xml:space="preserve">DURIA                         </t>
  </si>
  <si>
    <t>sandisile</t>
  </si>
  <si>
    <t>lwellyn</t>
  </si>
  <si>
    <t>nikesh</t>
  </si>
  <si>
    <t xml:space="preserve">LEDA ENGINEERING                   </t>
  </si>
  <si>
    <t>PAUL</t>
  </si>
  <si>
    <t xml:space="preserve">B M Nxele                     </t>
  </si>
  <si>
    <t xml:space="preserve">MASTER PNEUMATIC AFRICA            </t>
  </si>
  <si>
    <t>REUBEN MATOLONG</t>
  </si>
  <si>
    <t>Reuben</t>
  </si>
  <si>
    <t xml:space="preserve">ZIKALALA                      </t>
  </si>
  <si>
    <t>TOMELO MOOKETSI</t>
  </si>
  <si>
    <t>Boitumelo</t>
  </si>
  <si>
    <t xml:space="preserve">Elias                         </t>
  </si>
  <si>
    <t xml:space="preserve">POLYOAK PACKAGING (PTY) LTD        </t>
  </si>
  <si>
    <t>MICHELLE   WESLEY</t>
  </si>
  <si>
    <t>Clinton</t>
  </si>
  <si>
    <t>Geroy</t>
  </si>
  <si>
    <t>POD received from cell 0849191253 M</t>
  </si>
  <si>
    <t xml:space="preserve">FLOMECH CC                         </t>
  </si>
  <si>
    <t>SENZO</t>
  </si>
  <si>
    <t>POD received from cell 0748410312 M</t>
  </si>
  <si>
    <t>Reshma</t>
  </si>
  <si>
    <t>thule</t>
  </si>
  <si>
    <t>africa</t>
  </si>
  <si>
    <t>randall</t>
  </si>
  <si>
    <t xml:space="preserve">AFRIT PTY LTD                      </t>
  </si>
  <si>
    <t>Wimpy</t>
  </si>
  <si>
    <t xml:space="preserve">SHONES AUTOMATION                  </t>
  </si>
  <si>
    <t>Malan</t>
  </si>
  <si>
    <t xml:space="preserve">illage                        </t>
  </si>
  <si>
    <t>SWELL</t>
  </si>
  <si>
    <t>SWELLENDAM</t>
  </si>
  <si>
    <t xml:space="preserve">SOUTHERN OIL LTD T A SOILL         </t>
  </si>
  <si>
    <t>A CHETTY</t>
  </si>
  <si>
    <t xml:space="preserve">RESCUE TECHNOLOGY CC               </t>
  </si>
  <si>
    <t>STEWART</t>
  </si>
  <si>
    <t>MPHO</t>
  </si>
  <si>
    <t xml:space="preserve">BADER SA PTY LTD                   </t>
  </si>
  <si>
    <t>TEBOGO BAPELA</t>
  </si>
  <si>
    <t>Stephen</t>
  </si>
  <si>
    <t xml:space="preserve">IDWALA CARBONATES                  </t>
  </si>
  <si>
    <t>fortune</t>
  </si>
  <si>
    <t>Esther</t>
  </si>
  <si>
    <t>f</t>
  </si>
  <si>
    <t xml:space="preserve">PRAGA TECHNICAL PTY LTD            </t>
  </si>
  <si>
    <t>LOOTIE VERMELULEN</t>
  </si>
  <si>
    <t>Andre</t>
  </si>
  <si>
    <t>ronaldo</t>
  </si>
  <si>
    <t xml:space="preserve">SNEAKER SNACKS CC                  </t>
  </si>
  <si>
    <t xml:space="preserve">S.A. MINT                          </t>
  </si>
  <si>
    <t>POD received from cell 0823882083 M</t>
  </si>
  <si>
    <t>Linda</t>
  </si>
  <si>
    <t xml:space="preserve">AFROX SAFETY SELF RESCUE DIV       </t>
  </si>
  <si>
    <t>MABASO</t>
  </si>
  <si>
    <t xml:space="preserve">winny                         </t>
  </si>
  <si>
    <t xml:space="preserve">POD received from cell 0631962221 M     </t>
  </si>
  <si>
    <t xml:space="preserve">Roshni                        </t>
  </si>
  <si>
    <t xml:space="preserve">POD received from cell 0215903200 M     </t>
  </si>
  <si>
    <t xml:space="preserve">FIRST NATIONAL BATTEREY            </t>
  </si>
  <si>
    <t>J ANGELBECK</t>
  </si>
  <si>
    <t xml:space="preserve">Tucs                          </t>
  </si>
  <si>
    <t xml:space="preserve">POD received from cell 0619762165 M     </t>
  </si>
  <si>
    <t>b emma</t>
  </si>
  <si>
    <t>POD received from cell 0656213221 M</t>
  </si>
  <si>
    <t>Jennifer</t>
  </si>
  <si>
    <t>Terence</t>
  </si>
  <si>
    <t>POD received from cell 0612827599 M</t>
  </si>
  <si>
    <t>thobejane</t>
  </si>
  <si>
    <t xml:space="preserve">RICHARD                       </t>
  </si>
  <si>
    <t>JACKIE</t>
  </si>
  <si>
    <t xml:space="preserve">morni                         </t>
  </si>
  <si>
    <t xml:space="preserve">POD received from cell 0729630904 M     </t>
  </si>
  <si>
    <t xml:space="preserve">NEOPAK PTY LTD                     </t>
  </si>
  <si>
    <t>GERT VAN NIEKERK</t>
  </si>
  <si>
    <t xml:space="preserve">fortune                       </t>
  </si>
  <si>
    <t xml:space="preserve">VITAL HEALTH FOODS PTY LTD         </t>
  </si>
  <si>
    <t xml:space="preserve">Sheila                        </t>
  </si>
  <si>
    <t xml:space="preserve">R BOOYSEN                     </t>
  </si>
  <si>
    <t>nolita</t>
  </si>
  <si>
    <t xml:space="preserve">thando                        </t>
  </si>
  <si>
    <t xml:space="preserve">ZOOMARATI                          </t>
  </si>
  <si>
    <t>ERNEST MOREMEDI</t>
  </si>
  <si>
    <t>LETTA</t>
  </si>
  <si>
    <t>katlego</t>
  </si>
  <si>
    <t xml:space="preserve">Rand Refinery                      </t>
  </si>
  <si>
    <t xml:space="preserve">lulams ndobe                  </t>
  </si>
  <si>
    <t xml:space="preserve">ndumiso                       </t>
  </si>
  <si>
    <t xml:space="preserve">TRUDA SNACKS CAPE CC               </t>
  </si>
  <si>
    <t>clive</t>
  </si>
  <si>
    <t>povrn</t>
  </si>
  <si>
    <t>priscilla</t>
  </si>
  <si>
    <t>stamp</t>
  </si>
  <si>
    <t>siphon</t>
  </si>
  <si>
    <t>Cara</t>
  </si>
  <si>
    <t>POD received from cell 0633630690 M</t>
  </si>
  <si>
    <t xml:space="preserve">JOWILL                        </t>
  </si>
  <si>
    <t>U Wange</t>
  </si>
  <si>
    <t xml:space="preserve">Donovan                       </t>
  </si>
  <si>
    <t xml:space="preserve">DUTTON PLASTICS ENGINEERING        </t>
  </si>
  <si>
    <t>MILLY</t>
  </si>
  <si>
    <t>IRENE</t>
  </si>
  <si>
    <t>freddy</t>
  </si>
  <si>
    <t>melenie</t>
  </si>
  <si>
    <t xml:space="preserve">Oupa                          </t>
  </si>
  <si>
    <t>Bronwon</t>
  </si>
  <si>
    <t xml:space="preserve">ANALOG   DIGITAL POWER ELECTRO     </t>
  </si>
  <si>
    <t xml:space="preserve">graydon                       </t>
  </si>
  <si>
    <t xml:space="preserve">BROADWAY SWEETS                    </t>
  </si>
  <si>
    <t xml:space="preserve">EXEKIEL                       </t>
  </si>
  <si>
    <t xml:space="preserve">LEAR SEWING PTY LTD                </t>
  </si>
  <si>
    <t xml:space="preserve">Oyama                         </t>
  </si>
  <si>
    <t xml:space="preserve">MZTRANSMISSION   ENGINEERING C     </t>
  </si>
  <si>
    <t xml:space="preserve">ashleigh                      </t>
  </si>
  <si>
    <t xml:space="preserve">FLUID SYSTEM                       </t>
  </si>
  <si>
    <t xml:space="preserve">Oscar                         </t>
  </si>
  <si>
    <t xml:space="preserve">POD received from cell 0763378994 M     </t>
  </si>
  <si>
    <t xml:space="preserve">FLUID SYSTEMS                      </t>
  </si>
  <si>
    <t xml:space="preserve">JAFTA                         </t>
  </si>
  <si>
    <t>BRANDON   ANDY</t>
  </si>
  <si>
    <t xml:space="preserve">STARKE INDUSTRIES CC               </t>
  </si>
  <si>
    <t>Franco</t>
  </si>
  <si>
    <t xml:space="preserve">AUTOMATION WORKS GAUTENG (PTY)     </t>
  </si>
  <si>
    <t>SENZENI</t>
  </si>
  <si>
    <t>jason</t>
  </si>
  <si>
    <t xml:space="preserve">SPEC TOOL   DIE   GENERAL          </t>
  </si>
  <si>
    <t>Jessica</t>
  </si>
  <si>
    <t xml:space="preserve">SPEC TOOL   DIE   GENERAL ENGI     </t>
  </si>
  <si>
    <t>jessica</t>
  </si>
  <si>
    <t>Hector</t>
  </si>
  <si>
    <t>washie</t>
  </si>
  <si>
    <t xml:space="preserve">maria                         </t>
  </si>
  <si>
    <t>norita</t>
  </si>
  <si>
    <t xml:space="preserve">PREMIER FMCG                       </t>
  </si>
  <si>
    <t>JABULANI MAKAMU</t>
  </si>
  <si>
    <t>fezeka</t>
  </si>
  <si>
    <t>sajini</t>
  </si>
  <si>
    <t xml:space="preserve">CHARMODENE                    </t>
  </si>
  <si>
    <t>coetzee</t>
  </si>
  <si>
    <t xml:space="preserve">THYSSENKRUPP SOUTH AFRICA          </t>
  </si>
  <si>
    <t>seipati</t>
  </si>
  <si>
    <t xml:space="preserve">APEX AUTOMATIONN (PTY)LTD          </t>
  </si>
  <si>
    <t>pretty</t>
  </si>
  <si>
    <t>a witbooi</t>
  </si>
  <si>
    <t xml:space="preserve">TIGER FOOD BRANDS LIMITED          </t>
  </si>
  <si>
    <t>ENGINEERING STORES</t>
  </si>
  <si>
    <t>b kotze</t>
  </si>
  <si>
    <t xml:space="preserve">AFGRI POULTRY (PTY)LTD             </t>
  </si>
  <si>
    <t xml:space="preserve">SIG                           </t>
  </si>
  <si>
    <t>GREYT</t>
  </si>
  <si>
    <t>GREYTOWN</t>
  </si>
  <si>
    <t xml:space="preserve">UCL COMPANY (PTY)LTD               </t>
  </si>
  <si>
    <t>mulu</t>
  </si>
  <si>
    <t>POD received from cell 0848151688 M</t>
  </si>
  <si>
    <t>Respect</t>
  </si>
  <si>
    <t>PARCEL PARCEL</t>
  </si>
  <si>
    <t xml:space="preserve">FRISSENIUS KABI                    </t>
  </si>
  <si>
    <t>SINETHEMBA</t>
  </si>
  <si>
    <t>BAG</t>
  </si>
  <si>
    <t>frauline</t>
  </si>
  <si>
    <t xml:space="preserve">NIORO PLASTICS                     </t>
  </si>
  <si>
    <t xml:space="preserve">mariam                        </t>
  </si>
  <si>
    <t xml:space="preserve">COLUMBIT PTY  T A INDUSTRIES       </t>
  </si>
  <si>
    <t>chan</t>
  </si>
  <si>
    <t xml:space="preserve">Nico                          </t>
  </si>
  <si>
    <t xml:space="preserve">POD received from cell 0636391488 M     </t>
  </si>
  <si>
    <t>walter</t>
  </si>
  <si>
    <t>francois</t>
  </si>
  <si>
    <t xml:space="preserve">NATIONAL CLOTHING MNFR. PTY LT     </t>
  </si>
  <si>
    <t xml:space="preserve">nomsa                         </t>
  </si>
  <si>
    <t xml:space="preserve">POD received from cell 0739861163 M     </t>
  </si>
  <si>
    <t>thapelo</t>
  </si>
  <si>
    <t xml:space="preserve">noel                          </t>
  </si>
  <si>
    <t xml:space="preserve">POD received from cell 0844681051 M     </t>
  </si>
  <si>
    <t>langa</t>
  </si>
  <si>
    <t>judy</t>
  </si>
  <si>
    <t xml:space="preserve">HEAT AND CONTROL (PTY) LTD         </t>
  </si>
  <si>
    <t>Elizabeth</t>
  </si>
  <si>
    <t xml:space="preserve">NESTLE SOUTH AFRICA (PTY) LTD      </t>
  </si>
  <si>
    <t>Alfred</t>
  </si>
  <si>
    <t>christopher</t>
  </si>
  <si>
    <t>j wait</t>
  </si>
  <si>
    <t xml:space="preserve">WOOL TESTING BUREAU SA             </t>
  </si>
  <si>
    <t>amanda</t>
  </si>
  <si>
    <t>POD received from cell 0656506273 M</t>
  </si>
  <si>
    <t xml:space="preserve">BEVCAN A DIV OF NAMPAK PRODUCT     </t>
  </si>
  <si>
    <t>OLEBO</t>
  </si>
  <si>
    <t xml:space="preserve">j nell                        </t>
  </si>
  <si>
    <t>BRENDA</t>
  </si>
  <si>
    <t>PARIS</t>
  </si>
  <si>
    <t>z meyer</t>
  </si>
  <si>
    <t xml:space="preserve">BEARINGS ON CC                     </t>
  </si>
  <si>
    <t>JAY</t>
  </si>
  <si>
    <t>SILES</t>
  </si>
  <si>
    <t>DAVID STRYDOM</t>
  </si>
  <si>
    <t>sillas</t>
  </si>
  <si>
    <t xml:space="preserve">BLOCKHOUSE SHUTTERS PTY LTD        </t>
  </si>
  <si>
    <t>BERTUS COETZEE</t>
  </si>
  <si>
    <t>Dominique</t>
  </si>
  <si>
    <t xml:space="preserve">Janine                        </t>
  </si>
  <si>
    <t xml:space="preserve">POD received from cell 0792561133 M     </t>
  </si>
  <si>
    <t xml:space="preserve">ILLOVO SUGAR LTD-ESTON MILL        </t>
  </si>
  <si>
    <t>PRUNEL REDDY</t>
  </si>
  <si>
    <t xml:space="preserve">basil                         </t>
  </si>
  <si>
    <t xml:space="preserve">Saul                          </t>
  </si>
  <si>
    <t xml:space="preserve">POD received from cell 0738058187 M     </t>
  </si>
  <si>
    <t xml:space="preserve">Sewn                          </t>
  </si>
  <si>
    <t xml:space="preserve">Lelane                        </t>
  </si>
  <si>
    <t xml:space="preserve">POD received from cell 0733966806 M     </t>
  </si>
  <si>
    <t>kiven</t>
  </si>
  <si>
    <t>D PILLAY</t>
  </si>
  <si>
    <t>James</t>
  </si>
  <si>
    <t>ZEENAT</t>
  </si>
  <si>
    <t>SAMSON</t>
  </si>
  <si>
    <t>makita</t>
  </si>
  <si>
    <t xml:space="preserve">JFE ELECTRONIC ENGINEERING         </t>
  </si>
  <si>
    <t>Warrick</t>
  </si>
  <si>
    <t>MGEDU</t>
  </si>
  <si>
    <t>iceron</t>
  </si>
  <si>
    <t xml:space="preserve">PATRICA                       </t>
  </si>
  <si>
    <t>sipHelele</t>
  </si>
  <si>
    <t xml:space="preserve">CROWN CHICKENS (PTY) LTD           </t>
  </si>
  <si>
    <t>niven</t>
  </si>
  <si>
    <t xml:space="preserve">R Geduld                      </t>
  </si>
  <si>
    <t>liezel</t>
  </si>
  <si>
    <t>lthembiso</t>
  </si>
  <si>
    <t xml:space="preserve">CLOVER SA                          </t>
  </si>
  <si>
    <t>LINDA BREETZKE</t>
  </si>
  <si>
    <t>HD VISAGIE</t>
  </si>
  <si>
    <t xml:space="preserve">ISLAND VIEW STORAGE                </t>
  </si>
  <si>
    <t>liam</t>
  </si>
  <si>
    <t xml:space="preserve">CHEMPLUS CC                        </t>
  </si>
  <si>
    <t>mpho</t>
  </si>
  <si>
    <t>SYLVIA</t>
  </si>
  <si>
    <t xml:space="preserve">poven                         </t>
  </si>
  <si>
    <t xml:space="preserve">BLENDCOR (PTY) LTD                 </t>
  </si>
  <si>
    <t>ronald</t>
  </si>
  <si>
    <t xml:space="preserve">TENNECO PLZ                        </t>
  </si>
  <si>
    <t>QUINTIN</t>
  </si>
  <si>
    <t>xolisi</t>
  </si>
  <si>
    <t xml:space="preserve">TIGER BRANDS                       </t>
  </si>
  <si>
    <t xml:space="preserve">Abbas                         </t>
  </si>
  <si>
    <t xml:space="preserve">george                        </t>
  </si>
  <si>
    <t>NICOLETTE</t>
  </si>
  <si>
    <t xml:space="preserve">selby                         </t>
  </si>
  <si>
    <t>malika</t>
  </si>
  <si>
    <t xml:space="preserve">BEST TOBACO CAMPANY                </t>
  </si>
  <si>
    <t>AFRON</t>
  </si>
  <si>
    <t xml:space="preserve">BERMAR HYDRAULICS                  </t>
  </si>
  <si>
    <t>Ashwill</t>
  </si>
  <si>
    <t xml:space="preserve">SILVER CONTROLS SYSTEM Cc          </t>
  </si>
  <si>
    <t xml:space="preserve">henry                         </t>
  </si>
  <si>
    <t>paulos</t>
  </si>
  <si>
    <t>Seipati</t>
  </si>
  <si>
    <t>POD received from cell 0781381006 M</t>
  </si>
  <si>
    <t>THABILE</t>
  </si>
  <si>
    <t>BUSISIWE</t>
  </si>
  <si>
    <t>prettty</t>
  </si>
  <si>
    <t>mazwi</t>
  </si>
  <si>
    <t xml:space="preserve">PROPANELS PTY LTD                  </t>
  </si>
  <si>
    <t>Vic</t>
  </si>
  <si>
    <t>POD received from cell 0738698647 M</t>
  </si>
  <si>
    <t>Pierre</t>
  </si>
  <si>
    <t xml:space="preserve">ACDC DYNAMICS CC                   </t>
  </si>
  <si>
    <t>kamogelo</t>
  </si>
  <si>
    <t>WEZ</t>
  </si>
  <si>
    <t>NONHLANHLA</t>
  </si>
  <si>
    <t xml:space="preserve">INNOVATIVE WATER CARE S.A (PTY     </t>
  </si>
  <si>
    <t>Sizwe</t>
  </si>
  <si>
    <t>mpumelelo</t>
  </si>
  <si>
    <t>POD received from cell 0834970420 M</t>
  </si>
  <si>
    <t xml:space="preserve">APR AUTOMATION                     </t>
  </si>
  <si>
    <t>URSULA</t>
  </si>
  <si>
    <t>mthoko</t>
  </si>
  <si>
    <t xml:space="preserve">DUPLEIX LIQUID METERS PTY LTD      </t>
  </si>
  <si>
    <t>bethuel</t>
  </si>
  <si>
    <t>thania</t>
  </si>
  <si>
    <t>SETHEMBISO</t>
  </si>
  <si>
    <t>dickson</t>
  </si>
  <si>
    <t xml:space="preserve">ATC INNOVATION (PTY) LTD           </t>
  </si>
  <si>
    <t>BRIDGETTE</t>
  </si>
  <si>
    <t>Nicholas</t>
  </si>
  <si>
    <t>POD received from cell 0792438310 M</t>
  </si>
  <si>
    <t xml:space="preserve">GLOBARL GRANDERS                   </t>
  </si>
  <si>
    <t>LUCILLE</t>
  </si>
  <si>
    <t>grant</t>
  </si>
  <si>
    <t xml:space="preserve">G Ermer                       </t>
  </si>
  <si>
    <t>j zikalala</t>
  </si>
  <si>
    <t xml:space="preserve">ashwin                        </t>
  </si>
  <si>
    <t xml:space="preserve">POD received from cell 0725851046 M     </t>
  </si>
  <si>
    <t>Keele</t>
  </si>
  <si>
    <t>katie</t>
  </si>
  <si>
    <t>W H Vister</t>
  </si>
  <si>
    <t xml:space="preserve">Freddy                        </t>
  </si>
  <si>
    <t xml:space="preserve">PREFORMED LINE PRODUCTS SA         </t>
  </si>
  <si>
    <t>kovish</t>
  </si>
  <si>
    <t>pieter</t>
  </si>
  <si>
    <t>S Thomas</t>
  </si>
  <si>
    <t xml:space="preserve">A Nel                         </t>
  </si>
  <si>
    <t>gevog</t>
  </si>
  <si>
    <t xml:space="preserve">VESUVIUS                           </t>
  </si>
  <si>
    <t>SHADRACK</t>
  </si>
  <si>
    <t xml:space="preserve">VENEER TECH SA                     </t>
  </si>
  <si>
    <t>WILSON</t>
  </si>
  <si>
    <t xml:space="preserve">AEROSUD AVIATION                   </t>
  </si>
  <si>
    <t>jabal I</t>
  </si>
  <si>
    <t>POD received from cell 0631188611 M</t>
  </si>
  <si>
    <t xml:space="preserve">IMPROCHEM (PTY)LTD                 </t>
  </si>
  <si>
    <t>Albert</t>
  </si>
  <si>
    <t xml:space="preserve">COCA COLA BEVERAGES S.A(PTY)LT     </t>
  </si>
  <si>
    <t>fian</t>
  </si>
  <si>
    <t>henne</t>
  </si>
  <si>
    <t xml:space="preserve">ADP AFRICA                         </t>
  </si>
  <si>
    <t>LOBKA OLIVIER</t>
  </si>
  <si>
    <t>nico</t>
  </si>
  <si>
    <t xml:space="preserve">OPEN DOOR TRADERS CC               </t>
  </si>
  <si>
    <t>zahid</t>
  </si>
  <si>
    <t xml:space="preserve">ZIPCORD INDUSTRIES (PTY)LTD        </t>
  </si>
  <si>
    <t>Michelle</t>
  </si>
  <si>
    <t>MARK AND SKYE</t>
  </si>
  <si>
    <t>lawrence</t>
  </si>
  <si>
    <t xml:space="preserve">Neil                          </t>
  </si>
  <si>
    <t xml:space="preserve">Mbali                         </t>
  </si>
  <si>
    <t>OILL</t>
  </si>
  <si>
    <t>MARIKA</t>
  </si>
  <si>
    <t>Christian</t>
  </si>
  <si>
    <t>Mtembiso</t>
  </si>
  <si>
    <t>POD received from cell 0718816996 M</t>
  </si>
  <si>
    <t xml:space="preserve">SHOLE TRAINING CENTRE              </t>
  </si>
  <si>
    <t xml:space="preserve">FESTO TRADINING CENTRE             </t>
  </si>
  <si>
    <t xml:space="preserve">CHW DESIGN CC                      </t>
  </si>
  <si>
    <t>Lindo</t>
  </si>
  <si>
    <t>ANDREE</t>
  </si>
  <si>
    <t>V POSTHUMUS</t>
  </si>
  <si>
    <t>POD received from cell 0732237417 M</t>
  </si>
  <si>
    <t>Obrie</t>
  </si>
  <si>
    <t xml:space="preserve">SP AUTOMOTIVE PROFILE SCALING      </t>
  </si>
  <si>
    <t>mone</t>
  </si>
  <si>
    <t>orai</t>
  </si>
  <si>
    <t>JACK</t>
  </si>
  <si>
    <t>KEAGAN</t>
  </si>
  <si>
    <t>Derek</t>
  </si>
  <si>
    <t xml:space="preserve">ALPHAPAX PACKAGING CC              </t>
  </si>
  <si>
    <t>Angie</t>
  </si>
  <si>
    <t>Stacey</t>
  </si>
  <si>
    <t>elmar</t>
  </si>
  <si>
    <t xml:space="preserve">KHAN CHEMICAL INDUSTRY C.C         </t>
  </si>
  <si>
    <t>LAURENE</t>
  </si>
  <si>
    <t xml:space="preserve">ROCBOLT TECHNOLGIES                </t>
  </si>
  <si>
    <t>NTOMBI</t>
  </si>
  <si>
    <t xml:space="preserve">WELDING -ALLOYS SOUTH AFRICA       </t>
  </si>
  <si>
    <t>GLADYS</t>
  </si>
  <si>
    <t xml:space="preserve">AFRISAM SA                         </t>
  </si>
  <si>
    <t>lonwabo</t>
  </si>
  <si>
    <t xml:space="preserve">ELUMATEC SOUTH AFRICA              </t>
  </si>
  <si>
    <t>Petro</t>
  </si>
  <si>
    <t xml:space="preserve">mark                          </t>
  </si>
  <si>
    <t>laura</t>
  </si>
  <si>
    <t>KIMBE</t>
  </si>
  <si>
    <t>KIMBERLEY</t>
  </si>
  <si>
    <t xml:space="preserve">KENRU FIRE PROTECTION              </t>
  </si>
  <si>
    <t xml:space="preserve">Venter                        </t>
  </si>
  <si>
    <t xml:space="preserve">POD received from cell 0782552431 M     </t>
  </si>
  <si>
    <t>yusuf</t>
  </si>
  <si>
    <t>Mark Thompson</t>
  </si>
  <si>
    <t xml:space="preserve">Quinton                       </t>
  </si>
  <si>
    <t>LEANE</t>
  </si>
  <si>
    <t>laurenda</t>
  </si>
  <si>
    <t>Buyile</t>
  </si>
  <si>
    <t>a Connors</t>
  </si>
  <si>
    <t>crystal</t>
  </si>
  <si>
    <t xml:space="preserve">PREMIER FMCG (PTY) LTD             </t>
  </si>
  <si>
    <t>mtolo</t>
  </si>
  <si>
    <t>mike</t>
  </si>
  <si>
    <t>VERUL</t>
  </si>
  <si>
    <t>VERULAM</t>
  </si>
  <si>
    <t xml:space="preserve">TONGAAT HULETTS GROUP              </t>
  </si>
  <si>
    <t>Msizi</t>
  </si>
  <si>
    <t>SUMESHAN</t>
  </si>
  <si>
    <t xml:space="preserve">NORTH STAR INDUSTRIAL SUPPLIES     </t>
  </si>
  <si>
    <t>TSHEPO</t>
  </si>
  <si>
    <t xml:space="preserve">ALBANY BAKERY RANDFONTEIN          </t>
  </si>
  <si>
    <t>deon</t>
  </si>
  <si>
    <t>FICKS</t>
  </si>
  <si>
    <t>FICKSBURG</t>
  </si>
  <si>
    <t xml:space="preserve">LESOTHO MILLING CO .(PTY)LTD       </t>
  </si>
  <si>
    <t xml:space="preserve">ISHMAEL                       </t>
  </si>
  <si>
    <t xml:space="preserve">POD received from cell 0833864863 M     </t>
  </si>
  <si>
    <t xml:space="preserve">PARMALAT (PTY) LTD                 </t>
  </si>
  <si>
    <t>lorette</t>
  </si>
  <si>
    <t>PETER MULOCK</t>
  </si>
  <si>
    <t>THEMBELA</t>
  </si>
  <si>
    <t>REJOICE</t>
  </si>
  <si>
    <t>khanya</t>
  </si>
  <si>
    <t>wellington</t>
  </si>
  <si>
    <t>CARA</t>
  </si>
  <si>
    <t>zweli</t>
  </si>
  <si>
    <t>Sugesh</t>
  </si>
  <si>
    <t>thandie</t>
  </si>
  <si>
    <t xml:space="preserve">REEF ENGINEERING   MNFG CO.        </t>
  </si>
  <si>
    <t>MANDIE</t>
  </si>
  <si>
    <t>GELUK</t>
  </si>
  <si>
    <t>GELUKWAARTS</t>
  </si>
  <si>
    <t xml:space="preserve">reuben                        </t>
  </si>
  <si>
    <t xml:space="preserve">JLINC T A TAMASA TRADING 213 C     </t>
  </si>
  <si>
    <t>J Luteller</t>
  </si>
  <si>
    <t>j steyn</t>
  </si>
  <si>
    <t xml:space="preserve">COCA COLA SHANDUKA BEVERAGES       </t>
  </si>
  <si>
    <t>pumeza</t>
  </si>
  <si>
    <t xml:space="preserve">ERGO MINING                        </t>
  </si>
  <si>
    <t>JOHN SCHOEMAN</t>
  </si>
  <si>
    <t>signatures</t>
  </si>
  <si>
    <t>WYNAND</t>
  </si>
  <si>
    <t>kerusha</t>
  </si>
  <si>
    <t>Sboniso</t>
  </si>
  <si>
    <t xml:space="preserve">AC PNEUMATICS                      </t>
  </si>
  <si>
    <t>DENVER</t>
  </si>
  <si>
    <t xml:space="preserve">SKYNET PORT ELIZABETH              </t>
  </si>
  <si>
    <t>OLD FOR COLLECTION JOHANESS 072 264 3612</t>
  </si>
  <si>
    <t>STEVEN JANSEN</t>
  </si>
  <si>
    <t>Nicole</t>
  </si>
  <si>
    <t>JAM</t>
  </si>
  <si>
    <t xml:space="preserve">TECHQUIP DEVELOPMENTS CC           </t>
  </si>
  <si>
    <t>j bellfied</t>
  </si>
  <si>
    <t xml:space="preserve">MITAS CORPORATION (PTY)LTD         </t>
  </si>
  <si>
    <t>SIG</t>
  </si>
  <si>
    <t xml:space="preserve">QUAMBA TECHNOLOGIES                </t>
  </si>
  <si>
    <t>Returned to sender on waybill</t>
  </si>
  <si>
    <t>Returned to sender on waybill number RFE</t>
  </si>
  <si>
    <t xml:space="preserve">INTELETRACK (PTY) LTD              </t>
  </si>
  <si>
    <t>viljoen</t>
  </si>
  <si>
    <t>Erve</t>
  </si>
  <si>
    <t xml:space="preserve">FESTO IANDO                        </t>
  </si>
  <si>
    <t>BAKKER</t>
  </si>
  <si>
    <t>Awena</t>
  </si>
  <si>
    <t>pivrn</t>
  </si>
  <si>
    <t>Samkelo</t>
  </si>
  <si>
    <t xml:space="preserve">BUSA PLASTICS (PTY)LTD             </t>
  </si>
  <si>
    <t>MANASSA</t>
  </si>
  <si>
    <t>Derrick</t>
  </si>
  <si>
    <t xml:space="preserve">kyle                          </t>
  </si>
  <si>
    <t>UPING</t>
  </si>
  <si>
    <t>UPINGTON</t>
  </si>
  <si>
    <t xml:space="preserve">JBK HERSTEL                        </t>
  </si>
  <si>
    <t>ZANDRA</t>
  </si>
  <si>
    <t>Theo</t>
  </si>
  <si>
    <t>PARCEL BOX</t>
  </si>
  <si>
    <t xml:space="preserve">ADCOCK INGRAM CRITICAL CARE PT     </t>
  </si>
  <si>
    <t>BOIKIE</t>
  </si>
  <si>
    <t>POD received from cell 0739633425 M</t>
  </si>
  <si>
    <t xml:space="preserve">thulani                       </t>
  </si>
  <si>
    <t>SANDY (WAREHOUSE) NEVILLE</t>
  </si>
  <si>
    <t>allen</t>
  </si>
  <si>
    <t xml:space="preserve">KAYLA AFRICA SUPLIERS   DISTRI     </t>
  </si>
  <si>
    <t>J WESSELS</t>
  </si>
  <si>
    <t xml:space="preserve">RYMCO PTY LTD ACHOR YEAST          </t>
  </si>
  <si>
    <t>Stephan</t>
  </si>
  <si>
    <t xml:space="preserve">AVENG MANUFACTURING INFRASET       </t>
  </si>
  <si>
    <t>MARTIN</t>
  </si>
  <si>
    <t>nomusa</t>
  </si>
  <si>
    <t>BOX BOX</t>
  </si>
  <si>
    <t xml:space="preserve">NOVUS PRINT (PTY) LTD              </t>
  </si>
  <si>
    <t>NICO</t>
  </si>
  <si>
    <t xml:space="preserve">DALE SPIRAL SYSTEMS   BAKERY A     </t>
  </si>
  <si>
    <t xml:space="preserve">lydia                         </t>
  </si>
  <si>
    <t xml:space="preserve">nicolette                     </t>
  </si>
  <si>
    <t>IMCA</t>
  </si>
  <si>
    <t xml:space="preserve">albert                        </t>
  </si>
  <si>
    <t>Andrew</t>
  </si>
  <si>
    <t>I  Kanisa</t>
  </si>
  <si>
    <t>Nathan</t>
  </si>
  <si>
    <t>Sing</t>
  </si>
  <si>
    <t>Lindelani</t>
  </si>
  <si>
    <t xml:space="preserve">BAY MARINE ELECTRICAL              </t>
  </si>
  <si>
    <t>lawyn</t>
  </si>
  <si>
    <t>POD received from cell 0844941078 M</t>
  </si>
  <si>
    <t>almarie</t>
  </si>
  <si>
    <t xml:space="preserve">DUNLOP BELTING PRODUTCS            </t>
  </si>
  <si>
    <t>leo k</t>
  </si>
  <si>
    <t>JACOB</t>
  </si>
  <si>
    <t>GREG</t>
  </si>
  <si>
    <t>kelly</t>
  </si>
  <si>
    <t>cidney</t>
  </si>
  <si>
    <t xml:space="preserve">MAIN STREET 1310(PTY) L.T.D        </t>
  </si>
  <si>
    <t>Fraser</t>
  </si>
  <si>
    <t xml:space="preserve">Tasneem                       </t>
  </si>
  <si>
    <t xml:space="preserve">RENNOW TRADING                     </t>
  </si>
  <si>
    <t xml:space="preserve">Returned to sender on waybill </t>
  </si>
  <si>
    <t xml:space="preserve">roux                          </t>
  </si>
  <si>
    <t xml:space="preserve">Ayanda                        </t>
  </si>
  <si>
    <t xml:space="preserve">POD received from cell 0847768401 M     </t>
  </si>
  <si>
    <t xml:space="preserve">EVEREST FLEXIBLES (PTY) LTD        </t>
  </si>
  <si>
    <t>SUNIL</t>
  </si>
  <si>
    <t>CHRISTOPHER</t>
  </si>
  <si>
    <t>Bilgenes</t>
  </si>
  <si>
    <t xml:space="preserve">MPACT PLASTICS                     </t>
  </si>
  <si>
    <t>MABORE</t>
  </si>
  <si>
    <t>sekobo</t>
  </si>
  <si>
    <t>s tsotsa</t>
  </si>
  <si>
    <t>Doreen</t>
  </si>
  <si>
    <t xml:space="preserve">TIGER BRANDS CHOCOLATE UNIT        </t>
  </si>
  <si>
    <t>krishen</t>
  </si>
  <si>
    <t xml:space="preserve">marius                        </t>
  </si>
  <si>
    <t xml:space="preserve">ABERDER CABLES                     </t>
  </si>
  <si>
    <t>COLLEN   FLOYD</t>
  </si>
  <si>
    <t>coladys</t>
  </si>
  <si>
    <t xml:space="preserve">HULAMIN OPERATIONS PTY LTD         </t>
  </si>
  <si>
    <t>Mpilo Shata</t>
  </si>
  <si>
    <t>DEWALD</t>
  </si>
  <si>
    <t>W DU PLOOY</t>
  </si>
  <si>
    <t>kabelo</t>
  </si>
  <si>
    <t>uat</t>
  </si>
  <si>
    <t xml:space="preserve">POD received from cell 0610951998 M     </t>
  </si>
  <si>
    <t>carika</t>
  </si>
  <si>
    <t xml:space="preserve">Trevor                        </t>
  </si>
  <si>
    <t>Confidence</t>
  </si>
  <si>
    <t>BEN</t>
  </si>
  <si>
    <t>STEPHEN</t>
  </si>
  <si>
    <t xml:space="preserve">SMITHS PLASTICS PTY LTD            </t>
  </si>
  <si>
    <t>sbahle</t>
  </si>
  <si>
    <t>ILEG</t>
  </si>
  <si>
    <t>sash</t>
  </si>
  <si>
    <t>strini</t>
  </si>
  <si>
    <t xml:space="preserve">MAGNACORP 397 CC TA CONCEPT        </t>
  </si>
  <si>
    <t>NEIL</t>
  </si>
  <si>
    <t>Pamela</t>
  </si>
  <si>
    <t>jenel</t>
  </si>
  <si>
    <t xml:space="preserve">TERCIA                        </t>
  </si>
  <si>
    <t>Wasiefa</t>
  </si>
  <si>
    <t>marius</t>
  </si>
  <si>
    <t>sihle</t>
  </si>
  <si>
    <t>VUKULE</t>
  </si>
  <si>
    <t>ROBB  Y ABRAM</t>
  </si>
  <si>
    <t>LINDIWE DAKI</t>
  </si>
  <si>
    <t>jevan</t>
  </si>
  <si>
    <t>Makita</t>
  </si>
  <si>
    <t>SAMEDAY CALL</t>
  </si>
  <si>
    <t>EAR / FUE</t>
  </si>
  <si>
    <t xml:space="preserve">CONTINENTAL BISCUITS (PTY)LTD      </t>
  </si>
  <si>
    <t xml:space="preserve">FOSECO                             </t>
  </si>
  <si>
    <t>EMILIA ERRERA</t>
  </si>
  <si>
    <t>LEE-ANN BROWN</t>
  </si>
  <si>
    <t>MARK THOMPSON</t>
  </si>
  <si>
    <t>Graeme</t>
  </si>
  <si>
    <t>Bennie</t>
  </si>
  <si>
    <t>susedime</t>
  </si>
  <si>
    <t>pamela</t>
  </si>
  <si>
    <t>jagges</t>
  </si>
  <si>
    <t>susanda</t>
  </si>
  <si>
    <t xml:space="preserve">sheriff                       </t>
  </si>
  <si>
    <t xml:space="preserve">POD received from cell 0737818615 M     </t>
  </si>
  <si>
    <t>strydom</t>
  </si>
  <si>
    <t>asendra</t>
  </si>
  <si>
    <t>denzil</t>
  </si>
  <si>
    <t>stan</t>
  </si>
  <si>
    <t>POD received from cell 0643414757 M</t>
  </si>
  <si>
    <t>SCHALK LOEDOLFF</t>
  </si>
  <si>
    <t>Lorette</t>
  </si>
  <si>
    <t>m fourie</t>
  </si>
  <si>
    <t>samson m</t>
  </si>
  <si>
    <t xml:space="preserve">MAIN STREET 1310 PTY LTD           </t>
  </si>
  <si>
    <t>NOEL KING</t>
  </si>
  <si>
    <t>bulelwa</t>
  </si>
  <si>
    <t xml:space="preserve">TILE MAGIC CC                      </t>
  </si>
  <si>
    <t>HELENA</t>
  </si>
  <si>
    <t>prakash</t>
  </si>
  <si>
    <t>SALOSHNI</t>
  </si>
  <si>
    <t xml:space="preserve">SALOSHNI                      </t>
  </si>
  <si>
    <t xml:space="preserve">Erve                          </t>
  </si>
  <si>
    <t>eulstine</t>
  </si>
  <si>
    <t xml:space="preserve">CONVERTACOR CC                     </t>
  </si>
  <si>
    <t>NICKY DE BRUYN</t>
  </si>
  <si>
    <t>CHANTAL</t>
  </si>
  <si>
    <t>lucky</t>
  </si>
  <si>
    <t>ricardo</t>
  </si>
  <si>
    <t>aranda</t>
  </si>
  <si>
    <t xml:space="preserve">ALBANY BAKERIES                    </t>
  </si>
  <si>
    <t>ANDRIES WILTZ</t>
  </si>
  <si>
    <t>andries</t>
  </si>
  <si>
    <t xml:space="preserve">CSM ENGINEERING CC                 </t>
  </si>
  <si>
    <t>Rian</t>
  </si>
  <si>
    <t>dan</t>
  </si>
  <si>
    <t>karabo</t>
  </si>
  <si>
    <t>bafana</t>
  </si>
  <si>
    <t xml:space="preserve">Justin                        </t>
  </si>
  <si>
    <t>QUEEN</t>
  </si>
  <si>
    <t>QUEENSTOWN</t>
  </si>
  <si>
    <t xml:space="preserve">CRICKLEY DAIRY CC                  </t>
  </si>
  <si>
    <t>MILY</t>
  </si>
  <si>
    <t>Clive</t>
  </si>
  <si>
    <t>Malcom</t>
  </si>
  <si>
    <t xml:space="preserve">BIC SA PTY LTD                     </t>
  </si>
  <si>
    <t>ESTER</t>
  </si>
  <si>
    <t xml:space="preserve">francina                      </t>
  </si>
  <si>
    <t xml:space="preserve">POD received from cell 0766412100 M     </t>
  </si>
  <si>
    <t>Reun</t>
  </si>
  <si>
    <t xml:space="preserve">Stanley                       </t>
  </si>
  <si>
    <t xml:space="preserve">POD received from cell 0739524922 M     </t>
  </si>
  <si>
    <t>japta</t>
  </si>
  <si>
    <t xml:space="preserve">VIDEX WIRE PRODUCTS PTY LTD        </t>
  </si>
  <si>
    <t>sylan</t>
  </si>
  <si>
    <t>P Chiya</t>
  </si>
  <si>
    <t xml:space="preserve">SAPPI SA                           </t>
  </si>
  <si>
    <t xml:space="preserve">CIRCUIT BREAKER INDUSTRIES PTY     </t>
  </si>
  <si>
    <t xml:space="preserve">KITTING AND ALLIED SERVICES        </t>
  </si>
  <si>
    <t>DILICENT</t>
  </si>
  <si>
    <t>THAPELO</t>
  </si>
  <si>
    <t>RTS AS PER ABRAM</t>
  </si>
  <si>
    <t>kkl</t>
  </si>
  <si>
    <t>Judelize</t>
  </si>
  <si>
    <t>wimpie</t>
  </si>
  <si>
    <t>MANDI</t>
  </si>
  <si>
    <t>MANDINI</t>
  </si>
  <si>
    <t xml:space="preserve">WHIRLPOOL S.A                      </t>
  </si>
  <si>
    <t>DHEENA</t>
  </si>
  <si>
    <t>sudesma</t>
  </si>
  <si>
    <t>vinceilo</t>
  </si>
  <si>
    <t>Oyama</t>
  </si>
  <si>
    <t>PATRICK</t>
  </si>
  <si>
    <t xml:space="preserve">FOODCORP PTY LTD MILLING           </t>
  </si>
  <si>
    <t>jan</t>
  </si>
  <si>
    <t>Lilian</t>
  </si>
  <si>
    <t>rico</t>
  </si>
  <si>
    <t>Thembela</t>
  </si>
  <si>
    <t xml:space="preserve">VERTEX AUTOMATION PTY LTD          </t>
  </si>
  <si>
    <t>eugene</t>
  </si>
  <si>
    <t>V posthumous</t>
  </si>
  <si>
    <t>ROBBIE</t>
  </si>
  <si>
    <t>MARENIQUE</t>
  </si>
  <si>
    <t xml:space="preserve">R LISHMAN Cc                       </t>
  </si>
  <si>
    <t>meriam</t>
  </si>
  <si>
    <t xml:space="preserve">NUKOR (PTY) LTD                    </t>
  </si>
  <si>
    <t>dirk</t>
  </si>
  <si>
    <t>ZANDILE</t>
  </si>
  <si>
    <t xml:space="preserve">FEDERAL - MOGUL FRICTION           </t>
  </si>
  <si>
    <t xml:space="preserve">Sbusiso                       </t>
  </si>
  <si>
    <t xml:space="preserve">Conraud                       </t>
  </si>
  <si>
    <t xml:space="preserve">vincent                       </t>
  </si>
  <si>
    <t xml:space="preserve">Marj                          </t>
  </si>
  <si>
    <t xml:space="preserve">POD received from cell 0735078103 M     </t>
  </si>
  <si>
    <t>RDX</t>
  </si>
  <si>
    <t>j wessels</t>
  </si>
  <si>
    <t xml:space="preserve">KRONES SA PTY LTD                  </t>
  </si>
  <si>
    <t>Isaac</t>
  </si>
  <si>
    <t>POD received from cell 0765349089 M</t>
  </si>
  <si>
    <t xml:space="preserve">Verona Singh                  </t>
  </si>
  <si>
    <t xml:space="preserve">BLANES INSTRUMENTS                 </t>
  </si>
  <si>
    <t>m corbett</t>
  </si>
  <si>
    <t>win</t>
  </si>
  <si>
    <t>HEC14350105</t>
  </si>
  <si>
    <t>dimakatso</t>
  </si>
  <si>
    <t xml:space="preserve">BAYER PTY LTD                      </t>
  </si>
  <si>
    <t>gladys</t>
  </si>
  <si>
    <t>db</t>
  </si>
  <si>
    <t xml:space="preserve">m v schalkwyk                 </t>
  </si>
  <si>
    <t xml:space="preserve">ECHO FLOORS (PTY)LTD               </t>
  </si>
  <si>
    <t xml:space="preserve">BENTELER SA                        </t>
  </si>
  <si>
    <t>VERONICA</t>
  </si>
  <si>
    <t>WILLINGTON</t>
  </si>
  <si>
    <t>Abram</t>
  </si>
  <si>
    <t>bingo</t>
  </si>
  <si>
    <t xml:space="preserve">GOLDEN ERA PRINTER                 </t>
  </si>
  <si>
    <t>rebecca</t>
  </si>
  <si>
    <t>ludiswa</t>
  </si>
  <si>
    <t>paul</t>
  </si>
  <si>
    <t>sithabela</t>
  </si>
  <si>
    <t xml:space="preserve">STRAIT ACCESS TECHNOLOGIES HOL     </t>
  </si>
  <si>
    <t>TEDDY MUDGE</t>
  </si>
  <si>
    <t>Bruce de Jongh</t>
  </si>
  <si>
    <t xml:space="preserve">neo                           </t>
  </si>
  <si>
    <t>nicolette</t>
  </si>
  <si>
    <t>rose</t>
  </si>
  <si>
    <t>ntembeko</t>
  </si>
  <si>
    <t xml:space="preserve">ZEENAT                        </t>
  </si>
  <si>
    <t xml:space="preserve">NATIONAL BRANDS LIMITED            </t>
  </si>
  <si>
    <t>zola</t>
  </si>
  <si>
    <t xml:space="preserve">SHATTERPRUFE TRADING SA            </t>
  </si>
  <si>
    <t xml:space="preserve">m fawse                       </t>
  </si>
  <si>
    <t xml:space="preserve">POD received from cell 0848977566 M     </t>
  </si>
  <si>
    <t xml:space="preserve">POLYOAK PACKAGING PTY LTD          </t>
  </si>
  <si>
    <t>beytel</t>
  </si>
  <si>
    <t>tshiamo</t>
  </si>
  <si>
    <t xml:space="preserve">IMPROCHEM PTY LTD                  </t>
  </si>
  <si>
    <t>JOHN  HURLING</t>
  </si>
  <si>
    <t xml:space="preserve">HYSA SYSTEMS COMPETENCE CENTER     </t>
  </si>
  <si>
    <t>MAREK MALINOWSKI</t>
  </si>
  <si>
    <t>senzani</t>
  </si>
  <si>
    <t>Jurie</t>
  </si>
  <si>
    <t xml:space="preserve">EAST COAST INSTRUMENTATION SAL     </t>
  </si>
  <si>
    <t>pauline</t>
  </si>
  <si>
    <t>kyle</t>
  </si>
  <si>
    <t>A Paulse</t>
  </si>
  <si>
    <t>Cecil</t>
  </si>
  <si>
    <t>jeame</t>
  </si>
  <si>
    <t xml:space="preserve">M.STEYN DESIGN   ENGINEERING (     </t>
  </si>
  <si>
    <t xml:space="preserve">pieter                        </t>
  </si>
  <si>
    <t xml:space="preserve">Sandisile                     </t>
  </si>
  <si>
    <t xml:space="preserve">POD received from cell 0781885723 M     </t>
  </si>
  <si>
    <t xml:space="preserve">RCL FOODS CONSUMER BEVERAGES       </t>
  </si>
  <si>
    <t>laurreta</t>
  </si>
  <si>
    <t>SHOERT SUPPLIED</t>
  </si>
  <si>
    <t>derek</t>
  </si>
  <si>
    <t>BUTTE</t>
  </si>
  <si>
    <t>BUTTERWORTH</t>
  </si>
  <si>
    <t xml:space="preserve">SUNTEX PTY LTD                     </t>
  </si>
  <si>
    <t xml:space="preserve">nomawetu                      </t>
  </si>
  <si>
    <t xml:space="preserve">marinda                       </t>
  </si>
  <si>
    <t>Shehaam</t>
  </si>
  <si>
    <t>SAMEDAY CALL JUANE 064 697 6886</t>
  </si>
  <si>
    <t>JUANE</t>
  </si>
  <si>
    <t>PHUMEZO</t>
  </si>
  <si>
    <t>jenine</t>
  </si>
  <si>
    <t>feziwe</t>
  </si>
  <si>
    <t xml:space="preserve">shaakir                       </t>
  </si>
  <si>
    <t xml:space="preserve">FRONERI SOUTH AFRICA (PTY)LTD      </t>
  </si>
  <si>
    <t>NANDIPHA</t>
  </si>
  <si>
    <t>FRANS</t>
  </si>
  <si>
    <t xml:space="preserve">DALEIN AGRI PLAN PTY LTD           </t>
  </si>
  <si>
    <t>david</t>
  </si>
  <si>
    <t xml:space="preserve">chris                         </t>
  </si>
  <si>
    <t xml:space="preserve">BOYSEN EXHAUST TECHNOLOGY RSA      </t>
  </si>
  <si>
    <t xml:space="preserve">Langa                         </t>
  </si>
  <si>
    <t xml:space="preserve">BME PACKAGING CC                   </t>
  </si>
  <si>
    <t>SARAH KGANYAGO</t>
  </si>
  <si>
    <t>dima</t>
  </si>
  <si>
    <t>BURG1</t>
  </si>
  <si>
    <t>BURGERSFORT</t>
  </si>
  <si>
    <t xml:space="preserve">SAMANCOR FERROCHORME               </t>
  </si>
  <si>
    <t xml:space="preserve">patrick                       </t>
  </si>
  <si>
    <t xml:space="preserve">POD received from cell 0826738963 M     </t>
  </si>
  <si>
    <t xml:space="preserve">B.R.C MESH REINFORCING             </t>
  </si>
  <si>
    <t>Jo  anne</t>
  </si>
  <si>
    <t xml:space="preserve">ENTERPRISE FOOD AN DIV OF TIGE     </t>
  </si>
  <si>
    <t>pearl</t>
  </si>
  <si>
    <t xml:space="preserve">TMD FRICTION SA PTY LTD            </t>
  </si>
  <si>
    <t>mpdo</t>
  </si>
  <si>
    <t>Vishnu</t>
  </si>
  <si>
    <t>devon</t>
  </si>
  <si>
    <t>cecil</t>
  </si>
  <si>
    <t xml:space="preserve">UNIQUE DAIRY PRODUCTS              </t>
  </si>
  <si>
    <t>ERNEST</t>
  </si>
  <si>
    <t>ernest</t>
  </si>
  <si>
    <t>ENGELA</t>
  </si>
  <si>
    <t xml:space="preserve">MICRODENT TECHOLOGY                </t>
  </si>
  <si>
    <t>Emilly</t>
  </si>
  <si>
    <t xml:space="preserve">ABERDARE CABLES (PTY) LTD          </t>
  </si>
  <si>
    <t>BHEKI</t>
  </si>
  <si>
    <t xml:space="preserve">Mavis                         </t>
  </si>
  <si>
    <t xml:space="preserve">POD received from cell 0828088659 M     </t>
  </si>
  <si>
    <t>ndumiso</t>
  </si>
  <si>
    <t xml:space="preserve">SAFELINE EXPORTERS                 </t>
  </si>
  <si>
    <t>CHRIS</t>
  </si>
  <si>
    <t xml:space="preserve">baij                          </t>
  </si>
  <si>
    <t xml:space="preserve">POD received from cell 0848255037 M     </t>
  </si>
  <si>
    <t xml:space="preserve">STEPHENS VALVES                    </t>
  </si>
  <si>
    <t>Kishore</t>
  </si>
  <si>
    <t>POD received from cell 0784468189 M</t>
  </si>
  <si>
    <t xml:space="preserve">KIMBERLY CLARK                     </t>
  </si>
  <si>
    <t>sibusiso</t>
  </si>
  <si>
    <t>ZAKHELE</t>
  </si>
  <si>
    <t xml:space="preserve">Afrika                        </t>
  </si>
  <si>
    <t xml:space="preserve">RAND BUILDING HYDRAULICS PTY L     </t>
  </si>
  <si>
    <t>Tshidi</t>
  </si>
  <si>
    <t>Jan</t>
  </si>
  <si>
    <t>fes1162723707</t>
  </si>
  <si>
    <t xml:space="preserve">PRODUCTIVE ENGINEERING CC          </t>
  </si>
  <si>
    <t>GARETH</t>
  </si>
  <si>
    <t>Eva</t>
  </si>
  <si>
    <t xml:space="preserve">carika                        </t>
  </si>
  <si>
    <t>sandiswa</t>
  </si>
  <si>
    <t>DANIE</t>
  </si>
  <si>
    <t>DANIELSKUIL</t>
  </si>
  <si>
    <t xml:space="preserve">IDWALA INDUSTRIAL HOLDINGS LTD     </t>
  </si>
  <si>
    <t>EDWARD</t>
  </si>
  <si>
    <t xml:space="preserve">CONSUPAQ (PTY) LTD                 </t>
  </si>
  <si>
    <t>Shivesh Sohawan</t>
  </si>
  <si>
    <t>nonto</t>
  </si>
  <si>
    <t xml:space="preserve">H.W.S INDUSTRIES (PTY) LTD         </t>
  </si>
  <si>
    <t>shamane</t>
  </si>
  <si>
    <t xml:space="preserve">shadai                        </t>
  </si>
  <si>
    <t>leandi</t>
  </si>
  <si>
    <t>jaggers</t>
  </si>
  <si>
    <t xml:space="preserve">mkululi                       </t>
  </si>
  <si>
    <t xml:space="preserve">CONTITECH AFRICA PTY LTD           </t>
  </si>
  <si>
    <t xml:space="preserve">p mapolisa                    </t>
  </si>
  <si>
    <t xml:space="preserve">TRELLEBORGVIBRACOUSTIC-IKHWEZI     </t>
  </si>
  <si>
    <t xml:space="preserve">tembi                         </t>
  </si>
  <si>
    <t xml:space="preserve">SASOL NITRO                        </t>
  </si>
  <si>
    <t>Lientjie Alberts</t>
  </si>
  <si>
    <t xml:space="preserve">clive                         </t>
  </si>
  <si>
    <t xml:space="preserve">POD received from cell 0745037779 M     </t>
  </si>
  <si>
    <t>Desire</t>
  </si>
  <si>
    <t xml:space="preserve">MED AUTOMATION                     </t>
  </si>
  <si>
    <t>Naas van der Merwe</t>
  </si>
  <si>
    <t>WALTER</t>
  </si>
  <si>
    <t>cecilia</t>
  </si>
  <si>
    <t xml:space="preserve">NELSON MANDELA METROPOLITAN UN     </t>
  </si>
  <si>
    <t xml:space="preserve">beulah                        </t>
  </si>
  <si>
    <t xml:space="preserve">POD received from cell 0656506273 M     </t>
  </si>
  <si>
    <t>PARCEL Flyer</t>
  </si>
  <si>
    <t>RICHMAN</t>
  </si>
  <si>
    <t xml:space="preserve">GLOBAL GRIBERS                     </t>
  </si>
  <si>
    <t>sucile</t>
  </si>
  <si>
    <t>Roshni</t>
  </si>
  <si>
    <t>POD received from cell 0215903200 M</t>
  </si>
  <si>
    <t>stephani</t>
  </si>
  <si>
    <t xml:space="preserve">TUPPERWARE SA                      </t>
  </si>
  <si>
    <t>Betty</t>
  </si>
  <si>
    <t>MENZI</t>
  </si>
  <si>
    <t xml:space="preserve">THABA CHUEU MINING (PTY)LTD        </t>
  </si>
  <si>
    <t>GILBERT</t>
  </si>
  <si>
    <t>Justin</t>
  </si>
  <si>
    <t>shavash</t>
  </si>
  <si>
    <t>L T Naiker</t>
  </si>
  <si>
    <t>EMMA</t>
  </si>
  <si>
    <t xml:space="preserve">s a adams                     </t>
  </si>
  <si>
    <t xml:space="preserve">h Daniel                      </t>
  </si>
  <si>
    <t>MENDRI</t>
  </si>
  <si>
    <t xml:space="preserve">NJC MANUFACTURING (PTY) LTD        </t>
  </si>
  <si>
    <t xml:space="preserve">PRESS PRODUCTS PTY LTD             </t>
  </si>
  <si>
    <t>lana</t>
  </si>
  <si>
    <t xml:space="preserve">CONSIGNMENT ACC - NPS              </t>
  </si>
  <si>
    <t>alwena</t>
  </si>
  <si>
    <t>navib</t>
  </si>
  <si>
    <t xml:space="preserve">BANDAG SOUHT AFRICA PTY LTD        </t>
  </si>
  <si>
    <t>JAN BOTES</t>
  </si>
  <si>
    <t>gugu</t>
  </si>
  <si>
    <t xml:space="preserve">M AND BEARING AND BELITING SUP     </t>
  </si>
  <si>
    <t>ANDILE</t>
  </si>
  <si>
    <t>lma</t>
  </si>
  <si>
    <t>greg</t>
  </si>
  <si>
    <t>allenin saka</t>
  </si>
  <si>
    <t xml:space="preserve">JESSOP   ASSOCIATES (PTY) LTD      </t>
  </si>
  <si>
    <t>Michael</t>
  </si>
  <si>
    <t>Rowan</t>
  </si>
  <si>
    <t>b cofaached</t>
  </si>
  <si>
    <t>thulani</t>
  </si>
  <si>
    <t xml:space="preserve">robert                        </t>
  </si>
  <si>
    <t xml:space="preserve">G Rowe                        </t>
  </si>
  <si>
    <t>SYSTEM</t>
  </si>
  <si>
    <t>STUTT</t>
  </si>
  <si>
    <t>STUTTERHEIM</t>
  </si>
  <si>
    <t xml:space="preserve">BOARDMAN BROS PTY LTD              </t>
  </si>
  <si>
    <t xml:space="preserve">eloise                        </t>
  </si>
  <si>
    <t>Moosa Mfomi</t>
  </si>
  <si>
    <t>Paul</t>
  </si>
  <si>
    <t>silas</t>
  </si>
  <si>
    <t xml:space="preserve">cidney                        </t>
  </si>
  <si>
    <t xml:space="preserve">PREMIER FOODS (PTY) LTD            </t>
  </si>
  <si>
    <t xml:space="preserve">BEARING MAN GROUP (PTY)LTD         </t>
  </si>
  <si>
    <t>beauty</t>
  </si>
  <si>
    <t>joseph</t>
  </si>
  <si>
    <t xml:space="preserve">M ZUMA                        </t>
  </si>
  <si>
    <t xml:space="preserve">QUANTUM MECHANICAL CC              </t>
  </si>
  <si>
    <t>j hcafmetsfa</t>
  </si>
  <si>
    <t>FARAH</t>
  </si>
  <si>
    <t xml:space="preserve">UNILEVER ANDERBOLT HOMECARE LI     </t>
  </si>
  <si>
    <t xml:space="preserve">THE SIMBA GROUP LTD                </t>
  </si>
  <si>
    <t>Meokgo</t>
  </si>
  <si>
    <t xml:space="preserve">THE SIMBA GROUP PTY LTD            </t>
  </si>
  <si>
    <t>ABRAM AT ENGINEERING STORES</t>
  </si>
  <si>
    <t>martin</t>
  </si>
  <si>
    <t xml:space="preserve">BMG New Germany                    </t>
  </si>
  <si>
    <t xml:space="preserve">BMG New Germany               </t>
  </si>
  <si>
    <t xml:space="preserve">POD received from cell 0728272347 M     </t>
  </si>
  <si>
    <t>DURAN</t>
  </si>
  <si>
    <t>Returned to sender on waybill number R08</t>
  </si>
  <si>
    <t>ashley</t>
  </si>
  <si>
    <t>Tyrone</t>
  </si>
  <si>
    <t>janine</t>
  </si>
  <si>
    <t>POD received from cell 0653615686 M</t>
  </si>
  <si>
    <t xml:space="preserve">MS SERV CC                         </t>
  </si>
  <si>
    <t>charity</t>
  </si>
  <si>
    <t xml:space="preserve">PROCESS DYNAMICS                   </t>
  </si>
  <si>
    <t>..</t>
  </si>
  <si>
    <t>REUNEL</t>
  </si>
  <si>
    <t>BRIAN HUNKIN</t>
  </si>
  <si>
    <t>lindiwe</t>
  </si>
  <si>
    <t>millicent</t>
  </si>
  <si>
    <t>petrus</t>
  </si>
  <si>
    <t>melanie</t>
  </si>
  <si>
    <t xml:space="preserve">thepelo                       </t>
  </si>
  <si>
    <t>CAROL</t>
  </si>
  <si>
    <t xml:space="preserve">TM ENGINEERING                     </t>
  </si>
  <si>
    <t>gavin</t>
  </si>
  <si>
    <t>POD received from cell 0769347056 M</t>
  </si>
  <si>
    <t>J WALKER</t>
  </si>
  <si>
    <t>Joseph</t>
  </si>
  <si>
    <t xml:space="preserve">LEE-ANN                       </t>
  </si>
  <si>
    <t xml:space="preserve">zondie                        </t>
  </si>
  <si>
    <t xml:space="preserve">POD received from cell 0844941078 M     </t>
  </si>
  <si>
    <t>Edwin</t>
  </si>
  <si>
    <t>evette</t>
  </si>
  <si>
    <t xml:space="preserve">S.A. LITHO PRINTINGS   PACK. (     </t>
  </si>
  <si>
    <t>a watters</t>
  </si>
  <si>
    <t>MBONOMTSHA</t>
  </si>
  <si>
    <t>Tanya</t>
  </si>
  <si>
    <t xml:space="preserve">AUTOMOTRVE SUPPLIER PARK           </t>
  </si>
  <si>
    <t>GAVIN</t>
  </si>
  <si>
    <t>Nontobeko</t>
  </si>
  <si>
    <t>a waLters</t>
  </si>
  <si>
    <t xml:space="preserve">HP HOSE   FITTING SPECIALIST C     </t>
  </si>
  <si>
    <t>Kimona</t>
  </si>
  <si>
    <t>rian</t>
  </si>
  <si>
    <t>POD received from cell 0728272347 M</t>
  </si>
  <si>
    <t>John</t>
  </si>
  <si>
    <t xml:space="preserve">CDP MANUFACTURING CC               </t>
  </si>
  <si>
    <t>cody</t>
  </si>
  <si>
    <t>Sine Ndlovu</t>
  </si>
  <si>
    <t>donjur</t>
  </si>
  <si>
    <t>d botha</t>
  </si>
  <si>
    <t>POD received from cell 0685093336 M</t>
  </si>
  <si>
    <t>REEIVING</t>
  </si>
  <si>
    <t>aruand</t>
  </si>
  <si>
    <t>PARYS</t>
  </si>
  <si>
    <t xml:space="preserve">EKANAH ENGINEERING   PARYS FEN     </t>
  </si>
  <si>
    <t>Akanah</t>
  </si>
  <si>
    <t>POD received from cell 0762897549 M</t>
  </si>
  <si>
    <t>amos</t>
  </si>
  <si>
    <t>CHENG</t>
  </si>
  <si>
    <t>sathie</t>
  </si>
  <si>
    <t>IDA NICOL</t>
  </si>
  <si>
    <t>PATEN</t>
  </si>
  <si>
    <t>PATENSIE</t>
  </si>
  <si>
    <t xml:space="preserve">G N MOTOR REWINDING                </t>
  </si>
  <si>
    <t>sinithemba</t>
  </si>
  <si>
    <t xml:space="preserve">Ronald                        </t>
  </si>
  <si>
    <t>Jacki</t>
  </si>
  <si>
    <t>Tracy</t>
  </si>
  <si>
    <t>ashwin</t>
  </si>
  <si>
    <t>annemarie</t>
  </si>
  <si>
    <t xml:space="preserve">thapelo                       </t>
  </si>
  <si>
    <t>Ningo</t>
  </si>
  <si>
    <t>sediadia</t>
  </si>
  <si>
    <t>Ivan</t>
  </si>
  <si>
    <t>mina</t>
  </si>
  <si>
    <t>angela</t>
  </si>
  <si>
    <t>papama</t>
  </si>
  <si>
    <t>JOHANNES</t>
  </si>
  <si>
    <t>POD received from cell 0833864863 M</t>
  </si>
  <si>
    <t xml:space="preserve">ELECTROWARE INDUSTRIAL SUPPLIE     </t>
  </si>
  <si>
    <t>Daniel</t>
  </si>
  <si>
    <t>ISABELLA ROUX</t>
  </si>
  <si>
    <t>connie</t>
  </si>
  <si>
    <t xml:space="preserve">Bowler Plastics                    </t>
  </si>
  <si>
    <t>JUANITA LESSING</t>
  </si>
  <si>
    <t>Juanita</t>
  </si>
  <si>
    <t xml:space="preserve">LEONARD DINGLER PTY LTD            </t>
  </si>
  <si>
    <t>potlako</t>
  </si>
  <si>
    <t>VOLANI</t>
  </si>
  <si>
    <t xml:space="preserve">ALEXANDER FORBES                   </t>
  </si>
  <si>
    <t>anwar</t>
  </si>
  <si>
    <t>isaac</t>
  </si>
  <si>
    <t>lundi</t>
  </si>
  <si>
    <t>POD received from cell 0794663323 M</t>
  </si>
  <si>
    <t xml:space="preserve">NATIONAL BRAND                     </t>
  </si>
  <si>
    <t>SFISO</t>
  </si>
  <si>
    <t xml:space="preserve">saloshni                      </t>
  </si>
  <si>
    <t>assas</t>
  </si>
  <si>
    <t>SHAUN   ANDREW</t>
  </si>
  <si>
    <t xml:space="preserve">GLEDHOW SUGAR CO. PTY LTD          </t>
  </si>
  <si>
    <t>keshnie</t>
  </si>
  <si>
    <t xml:space="preserve">MBAKE  BAKERY EQUIPMENT            </t>
  </si>
  <si>
    <t>mohamed</t>
  </si>
  <si>
    <t xml:space="preserve">GERHARD UNGER DAIRY EQUIPMENT      </t>
  </si>
  <si>
    <t xml:space="preserve">ELIAS                         </t>
  </si>
  <si>
    <t>T Naidoo</t>
  </si>
  <si>
    <t>Sine</t>
  </si>
  <si>
    <t xml:space="preserve">TORRE AUTOMOTIVE (PTY) LTD         </t>
  </si>
  <si>
    <t>ROUX</t>
  </si>
  <si>
    <t>selwyn</t>
  </si>
  <si>
    <t xml:space="preserve">AUTOMATIVE SUPPLIER PARK           </t>
  </si>
  <si>
    <t>MBALI</t>
  </si>
  <si>
    <t>POD received from cell 0716086241 M</t>
  </si>
  <si>
    <t xml:space="preserve">coetzee                       </t>
  </si>
  <si>
    <t xml:space="preserve">NISSAN SUID-AFRIKA (EDMS)BPK       </t>
  </si>
  <si>
    <t xml:space="preserve">jairus                        </t>
  </si>
  <si>
    <t xml:space="preserve">HASLOP   MASON ENGINEERING CC      </t>
  </si>
  <si>
    <t>axolile</t>
  </si>
  <si>
    <t>fes1162724278</t>
  </si>
  <si>
    <t>kolisile</t>
  </si>
  <si>
    <t>Elton</t>
  </si>
  <si>
    <t xml:space="preserve">deez                          </t>
  </si>
  <si>
    <t xml:space="preserve">PFK ELECTRONICS PTY LTD            </t>
  </si>
  <si>
    <t>malcom</t>
  </si>
  <si>
    <t>AMANZ</t>
  </si>
  <si>
    <t>AMANZIMTOTI</t>
  </si>
  <si>
    <t xml:space="preserve">DES GROUP (PTY) LTD                </t>
  </si>
  <si>
    <t>rv nzama</t>
  </si>
  <si>
    <t xml:space="preserve">BUSMARK 2000 (PTY) LTD             </t>
  </si>
  <si>
    <t>Duria</t>
  </si>
  <si>
    <t>TOMMY</t>
  </si>
  <si>
    <t xml:space="preserve">Jeff                          </t>
  </si>
  <si>
    <t xml:space="preserve">HALL LONGMORE HOLDINGS PTY LTD     </t>
  </si>
  <si>
    <t xml:space="preserve">PPC CEMENT SA                      </t>
  </si>
  <si>
    <t xml:space="preserve">William                       </t>
  </si>
  <si>
    <t>laurette</t>
  </si>
  <si>
    <t>BARRY JANE</t>
  </si>
  <si>
    <t>Company Closed</t>
  </si>
  <si>
    <t xml:space="preserve">HEINEKEN SOUTH AFRICA (PTY)LTD     </t>
  </si>
  <si>
    <t>ANNA</t>
  </si>
  <si>
    <t>sogren</t>
  </si>
  <si>
    <t>meagan</t>
  </si>
  <si>
    <t xml:space="preserve">RAMSAY ENGINERRING (PTY)LTD        </t>
  </si>
  <si>
    <t xml:space="preserve">EXPLOSION PROTECTED EQUIPMENT      </t>
  </si>
  <si>
    <t>herbert</t>
  </si>
  <si>
    <t xml:space="preserve">TS ENGINEERING                     </t>
  </si>
  <si>
    <t>MARGY SHORT</t>
  </si>
  <si>
    <t>derrick</t>
  </si>
  <si>
    <t xml:space="preserve">THUTHUKA PACKAGING                 </t>
  </si>
  <si>
    <t>beverly</t>
  </si>
  <si>
    <t xml:space="preserve">veronica                      </t>
  </si>
  <si>
    <t xml:space="preserve">VAD                                </t>
  </si>
  <si>
    <t>sthembiso</t>
  </si>
  <si>
    <t xml:space="preserve">Tebogo                        </t>
  </si>
  <si>
    <t xml:space="preserve">CLOVER SA (PTY)LTD                 </t>
  </si>
  <si>
    <t>Shane</t>
  </si>
  <si>
    <t xml:space="preserve">DM ENGINEERING                     </t>
  </si>
  <si>
    <t>ELIAS PITJADI</t>
  </si>
  <si>
    <t>haste</t>
  </si>
  <si>
    <t xml:space="preserve">CFW INDUSTRIES (PTY) LTD           </t>
  </si>
  <si>
    <t>tyron</t>
  </si>
  <si>
    <t>CAROL - ANN KOONIN</t>
  </si>
  <si>
    <t>arron</t>
  </si>
  <si>
    <t xml:space="preserve">APPLE CONTROLS CC T  A APPLECO     </t>
  </si>
  <si>
    <t>herring</t>
  </si>
  <si>
    <t xml:space="preserve">Pheleka                       </t>
  </si>
  <si>
    <t>Nivesh</t>
  </si>
  <si>
    <t xml:space="preserve">MICRODENT  TECHNOLOIES             </t>
  </si>
  <si>
    <t>ATT  BAKKER</t>
  </si>
  <si>
    <t>DES</t>
  </si>
  <si>
    <t>SIMON</t>
  </si>
  <si>
    <t xml:space="preserve">END VISION                         </t>
  </si>
  <si>
    <t>SALLY</t>
  </si>
  <si>
    <t>Bakker</t>
  </si>
  <si>
    <t>BRAIN</t>
  </si>
  <si>
    <t xml:space="preserve">nathan                        </t>
  </si>
  <si>
    <t>RCEIVING</t>
  </si>
  <si>
    <t xml:space="preserve">B M S C ENGINEERING CC             </t>
  </si>
  <si>
    <t>helene</t>
  </si>
  <si>
    <t>POD received from cell 0618394832 M</t>
  </si>
  <si>
    <t>Patricia</t>
  </si>
  <si>
    <t xml:space="preserve">ACTOM PTY LTD                      </t>
  </si>
  <si>
    <t>Marita</t>
  </si>
  <si>
    <t xml:space="preserve">KONGSKILDE                         </t>
  </si>
  <si>
    <t>Evette</t>
  </si>
  <si>
    <t xml:space="preserve">KHP HYDRAULICS   PNEUMATICS (P     </t>
  </si>
  <si>
    <t>Josephine</t>
  </si>
  <si>
    <t xml:space="preserve">jimmy                         </t>
  </si>
  <si>
    <t xml:space="preserve">POD received from cell 0625063292 M     </t>
  </si>
  <si>
    <t xml:space="preserve">SYLKO PTY LTD                      </t>
  </si>
  <si>
    <t>maureen</t>
  </si>
  <si>
    <t>ALLAIN</t>
  </si>
  <si>
    <t xml:space="preserve">blaas                         </t>
  </si>
  <si>
    <t>C JACOBZ</t>
  </si>
  <si>
    <t>lebogang</t>
  </si>
  <si>
    <t>RETHABILE</t>
  </si>
  <si>
    <t>HENNE</t>
  </si>
  <si>
    <t>HENNENMAN</t>
  </si>
  <si>
    <t xml:space="preserve">Paulina                       </t>
  </si>
  <si>
    <t xml:space="preserve">POD received from cell 0827008879 M     </t>
  </si>
  <si>
    <t>Clement</t>
  </si>
  <si>
    <t xml:space="preserve">eric                          </t>
  </si>
  <si>
    <t>d venter</t>
  </si>
  <si>
    <t>collected from depot</t>
  </si>
  <si>
    <t xml:space="preserve">DAVID                         </t>
  </si>
  <si>
    <t xml:space="preserve">POD received from cell 0731643511 M     </t>
  </si>
  <si>
    <t>MBDU</t>
  </si>
  <si>
    <t>POD received from cell 0835478757 M</t>
  </si>
  <si>
    <t>PICHIYA</t>
  </si>
  <si>
    <t>SANTOS   MALI</t>
  </si>
  <si>
    <t>Daphne</t>
  </si>
  <si>
    <t>tebogo</t>
  </si>
  <si>
    <t xml:space="preserve">FOODCORP PTY LTD                   </t>
  </si>
  <si>
    <t>Connie</t>
  </si>
  <si>
    <t>Sammie</t>
  </si>
  <si>
    <t>HOLD FOR COLLECTION</t>
  </si>
  <si>
    <t xml:space="preserve">MOSES                         </t>
  </si>
  <si>
    <t>CEDRIC</t>
  </si>
  <si>
    <t xml:space="preserve">LULL STORM TRADING                 </t>
  </si>
  <si>
    <t xml:space="preserve">TUMELO                        </t>
  </si>
  <si>
    <t>S ROSSOUW</t>
  </si>
  <si>
    <t>Nelson</t>
  </si>
  <si>
    <t>each</t>
  </si>
  <si>
    <t xml:space="preserve">CAXTON WORKS                       </t>
  </si>
  <si>
    <t>JOHANNA SEKABATE</t>
  </si>
  <si>
    <t>Gift</t>
  </si>
  <si>
    <t>Loren</t>
  </si>
  <si>
    <t>griffth</t>
  </si>
  <si>
    <t>Alvizo</t>
  </si>
  <si>
    <t>wian</t>
  </si>
  <si>
    <t>J VAN DENVENTER</t>
  </si>
  <si>
    <t>maxwell</t>
  </si>
  <si>
    <t>LION</t>
  </si>
  <si>
    <t xml:space="preserve">TERENCE                       </t>
  </si>
  <si>
    <t xml:space="preserve">CONVEY IT CC                       </t>
  </si>
  <si>
    <t>A Antonels</t>
  </si>
  <si>
    <t>kolise</t>
  </si>
  <si>
    <t>gerry</t>
  </si>
  <si>
    <t>Eveh</t>
  </si>
  <si>
    <t>dean</t>
  </si>
  <si>
    <t>lion</t>
  </si>
  <si>
    <t xml:space="preserve">GAYATRI PAPER MILLS PTY LTD        </t>
  </si>
  <si>
    <t>BRIGHT</t>
  </si>
  <si>
    <t>gift</t>
  </si>
  <si>
    <t xml:space="preserve">PIETER BOSCH                       </t>
  </si>
  <si>
    <t>taylor</t>
  </si>
  <si>
    <t>Rage</t>
  </si>
  <si>
    <t>Ching</t>
  </si>
  <si>
    <t xml:space="preserve">RCL FOODS SUGAR   MILLING          </t>
  </si>
  <si>
    <t>PATRICK NTULI</t>
  </si>
  <si>
    <t>martha</t>
  </si>
  <si>
    <t>BENNIE</t>
  </si>
  <si>
    <t>C JACOBS</t>
  </si>
  <si>
    <t xml:space="preserve">GRAMEC PTY LTD                     </t>
  </si>
  <si>
    <t>elizabeth</t>
  </si>
  <si>
    <t xml:space="preserve">AMKA PRODUCTS                      </t>
  </si>
  <si>
    <t>POD received from cell 0769790129 M</t>
  </si>
  <si>
    <t>zanele</t>
  </si>
  <si>
    <t>busisiwe</t>
  </si>
  <si>
    <t xml:space="preserve">AFRISAM SA PTY LTD                 </t>
  </si>
  <si>
    <t>Zizipho</t>
  </si>
  <si>
    <t>eaplu</t>
  </si>
  <si>
    <t>Sipho</t>
  </si>
  <si>
    <t>Cecilia</t>
  </si>
  <si>
    <t xml:space="preserve">WILMAR CONTINENTAL EDIBLE OILS     </t>
  </si>
  <si>
    <t>KELLY</t>
  </si>
  <si>
    <t>RE SEND  INCORRECTLY CAPTURED</t>
  </si>
  <si>
    <t>phunsula</t>
  </si>
  <si>
    <t xml:space="preserve">MODULAR MASTS   TOWERS CC          </t>
  </si>
  <si>
    <t xml:space="preserve">AQUAZANIA PTY LTD                  </t>
  </si>
  <si>
    <t>BEANCA</t>
  </si>
  <si>
    <t xml:space="preserve">DINEO                         </t>
  </si>
  <si>
    <t>zaza</t>
  </si>
  <si>
    <t xml:space="preserve">NAMPAK GLASS                       </t>
  </si>
  <si>
    <t>MAXWELL</t>
  </si>
  <si>
    <t xml:space="preserve">54 INTERGRATION (PTY) LTD          </t>
  </si>
  <si>
    <t>ALFONS DELAWERE</t>
  </si>
  <si>
    <t>ELECTRONIC   POWER</t>
  </si>
  <si>
    <t>luper</t>
  </si>
  <si>
    <t>Tom</t>
  </si>
  <si>
    <t xml:space="preserve">Sandy                         </t>
  </si>
  <si>
    <t>ntsako</t>
  </si>
  <si>
    <t>n africa</t>
  </si>
  <si>
    <t>richard</t>
  </si>
  <si>
    <t xml:space="preserve">PFG BUILDING GLASS                 </t>
  </si>
  <si>
    <t>sharon erasmus</t>
  </si>
  <si>
    <t>gina</t>
  </si>
  <si>
    <t>PETER NKOSI</t>
  </si>
  <si>
    <t>magdaletza</t>
  </si>
  <si>
    <t xml:space="preserve">PBA EQUIPMENT PTY LTD              </t>
  </si>
  <si>
    <t>isak</t>
  </si>
  <si>
    <t xml:space="preserve">Lincoln                       </t>
  </si>
  <si>
    <t>NEO</t>
  </si>
  <si>
    <t xml:space="preserve">LAFARGE INDUSTRIES SA              </t>
  </si>
  <si>
    <t>CEPHAS</t>
  </si>
  <si>
    <t xml:space="preserve">PFERD                              </t>
  </si>
  <si>
    <t>b emmanuel</t>
  </si>
  <si>
    <t>HEID2</t>
  </si>
  <si>
    <t>HEIDELBERG (TVL)</t>
  </si>
  <si>
    <t xml:space="preserve">BRITISH AMERICAN TOBACCO SA (P     </t>
  </si>
  <si>
    <t>PRODUCTION PLANT</t>
  </si>
  <si>
    <t>bongs</t>
  </si>
  <si>
    <t>NQF4 PROJECT</t>
  </si>
  <si>
    <t xml:space="preserve">PERA HORN                     </t>
  </si>
  <si>
    <t>FILE</t>
  </si>
  <si>
    <t xml:space="preserve">SEMICONDUCTOR SOLUTIONS            </t>
  </si>
  <si>
    <t>Zanele</t>
  </si>
  <si>
    <t>Marinus</t>
  </si>
  <si>
    <t>Prevern</t>
  </si>
  <si>
    <t>JOHANNES NGWENYA</t>
  </si>
  <si>
    <t>unathi</t>
  </si>
  <si>
    <t>Naledi</t>
  </si>
  <si>
    <t xml:space="preserve">DIVFOOD   NAMPAK                   </t>
  </si>
  <si>
    <t>Bernie</t>
  </si>
  <si>
    <t xml:space="preserve">bingo                         </t>
  </si>
  <si>
    <t>rdl</t>
  </si>
  <si>
    <t>thavi</t>
  </si>
  <si>
    <t xml:space="preserve">VACUFORM 2000 (PTY)LTD             </t>
  </si>
  <si>
    <t>Meme</t>
  </si>
  <si>
    <t>Gevin</t>
  </si>
  <si>
    <t>louis</t>
  </si>
  <si>
    <t xml:space="preserve">Doen                          </t>
  </si>
  <si>
    <t xml:space="preserve">BOSAL AFRIKA PTY                   </t>
  </si>
  <si>
    <t>Susan</t>
  </si>
  <si>
    <t>neo</t>
  </si>
  <si>
    <t>Sylvia</t>
  </si>
  <si>
    <t xml:space="preserve">SASOL CHEMICALS SA                 </t>
  </si>
  <si>
    <t xml:space="preserve">BARRY                         </t>
  </si>
  <si>
    <t xml:space="preserve">SCHAFER ENGINEERING CC             </t>
  </si>
  <si>
    <t>ezekiel</t>
  </si>
  <si>
    <t xml:space="preserve">RETECON SERVICES                   </t>
  </si>
  <si>
    <t xml:space="preserve">Bingo                         </t>
  </si>
  <si>
    <t xml:space="preserve">HI  CALIBRE ENGINEERING (PTY)L     </t>
  </si>
  <si>
    <t>delia</t>
  </si>
  <si>
    <t>ZAKES</t>
  </si>
  <si>
    <t xml:space="preserve">CHARLON                       </t>
  </si>
  <si>
    <t>POOBLAL</t>
  </si>
  <si>
    <t>Brad</t>
  </si>
  <si>
    <t xml:space="preserve">BONGANI                       </t>
  </si>
  <si>
    <t xml:space="preserve">paulina                       </t>
  </si>
  <si>
    <t>lizle</t>
  </si>
  <si>
    <t>QUINTON BAILEY</t>
  </si>
  <si>
    <t>aflor</t>
  </si>
  <si>
    <t xml:space="preserve">MDW PNEUMATIC TRADING (PTY) LT     </t>
  </si>
  <si>
    <t xml:space="preserve">CHARLES                       </t>
  </si>
  <si>
    <t>Abbas</t>
  </si>
  <si>
    <t>Rasheen</t>
  </si>
  <si>
    <t>GERHARD VLOK</t>
  </si>
  <si>
    <t xml:space="preserve">POD received from cell 0827418949 M     </t>
  </si>
  <si>
    <t>Andile</t>
  </si>
  <si>
    <t xml:space="preserve">ENVISION AFRICA (PTY)LTD           </t>
  </si>
  <si>
    <t>SUZETTE</t>
  </si>
  <si>
    <t xml:space="preserve">Esther                        </t>
  </si>
  <si>
    <t xml:space="preserve">P CHIYA                       </t>
  </si>
  <si>
    <t>k govendet</t>
  </si>
  <si>
    <t>RESPECT</t>
  </si>
  <si>
    <t>dhaakir</t>
  </si>
  <si>
    <t xml:space="preserve">CTP DIGITAL SERVICES ( PTY ) L     </t>
  </si>
  <si>
    <t>sonto</t>
  </si>
  <si>
    <t>dikmakatso</t>
  </si>
  <si>
    <t>teddy</t>
  </si>
  <si>
    <t xml:space="preserve">JASCO TRADING PTY LTD              </t>
  </si>
  <si>
    <t>PRAVESH</t>
  </si>
  <si>
    <t>Tess</t>
  </si>
  <si>
    <t xml:space="preserve">ELINEM ENGINEERING PTY LTD         </t>
  </si>
  <si>
    <t>Lelanie</t>
  </si>
  <si>
    <t xml:space="preserve">CHARSON                       </t>
  </si>
  <si>
    <t xml:space="preserve">SMMF SOFTWARE TECHNOLOGIES         </t>
  </si>
  <si>
    <t>LETICIA   BRYAN</t>
  </si>
  <si>
    <t>l gorda</t>
  </si>
  <si>
    <t xml:space="preserve">SCHAEFFLER SOUTH AFRICA            </t>
  </si>
  <si>
    <t>lifa</t>
  </si>
  <si>
    <t>Bongani</t>
  </si>
  <si>
    <t xml:space="preserve">ACK SOLUTIONS PTY LTD              </t>
  </si>
  <si>
    <t>christine</t>
  </si>
  <si>
    <t xml:space="preserve">KLIP CONTROL                       </t>
  </si>
  <si>
    <t>J  Roux</t>
  </si>
  <si>
    <t>respect</t>
  </si>
  <si>
    <t>kredan</t>
  </si>
  <si>
    <t>tumelo</t>
  </si>
  <si>
    <t xml:space="preserve">FAMOUS BRANDS MANAGEMENT           </t>
  </si>
  <si>
    <t>PETROS MAKHANYA</t>
  </si>
  <si>
    <t>ALBERT RANDALL</t>
  </si>
  <si>
    <t>GERALD</t>
  </si>
  <si>
    <t xml:space="preserve">queen                         </t>
  </si>
  <si>
    <t xml:space="preserve">POD received from cell 0742059629 M     </t>
  </si>
  <si>
    <t>J VAN DER MERWE</t>
  </si>
  <si>
    <t>jimmy</t>
  </si>
  <si>
    <t>H Virby</t>
  </si>
  <si>
    <t>REVEN</t>
  </si>
  <si>
    <t xml:space="preserve">KOMMETJIE ENGINEERING              </t>
  </si>
  <si>
    <t>Natasha</t>
  </si>
  <si>
    <t>sylvia</t>
  </si>
  <si>
    <t>coldee</t>
  </si>
  <si>
    <t>audrey</t>
  </si>
  <si>
    <t xml:space="preserve">FANTAZI CREATIONS                  </t>
  </si>
  <si>
    <t xml:space="preserve">michael                       </t>
  </si>
  <si>
    <t>yamisa</t>
  </si>
  <si>
    <t>siphelele</t>
  </si>
  <si>
    <t>wesley</t>
  </si>
  <si>
    <t xml:space="preserve">Jacob                         </t>
  </si>
  <si>
    <t>Romando</t>
  </si>
  <si>
    <t xml:space="preserve">H Robb                        </t>
  </si>
  <si>
    <t xml:space="preserve">UNIVERSITY OF STELLENBOSCH-CRE     </t>
  </si>
  <si>
    <t>P Hough</t>
  </si>
  <si>
    <t>Simorne</t>
  </si>
  <si>
    <t>Vehicle breakdown</t>
  </si>
  <si>
    <t>eric</t>
  </si>
  <si>
    <t>MARISKA</t>
  </si>
  <si>
    <t xml:space="preserve">THE SIMBA GROUP                    </t>
  </si>
  <si>
    <t>fes1162724798</t>
  </si>
  <si>
    <t>ludwe</t>
  </si>
  <si>
    <t>RSC1164313717</t>
  </si>
  <si>
    <t xml:space="preserve">roulina                       </t>
  </si>
  <si>
    <t xml:space="preserve">XSCANN TECHNOLOGIES PTY LTD        </t>
  </si>
  <si>
    <t>Lynette</t>
  </si>
  <si>
    <t>vincent</t>
  </si>
  <si>
    <t>Tarryd</t>
  </si>
  <si>
    <t xml:space="preserve">ADCOCK INGRAM HEALTHCARE (PTY)     </t>
  </si>
  <si>
    <t xml:space="preserve">EGLI PRECISION GNGINNERING         </t>
  </si>
  <si>
    <t>SANDRA</t>
  </si>
  <si>
    <t>KAMESAN</t>
  </si>
  <si>
    <t>ANDREW</t>
  </si>
  <si>
    <t xml:space="preserve">ASPEN NUTRITIONALS                 </t>
  </si>
  <si>
    <t>n fourie</t>
  </si>
  <si>
    <t>shaak8r</t>
  </si>
  <si>
    <t>Malcolm</t>
  </si>
  <si>
    <t xml:space="preserve">P Chiya                       </t>
  </si>
  <si>
    <t>sugan</t>
  </si>
  <si>
    <t>Sandisile</t>
  </si>
  <si>
    <t xml:space="preserve">FILMATIC PACKAGING                 </t>
  </si>
  <si>
    <t>PATRICH</t>
  </si>
  <si>
    <t xml:space="preserve">ASH RESOURCES                      </t>
  </si>
  <si>
    <t>Wime</t>
  </si>
  <si>
    <t xml:space="preserve">-                                  </t>
  </si>
  <si>
    <t>SAME WATER</t>
  </si>
  <si>
    <t xml:space="preserve">AFROX                              </t>
  </si>
  <si>
    <t>NA</t>
  </si>
  <si>
    <t>WINNY</t>
  </si>
  <si>
    <t xml:space="preserve">MEAGAN                        </t>
  </si>
  <si>
    <t xml:space="preserve">PROXA (PTY)LTD                     </t>
  </si>
  <si>
    <t>CARLE</t>
  </si>
  <si>
    <t>CARLETONVILLE</t>
  </si>
  <si>
    <t xml:space="preserve">CNL INDUSTRIAL MINING SUPPLIES     </t>
  </si>
  <si>
    <t>Tim</t>
  </si>
  <si>
    <t>POD received from cell 0815339137 M</t>
  </si>
  <si>
    <t xml:space="preserve">lindiwe                       </t>
  </si>
  <si>
    <t>JAYSON PILLAY</t>
  </si>
  <si>
    <t>nare</t>
  </si>
  <si>
    <t xml:space="preserve">CEMPACK                            </t>
  </si>
  <si>
    <t>M Louw</t>
  </si>
  <si>
    <t>KGOTSOKO</t>
  </si>
  <si>
    <t xml:space="preserve">NATIONAL CERAMIC INDUSTRIES        </t>
  </si>
  <si>
    <t>Dimo</t>
  </si>
  <si>
    <t xml:space="preserve">GLENCORE MERAFE VENTURE            </t>
  </si>
  <si>
    <t>Kabelo</t>
  </si>
  <si>
    <t xml:space="preserve">PRIDE MILLING CO PTY LTD           </t>
  </si>
  <si>
    <t>ANNEKE PUTTER</t>
  </si>
  <si>
    <t>marlene</t>
  </si>
  <si>
    <t>ROOBY ABRAM</t>
  </si>
  <si>
    <t xml:space="preserve">UCD MOBILITY                       </t>
  </si>
  <si>
    <t>ROBSON</t>
  </si>
  <si>
    <t xml:space="preserve">CHENRED                            </t>
  </si>
  <si>
    <t>babsie</t>
  </si>
  <si>
    <t xml:space="preserve">AFGRI POULTRY                      </t>
  </si>
  <si>
    <t>refilwe</t>
  </si>
  <si>
    <t xml:space="preserve">STEELWOOD INTERNATIONAL PTY LT     </t>
  </si>
  <si>
    <t>THANDO</t>
  </si>
  <si>
    <t>siho</t>
  </si>
  <si>
    <t>Adriaan</t>
  </si>
  <si>
    <t>Eben</t>
  </si>
  <si>
    <t>ASHLEY</t>
  </si>
  <si>
    <t>MARY</t>
  </si>
  <si>
    <t>FANNY</t>
  </si>
  <si>
    <t>TREVOR</t>
  </si>
  <si>
    <t xml:space="preserve">RB   SONS                          </t>
  </si>
  <si>
    <t>Loraine</t>
  </si>
  <si>
    <t>REFILWE</t>
  </si>
  <si>
    <t>BOX PARCEL</t>
  </si>
  <si>
    <t>Mohau</t>
  </si>
  <si>
    <t>BOX.</t>
  </si>
  <si>
    <t xml:space="preserve">MARLEY PIPE SYSTEMS SA PTY LTD     </t>
  </si>
  <si>
    <t>ELSA LENNOX</t>
  </si>
  <si>
    <t>Lucas</t>
  </si>
  <si>
    <t xml:space="preserve">jaco                          </t>
  </si>
  <si>
    <t xml:space="preserve">TREVOR                        </t>
  </si>
  <si>
    <t>SILAS</t>
  </si>
  <si>
    <t xml:space="preserve">BRITTECH                           </t>
  </si>
  <si>
    <t>CORNEL WILLMOT</t>
  </si>
  <si>
    <t>Adel</t>
  </si>
  <si>
    <t>POD received from cell 0766143929 M</t>
  </si>
  <si>
    <t>tony</t>
  </si>
  <si>
    <t xml:space="preserve">TI GROUP AUTOMOTIVE SYSTEM         </t>
  </si>
  <si>
    <t>thembi</t>
  </si>
  <si>
    <t>WAYNE</t>
  </si>
  <si>
    <t xml:space="preserve">PBA ENGINEERING                    </t>
  </si>
  <si>
    <t>MICHAEL HODGSON</t>
  </si>
  <si>
    <t xml:space="preserve">Isak                          </t>
  </si>
  <si>
    <t xml:space="preserve">POD received from cell 0641377685 M     </t>
  </si>
  <si>
    <t>Roland</t>
  </si>
  <si>
    <t>ALFRED</t>
  </si>
  <si>
    <t xml:space="preserve">GIBSON TECHNOLOGIES CC             </t>
  </si>
  <si>
    <t>A Moller</t>
  </si>
  <si>
    <t xml:space="preserve">GLENCAROL                          </t>
  </si>
  <si>
    <t>tammt</t>
  </si>
  <si>
    <t>DENISA CONACHE</t>
  </si>
  <si>
    <t>SIBUSISO</t>
  </si>
  <si>
    <t>nicholas</t>
  </si>
  <si>
    <t>justice</t>
  </si>
  <si>
    <t xml:space="preserve">lerato                        </t>
  </si>
  <si>
    <t xml:space="preserve">mandla                        </t>
  </si>
  <si>
    <t xml:space="preserve">POD received from cell 0620923972 M     </t>
  </si>
  <si>
    <t xml:space="preserve">WEIR MINERALS AFRICA               </t>
  </si>
  <si>
    <t>ANNA DU TOIT</t>
  </si>
  <si>
    <t xml:space="preserve">Werner                        </t>
  </si>
  <si>
    <t>PARCEL.</t>
  </si>
  <si>
    <t>wezley</t>
  </si>
  <si>
    <t xml:space="preserve">PIONEER FOODS (PTY)LTD             </t>
  </si>
  <si>
    <t xml:space="preserve">chanta                        </t>
  </si>
  <si>
    <t xml:space="preserve">LEGHORN PRODUCTS PTY LTD           </t>
  </si>
  <si>
    <t>salthiel</t>
  </si>
  <si>
    <t xml:space="preserve">JONES                         </t>
  </si>
  <si>
    <t xml:space="preserve">NEOPAK                             </t>
  </si>
  <si>
    <t>TEBOGO</t>
  </si>
  <si>
    <t>senithemba</t>
  </si>
  <si>
    <t xml:space="preserve">JJ WESSELS                    </t>
  </si>
  <si>
    <t>Sezeni</t>
  </si>
  <si>
    <t>Teboho</t>
  </si>
  <si>
    <t xml:space="preserve">yamkela                       </t>
  </si>
  <si>
    <t xml:space="preserve">RETHABILE                     </t>
  </si>
  <si>
    <t>chriselle</t>
  </si>
  <si>
    <t xml:space="preserve">evelyn                        </t>
  </si>
  <si>
    <t xml:space="preserve">ENGEN PERTROLEM LTD                </t>
  </si>
  <si>
    <t xml:space="preserve">nwabisa                       </t>
  </si>
  <si>
    <t>Thami Sithole</t>
  </si>
  <si>
    <t xml:space="preserve">FREDDY HIRSCH BEZERBA SCALES       </t>
  </si>
  <si>
    <t>clemenr</t>
  </si>
  <si>
    <t xml:space="preserve">ISEGEN S. A                        </t>
  </si>
  <si>
    <t>lMarcia</t>
  </si>
  <si>
    <t xml:space="preserve">bernice                       </t>
  </si>
  <si>
    <t>HILTO</t>
  </si>
  <si>
    <t>HILTON</t>
  </si>
  <si>
    <t xml:space="preserve">KARL BARTELS                       </t>
  </si>
  <si>
    <t>JASON VAN DER MERWE</t>
  </si>
  <si>
    <t>viljon</t>
  </si>
  <si>
    <t>NIS</t>
  </si>
  <si>
    <t>POD received from cell 0649479327 M</t>
  </si>
  <si>
    <t>buyile</t>
  </si>
  <si>
    <t>mabena</t>
  </si>
  <si>
    <t>Jarren</t>
  </si>
  <si>
    <t xml:space="preserve">malcom                        </t>
  </si>
  <si>
    <t>lance</t>
  </si>
  <si>
    <t xml:space="preserve">TENNECO EMISSION CONTROL           </t>
  </si>
  <si>
    <t>MARK BURRELL</t>
  </si>
  <si>
    <t>molly</t>
  </si>
  <si>
    <t>MariKa</t>
  </si>
  <si>
    <t xml:space="preserve">cordelia                      </t>
  </si>
  <si>
    <t>Sabelo</t>
  </si>
  <si>
    <t>Emmanuel</t>
  </si>
  <si>
    <t xml:space="preserve">Louisa                        </t>
  </si>
  <si>
    <t>Hilton</t>
  </si>
  <si>
    <t xml:space="preserve">kevin                         </t>
  </si>
  <si>
    <t>Matthew Orchard</t>
  </si>
  <si>
    <t>c chicard</t>
  </si>
  <si>
    <t>Thami Sithol</t>
  </si>
  <si>
    <t xml:space="preserve">j steyn                       </t>
  </si>
  <si>
    <t>phungula</t>
  </si>
  <si>
    <t>Thami SITHOLE</t>
  </si>
  <si>
    <t>basul</t>
  </si>
  <si>
    <t>laja</t>
  </si>
  <si>
    <t xml:space="preserve">conroy                        </t>
  </si>
  <si>
    <t>monubisi</t>
  </si>
  <si>
    <t>Tommy</t>
  </si>
  <si>
    <t xml:space="preserve">RISHABA TRADING CC                 </t>
  </si>
  <si>
    <t>ARNEAL RAMJAS</t>
  </si>
  <si>
    <t>sailor</t>
  </si>
  <si>
    <t>thompson</t>
  </si>
  <si>
    <t xml:space="preserve">nonhlahla                     </t>
  </si>
  <si>
    <t xml:space="preserve">WALKER                        </t>
  </si>
  <si>
    <t xml:space="preserve">NEVILLE CAMAY CC                   </t>
  </si>
  <si>
    <t>NEVILLE</t>
  </si>
  <si>
    <t>timothy</t>
  </si>
  <si>
    <t>POD received from cell 0734890643 M</t>
  </si>
  <si>
    <t xml:space="preserve">FEDERAL MOGUL FRICTION PRODUCT     </t>
  </si>
  <si>
    <t>MPUME NGOBESE</t>
  </si>
  <si>
    <t>Mpume</t>
  </si>
  <si>
    <t xml:space="preserve">niren                         </t>
  </si>
  <si>
    <t>katty</t>
  </si>
  <si>
    <t>Lethu</t>
  </si>
  <si>
    <t>FAITH</t>
  </si>
  <si>
    <t>w styen</t>
  </si>
  <si>
    <t xml:space="preserve">Adriaan                       </t>
  </si>
  <si>
    <t xml:space="preserve">LEANZBIZ CONSULTING CC             </t>
  </si>
  <si>
    <t>nonhlanhla</t>
  </si>
  <si>
    <t xml:space="preserve">SUPPLYTECH                         </t>
  </si>
  <si>
    <t>CHRISTO BOTHA</t>
  </si>
  <si>
    <t>Samantha</t>
  </si>
  <si>
    <t xml:space="preserve">simon                         </t>
  </si>
  <si>
    <t>Elvis</t>
  </si>
  <si>
    <t xml:space="preserve">nomvula                       </t>
  </si>
  <si>
    <t xml:space="preserve">CB PNEUMATICS PTY LTD              </t>
  </si>
  <si>
    <t>ELMARIE</t>
  </si>
  <si>
    <t xml:space="preserve">J HANIBALL                    </t>
  </si>
  <si>
    <t xml:space="preserve">NUMATICS KNZ                       </t>
  </si>
  <si>
    <t>dumi</t>
  </si>
  <si>
    <t>cg van niewenhuisen</t>
  </si>
  <si>
    <t xml:space="preserve">CONSTANCE                     </t>
  </si>
  <si>
    <t xml:space="preserve">TEGNON (PTY)LTD                    </t>
  </si>
  <si>
    <t xml:space="preserve">TDias                         </t>
  </si>
  <si>
    <t xml:space="preserve">POD received from cell 0738698647 M     </t>
  </si>
  <si>
    <t xml:space="preserve">JACKIE                        </t>
  </si>
  <si>
    <t xml:space="preserve">J HONIBALL                    </t>
  </si>
  <si>
    <t>MARTIN RAPHUNGA</t>
  </si>
  <si>
    <t>candy</t>
  </si>
  <si>
    <t xml:space="preserve">alfred                        </t>
  </si>
  <si>
    <t>BOX Flyer</t>
  </si>
  <si>
    <t>BOXES BOXES</t>
  </si>
  <si>
    <t>MATEBESI</t>
  </si>
  <si>
    <t xml:space="preserve">BOSCO PRINTED CIRCUITS (PTY) L     </t>
  </si>
  <si>
    <t xml:space="preserve">Shaun                         </t>
  </si>
  <si>
    <t>Dugan</t>
  </si>
  <si>
    <t>Frazer</t>
  </si>
  <si>
    <t xml:space="preserve">pinky                         </t>
  </si>
  <si>
    <t>bakker</t>
  </si>
  <si>
    <t>BOX BOX BOX</t>
  </si>
  <si>
    <t>OIL</t>
  </si>
  <si>
    <t xml:space="preserve">AEROSUD INNOVATION   TRAINING      </t>
  </si>
  <si>
    <t xml:space="preserve">RCL FOODS CONSUMER                 </t>
  </si>
  <si>
    <t>J Schnapel</t>
  </si>
  <si>
    <t>blm</t>
  </si>
  <si>
    <t>H VA ONSELEM</t>
  </si>
  <si>
    <t>DEON</t>
  </si>
  <si>
    <t>MPHO MAMPA</t>
  </si>
  <si>
    <t>jaques</t>
  </si>
  <si>
    <t>KRISTIAN</t>
  </si>
  <si>
    <t xml:space="preserve">PRERD SA                           </t>
  </si>
  <si>
    <t xml:space="preserve">FORD                               </t>
  </si>
  <si>
    <t xml:space="preserve">JENDAMARK AUTOMATION               </t>
  </si>
  <si>
    <t>FUE / INS</t>
  </si>
  <si>
    <t>RCL FOODS CONSUMER PTY</t>
  </si>
  <si>
    <t xml:space="preserve">DEVCOTECH ELECTRICAL ENG           </t>
  </si>
  <si>
    <t>Abigail</t>
  </si>
  <si>
    <t xml:space="preserve">CITRASHINE                         </t>
  </si>
  <si>
    <t>haward</t>
  </si>
  <si>
    <t xml:space="preserve">SKYNET RUSTENBURG                  </t>
  </si>
  <si>
    <t>EDDIE KLEINGERD</t>
  </si>
  <si>
    <t>Signed</t>
  </si>
  <si>
    <t xml:space="preserve">SCHULLPAK CC                       </t>
  </si>
  <si>
    <t>VINCENT GOVENDER</t>
  </si>
  <si>
    <t>asewamle</t>
  </si>
  <si>
    <t xml:space="preserve">SHAUN PUCHERT                      </t>
  </si>
  <si>
    <t>SHAUN PUCHERT</t>
  </si>
  <si>
    <t xml:space="preserve">ADLAM ENGINEERING PTY LTD          </t>
  </si>
  <si>
    <t>LETITIA</t>
  </si>
  <si>
    <t>quintin</t>
  </si>
  <si>
    <t>c chiccao</t>
  </si>
  <si>
    <t>cuper</t>
  </si>
  <si>
    <t>Kaizer</t>
  </si>
  <si>
    <t xml:space="preserve">Mokhethi                      </t>
  </si>
  <si>
    <t>lucia</t>
  </si>
  <si>
    <t>Verona Singh</t>
  </si>
  <si>
    <t>ARNOLD KHOROMMBI</t>
  </si>
  <si>
    <t>Laurette</t>
  </si>
  <si>
    <t xml:space="preserve">sizwe                         </t>
  </si>
  <si>
    <t>RAW MATERIALS (FACTORY)</t>
  </si>
  <si>
    <t>esethu</t>
  </si>
  <si>
    <t>Emma</t>
  </si>
  <si>
    <t>brett</t>
  </si>
  <si>
    <t>berdus</t>
  </si>
  <si>
    <t>Sukelwe</t>
  </si>
  <si>
    <t xml:space="preserve">WEC PROJECT (PTY)L.T.D             </t>
  </si>
  <si>
    <t xml:space="preserve">GUBB   INGGS                       </t>
  </si>
  <si>
    <t>Meagan</t>
  </si>
  <si>
    <t xml:space="preserve">FANAH                         </t>
  </si>
  <si>
    <t xml:space="preserve">ADVANCED COMPRESSOR TECHNOLOGY     </t>
  </si>
  <si>
    <t>PIET STEYN</t>
  </si>
  <si>
    <t xml:space="preserve">POLYOAK PACKAGING                  </t>
  </si>
  <si>
    <t xml:space="preserve">TRANSVAAL HYDRAULICS               </t>
  </si>
  <si>
    <t>corrie</t>
  </si>
  <si>
    <t xml:space="preserve">UNIVERSAL STORAGE SYSTEMS (PTY     </t>
  </si>
  <si>
    <t xml:space="preserve">REFILOE                       </t>
  </si>
  <si>
    <t>courtlh</t>
  </si>
  <si>
    <t xml:space="preserve">DICKON HALL FOODS                  </t>
  </si>
  <si>
    <t>LIZZY</t>
  </si>
  <si>
    <t>sheriff</t>
  </si>
  <si>
    <t>jenny</t>
  </si>
  <si>
    <t>j francis</t>
  </si>
  <si>
    <t xml:space="preserve">MPACT PLASTICS COMPRESSION MOU     </t>
  </si>
  <si>
    <t>MABORE PHASOANE</t>
  </si>
  <si>
    <t xml:space="preserve">THEO                          </t>
  </si>
  <si>
    <t xml:space="preserve">EASTERN TRADING CO.                </t>
  </si>
  <si>
    <t>Roger</t>
  </si>
  <si>
    <t>ALLEN</t>
  </si>
  <si>
    <t xml:space="preserve">THABANI                       </t>
  </si>
  <si>
    <t>B OX</t>
  </si>
  <si>
    <t xml:space="preserve">NTHABISENG                    </t>
  </si>
  <si>
    <t>Marlene</t>
  </si>
  <si>
    <t>Pheleka</t>
  </si>
  <si>
    <t>G J Arendse</t>
  </si>
  <si>
    <t xml:space="preserve">B M G                              </t>
  </si>
  <si>
    <t>BACKER</t>
  </si>
  <si>
    <t>HANSA</t>
  </si>
  <si>
    <t>NINGO</t>
  </si>
  <si>
    <t xml:space="preserve">mothobi                       </t>
  </si>
  <si>
    <t xml:space="preserve">VENTURE DIVERSIFIED PRODUCTS(P     </t>
  </si>
  <si>
    <t>marenique</t>
  </si>
  <si>
    <t xml:space="preserve">ENPROTEC NENVIROMENTAL   PROCE     </t>
  </si>
  <si>
    <t>SUPER</t>
  </si>
  <si>
    <t>Abdul</t>
  </si>
  <si>
    <t xml:space="preserve">noeleen                       </t>
  </si>
  <si>
    <t xml:space="preserve">GRIPPER   CO (PTY) LTD             </t>
  </si>
  <si>
    <t xml:space="preserve">MA AUTOMOTIVE                      </t>
  </si>
  <si>
    <t>phumeza</t>
  </si>
  <si>
    <t>R Germer</t>
  </si>
  <si>
    <t>sam williams</t>
  </si>
  <si>
    <t xml:space="preserve">gwen                          </t>
  </si>
  <si>
    <t>saloshni</t>
  </si>
  <si>
    <t>FES1162725584</t>
  </si>
  <si>
    <t xml:space="preserve">WOODTECH                           </t>
  </si>
  <si>
    <t>michelle</t>
  </si>
  <si>
    <t xml:space="preserve">STARMON                       </t>
  </si>
  <si>
    <t xml:space="preserve">CASCADE SALES   DISTRIBUTION (     </t>
  </si>
  <si>
    <t>lucas</t>
  </si>
  <si>
    <t xml:space="preserve">ALDOR AFRICA                       </t>
  </si>
  <si>
    <t xml:space="preserve">CANDICE                       </t>
  </si>
  <si>
    <t>b sidwell</t>
  </si>
  <si>
    <t xml:space="preserve">rishie                        </t>
  </si>
  <si>
    <t xml:space="preserve">MINOVA SA                          </t>
  </si>
  <si>
    <t>KHOSI MSIMANGO</t>
  </si>
  <si>
    <t xml:space="preserve">Thembisa                      </t>
  </si>
  <si>
    <t>l goeda</t>
  </si>
  <si>
    <t>MIXO</t>
  </si>
  <si>
    <t>Ashleigh</t>
  </si>
  <si>
    <t>REUBEN</t>
  </si>
  <si>
    <t>PJ ODENDAAL</t>
  </si>
  <si>
    <t xml:space="preserve">Mark                          </t>
  </si>
  <si>
    <t>Kyle</t>
  </si>
  <si>
    <t>s bevu</t>
  </si>
  <si>
    <t xml:space="preserve">AGRIPLAS                           </t>
  </si>
  <si>
    <t>AGRIPLAS</t>
  </si>
  <si>
    <t>POD received from cell 0718816995 M</t>
  </si>
  <si>
    <t xml:space="preserve">LINDIWE                       </t>
  </si>
  <si>
    <t>PRETTY</t>
  </si>
  <si>
    <t xml:space="preserve">Joyce                         </t>
  </si>
  <si>
    <t xml:space="preserve">ATLANTIS MANUFACTURING SERVICE     </t>
  </si>
  <si>
    <t>Lane</t>
  </si>
  <si>
    <t>POD received from cell 0731234559 M</t>
  </si>
  <si>
    <t>mariam</t>
  </si>
  <si>
    <t xml:space="preserve">Gary                          </t>
  </si>
  <si>
    <t xml:space="preserve">COCA -COLA BEVERAGES SA (PTY)      </t>
  </si>
  <si>
    <t>francis</t>
  </si>
  <si>
    <t>POD received from cell 0796216495 M</t>
  </si>
  <si>
    <t>ZHELI</t>
  </si>
  <si>
    <t>Collen</t>
  </si>
  <si>
    <t>Eugene</t>
  </si>
  <si>
    <t xml:space="preserve">Stacey                        </t>
  </si>
  <si>
    <t>Collin</t>
  </si>
  <si>
    <t>Brandon</t>
  </si>
  <si>
    <t>oree</t>
  </si>
  <si>
    <t>Cordelia</t>
  </si>
  <si>
    <t xml:space="preserve">SA BANK NOTE (SABN)                </t>
  </si>
  <si>
    <t>keagan</t>
  </si>
  <si>
    <t xml:space="preserve">Kyle                          </t>
  </si>
  <si>
    <t xml:space="preserve">marTin                        </t>
  </si>
  <si>
    <t>petros</t>
  </si>
  <si>
    <t xml:space="preserve">CAPE PENNINSULA UNIVERSITY         </t>
  </si>
  <si>
    <t>mpetsheni</t>
  </si>
  <si>
    <t>DAVIS</t>
  </si>
  <si>
    <t xml:space="preserve">VOLKSWAGEN SA                      </t>
  </si>
  <si>
    <t>RICK ALLSOP</t>
  </si>
  <si>
    <t>rocco</t>
  </si>
  <si>
    <t xml:space="preserve">POD received from cell 0732937434 M     </t>
  </si>
  <si>
    <t xml:space="preserve">L OREAL MANUFACTURING PTY LTD      </t>
  </si>
  <si>
    <t>Vlok Laubscher</t>
  </si>
  <si>
    <t>Shaakir</t>
  </si>
  <si>
    <t>cristin</t>
  </si>
  <si>
    <t>SEAN IRWIN</t>
  </si>
  <si>
    <t xml:space="preserve">BBF SAFETY GROUP PTY LTD           </t>
  </si>
  <si>
    <t>GOODMAN</t>
  </si>
  <si>
    <t xml:space="preserve">andrey                        </t>
  </si>
  <si>
    <t xml:space="preserve">POD received from cell 0618394832 M     </t>
  </si>
  <si>
    <t>Salim Johnson</t>
  </si>
  <si>
    <t>Bianca</t>
  </si>
  <si>
    <t xml:space="preserve">raj rak                       </t>
  </si>
  <si>
    <t>SELLO</t>
  </si>
  <si>
    <t>rethabile</t>
  </si>
  <si>
    <t xml:space="preserve">ELMAR                         </t>
  </si>
  <si>
    <t xml:space="preserve">kevun                         </t>
  </si>
  <si>
    <t xml:space="preserve">Keagan                        </t>
  </si>
  <si>
    <t>sha</t>
  </si>
  <si>
    <t xml:space="preserve">HYDRAULIC COMPONENTS CC            </t>
  </si>
  <si>
    <t>BHARESH POONEE</t>
  </si>
  <si>
    <t xml:space="preserve">andy                          </t>
  </si>
  <si>
    <t xml:space="preserve">POD received from cell 0835257179 M     </t>
  </si>
  <si>
    <t>thabiso</t>
  </si>
  <si>
    <t xml:space="preserve">PNEUMATIC TANKER EQUIPMENT CC      </t>
  </si>
  <si>
    <t xml:space="preserve">ANN                           </t>
  </si>
  <si>
    <t>tebovo</t>
  </si>
  <si>
    <t>GUGU</t>
  </si>
  <si>
    <t xml:space="preserve">BMG PORT ELIZABETH 0142            </t>
  </si>
  <si>
    <t>rowland</t>
  </si>
  <si>
    <t xml:space="preserve">nicky                         </t>
  </si>
  <si>
    <t>kattie</t>
  </si>
  <si>
    <t xml:space="preserve">RUBICON ELECTRICAL DISTRIBUTOR     </t>
  </si>
  <si>
    <t>yolisa</t>
  </si>
  <si>
    <t>sedadia</t>
  </si>
  <si>
    <t xml:space="preserve">cristin                       </t>
  </si>
  <si>
    <t>REVERT</t>
  </si>
  <si>
    <t>kgotso</t>
  </si>
  <si>
    <t>goolam</t>
  </si>
  <si>
    <t xml:space="preserve">m fourie                      </t>
  </si>
  <si>
    <t xml:space="preserve">POD received from cell 0648706734 M     </t>
  </si>
  <si>
    <t>freeman</t>
  </si>
  <si>
    <t>virend</t>
  </si>
  <si>
    <t xml:space="preserve">CONSOLIDATED WIRE INDUSTRIES (     </t>
  </si>
  <si>
    <t>Jimmy</t>
  </si>
  <si>
    <t xml:space="preserve">Pieter                        </t>
  </si>
  <si>
    <t xml:space="preserve">AUTOMA MULTI STYRENE PTY LTD       </t>
  </si>
  <si>
    <t xml:space="preserve">Jeanette                      </t>
  </si>
  <si>
    <t xml:space="preserve">ROMATEX HOME TEXTILES PTY LTD      </t>
  </si>
  <si>
    <t>mandisa</t>
  </si>
  <si>
    <t xml:space="preserve">DCD PROTECTED MOBILITY             </t>
  </si>
  <si>
    <t>RECEIVNG</t>
  </si>
  <si>
    <t>clayton</t>
  </si>
  <si>
    <t>NICO VAN DER WALT</t>
  </si>
  <si>
    <t>gc van niewehuisen</t>
  </si>
  <si>
    <t>CHA-RON</t>
  </si>
  <si>
    <t>Robin</t>
  </si>
  <si>
    <t>STRAN</t>
  </si>
  <si>
    <t>STRAND</t>
  </si>
  <si>
    <t xml:space="preserve">ELDERWOOD TRADING CC               </t>
  </si>
  <si>
    <t>jephrey</t>
  </si>
  <si>
    <t xml:space="preserve">FESTO CAPE TOWN                    </t>
  </si>
  <si>
    <t>HEENAN JONATHAN</t>
  </si>
  <si>
    <t>J Steyn</t>
  </si>
  <si>
    <t xml:space="preserve">SA SUGAR ASSOCIATION               </t>
  </si>
  <si>
    <t xml:space="preserve">reedly                        </t>
  </si>
  <si>
    <t>sbongise</t>
  </si>
  <si>
    <t xml:space="preserve">millicent                     </t>
  </si>
  <si>
    <t>RECEIVINJG</t>
  </si>
  <si>
    <t>lizzy</t>
  </si>
  <si>
    <t>Abraus</t>
  </si>
  <si>
    <t>dylan</t>
  </si>
  <si>
    <t>arendse</t>
  </si>
  <si>
    <t>BOXES</t>
  </si>
  <si>
    <t xml:space="preserve">TECROVEER PTY                      </t>
  </si>
  <si>
    <t xml:space="preserve">CT INVENT PTY LTD                  </t>
  </si>
  <si>
    <t xml:space="preserve">GOLDMANN ENGINEERING               </t>
  </si>
  <si>
    <t>PKT FITTINGS</t>
  </si>
  <si>
    <t>Box PARCEL</t>
  </si>
  <si>
    <t xml:space="preserve">EXPLOSION PROTECTED                </t>
  </si>
  <si>
    <t xml:space="preserve">ETVAAL MEUBELVERVAARDIGERS         </t>
  </si>
  <si>
    <t>Henno</t>
  </si>
  <si>
    <t xml:space="preserve">TAURUS PAPER PRODUCTS (PTY)LTD     </t>
  </si>
  <si>
    <t>godra</t>
  </si>
  <si>
    <t xml:space="preserve">ZAKHELE                            </t>
  </si>
  <si>
    <t>Vuledzani</t>
  </si>
  <si>
    <t>Josrph</t>
  </si>
  <si>
    <t xml:space="preserve">PBA SPARES PTY LTD                 </t>
  </si>
  <si>
    <t xml:space="preserve">FRW GROUND NUTS                    </t>
  </si>
  <si>
    <t xml:space="preserve">SOUTHERN SERVICES CC               </t>
  </si>
  <si>
    <t>FRANS MARE</t>
  </si>
  <si>
    <t>Alnick</t>
  </si>
  <si>
    <t xml:space="preserve">AUSTRO (PROPIETY LTD)              </t>
  </si>
  <si>
    <t>stothz</t>
  </si>
  <si>
    <t>JAPHTA</t>
  </si>
  <si>
    <t xml:space="preserve">MARLYN INSTRUMENTATION CC          </t>
  </si>
  <si>
    <t>natasha</t>
  </si>
  <si>
    <t xml:space="preserve">jneo                          </t>
  </si>
  <si>
    <t xml:space="preserve">POD received from cell 0834970420 M     </t>
  </si>
  <si>
    <t xml:space="preserve">B M G UPINGTON                     </t>
  </si>
  <si>
    <t>JACO MARAIS</t>
  </si>
  <si>
    <t>RD3</t>
  </si>
  <si>
    <t>Wickus</t>
  </si>
  <si>
    <t>sbusiso</t>
  </si>
  <si>
    <t>ISITH</t>
  </si>
  <si>
    <t>ISITHEBE</t>
  </si>
  <si>
    <t xml:space="preserve">ASTIG ENGINEERING CC               </t>
  </si>
  <si>
    <t>E STRYDOM</t>
  </si>
  <si>
    <t>POTGI</t>
  </si>
  <si>
    <t>POTGIETERSRUS</t>
  </si>
  <si>
    <t xml:space="preserve">NEDAN REFINERY                     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</si>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</sst>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4" fontId="0" fillId="0" borderId="0" xfId="0" applyNumberFormat="1"/>
    <xf numFmtId="2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N4029"/>
  <sheetViews>
    <sheetView tabSelected="1" topLeftCell="A4007" workbookViewId="0">
      <selection activeCell="K14" sqref="K14"/>
    </sheetView>
  </sheetViews>
  <sheetFormatPr defaultRowHeight="15"/>
  <cols>
    <col min="6" max="6" width="13" customWidth="1"/>
    <col min="64" max="64" width="9.5703125" style="4" bestFit="1" customWidth="1"/>
    <col min="65" max="65" width="9.28515625" style="4" bestFit="1" customWidth="1"/>
    <col min="66" max="66" width="9.5703125" style="4" bestFit="1" customWidth="1"/>
    <col min="67" max="67" width="9.28515625" style="4" bestFit="1" customWidth="1"/>
  </cols>
  <sheetData>
    <row r="1" spans="1:92" ht="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2" t="s">
        <v>43</v>
      </c>
      <c r="BM1" s="2" t="s">
        <v>44</v>
      </c>
      <c r="BN1" s="2" t="s">
        <v>45</v>
      </c>
      <c r="BO1" s="2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>
      <c r="A2" t="s">
        <v>72</v>
      </c>
      <c r="B2" t="s">
        <v>73</v>
      </c>
      <c r="C2" t="s">
        <v>74</v>
      </c>
      <c r="E2" t="str">
        <f>"FES1162720717"</f>
        <v>FES1162720717</v>
      </c>
      <c r="F2" s="3">
        <v>43770</v>
      </c>
      <c r="G2">
        <v>202005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"2170715093                    "</f>
        <v xml:space="preserve">2170715093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8.7899999999999991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0.2</v>
      </c>
      <c r="BJ2">
        <v>1.8</v>
      </c>
      <c r="BK2">
        <v>2</v>
      </c>
      <c r="BL2" s="4">
        <v>50.66</v>
      </c>
      <c r="BM2" s="4">
        <v>7.6</v>
      </c>
      <c r="BN2" s="4">
        <v>58.26</v>
      </c>
      <c r="BO2" s="4">
        <v>58.26</v>
      </c>
      <c r="BQ2" t="s">
        <v>83</v>
      </c>
      <c r="BR2" t="s">
        <v>84</v>
      </c>
      <c r="BS2" s="3">
        <v>43773</v>
      </c>
      <c r="BT2" s="5">
        <v>0.34375</v>
      </c>
      <c r="BU2" t="s">
        <v>85</v>
      </c>
      <c r="BV2" t="s">
        <v>86</v>
      </c>
      <c r="BY2">
        <v>8966.36</v>
      </c>
      <c r="CA2" t="s">
        <v>87</v>
      </c>
      <c r="CC2" t="s">
        <v>80</v>
      </c>
      <c r="CD2">
        <v>6230</v>
      </c>
      <c r="CE2" t="s">
        <v>88</v>
      </c>
      <c r="CF2" s="3">
        <v>43774</v>
      </c>
      <c r="CI2">
        <v>1</v>
      </c>
      <c r="CJ2">
        <v>1</v>
      </c>
      <c r="CK2">
        <v>21</v>
      </c>
      <c r="CL2" t="s">
        <v>89</v>
      </c>
    </row>
    <row r="3" spans="1:92">
      <c r="A3" t="s">
        <v>72</v>
      </c>
      <c r="B3" t="s">
        <v>73</v>
      </c>
      <c r="C3" t="s">
        <v>74</v>
      </c>
      <c r="E3" t="str">
        <f>"FES1162720782"</f>
        <v>FES1162720782</v>
      </c>
      <c r="F3" s="3">
        <v>43770</v>
      </c>
      <c r="G3">
        <v>202005</v>
      </c>
      <c r="H3" t="s">
        <v>75</v>
      </c>
      <c r="I3" t="s">
        <v>76</v>
      </c>
      <c r="J3" t="s">
        <v>77</v>
      </c>
      <c r="K3" t="s">
        <v>78</v>
      </c>
      <c r="L3" t="s">
        <v>90</v>
      </c>
      <c r="M3" t="s">
        <v>91</v>
      </c>
      <c r="N3" t="s">
        <v>92</v>
      </c>
      <c r="O3" t="s">
        <v>82</v>
      </c>
      <c r="P3" t="str">
        <f>"217151315                     "</f>
        <v xml:space="preserve">217151315 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8.7899999999999991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0.2</v>
      </c>
      <c r="BJ3">
        <v>1.6</v>
      </c>
      <c r="BK3">
        <v>2</v>
      </c>
      <c r="BL3" s="4">
        <v>50.66</v>
      </c>
      <c r="BM3" s="4">
        <v>7.6</v>
      </c>
      <c r="BN3" s="4">
        <v>58.26</v>
      </c>
      <c r="BO3" s="4">
        <v>58.26</v>
      </c>
      <c r="BR3" t="s">
        <v>84</v>
      </c>
      <c r="BS3" s="3">
        <v>43773</v>
      </c>
      <c r="BT3" s="5">
        <v>0.3354166666666667</v>
      </c>
      <c r="BU3" t="s">
        <v>93</v>
      </c>
      <c r="BV3" t="s">
        <v>86</v>
      </c>
      <c r="BY3">
        <v>7879.68</v>
      </c>
      <c r="CA3" t="s">
        <v>94</v>
      </c>
      <c r="CC3" t="s">
        <v>91</v>
      </c>
      <c r="CD3">
        <v>7701</v>
      </c>
      <c r="CE3" t="s">
        <v>88</v>
      </c>
      <c r="CF3" s="3">
        <v>43774</v>
      </c>
      <c r="CI3">
        <v>1</v>
      </c>
      <c r="CJ3">
        <v>1</v>
      </c>
      <c r="CK3">
        <v>21</v>
      </c>
      <c r="CL3" t="s">
        <v>89</v>
      </c>
    </row>
    <row r="4" spans="1:92">
      <c r="A4" t="s">
        <v>72</v>
      </c>
      <c r="B4" t="s">
        <v>73</v>
      </c>
      <c r="C4" t="s">
        <v>74</v>
      </c>
      <c r="E4" t="str">
        <f>"FES1162720831"</f>
        <v>FES1162720831</v>
      </c>
      <c r="F4" s="3">
        <v>43770</v>
      </c>
      <c r="G4">
        <v>202005</v>
      </c>
      <c r="H4" t="s">
        <v>75</v>
      </c>
      <c r="I4" t="s">
        <v>76</v>
      </c>
      <c r="J4" t="s">
        <v>77</v>
      </c>
      <c r="K4" t="s">
        <v>78</v>
      </c>
      <c r="L4" t="s">
        <v>95</v>
      </c>
      <c r="M4" t="s">
        <v>96</v>
      </c>
      <c r="N4" t="s">
        <v>97</v>
      </c>
      <c r="O4" t="s">
        <v>82</v>
      </c>
      <c r="P4" t="str">
        <f>"2170715206                    "</f>
        <v xml:space="preserve">2170715206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6.87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0.2</v>
      </c>
      <c r="BJ4">
        <v>1.9</v>
      </c>
      <c r="BK4">
        <v>2</v>
      </c>
      <c r="BL4" s="4">
        <v>39.58</v>
      </c>
      <c r="BM4" s="4">
        <v>5.94</v>
      </c>
      <c r="BN4" s="4">
        <v>45.52</v>
      </c>
      <c r="BO4" s="4">
        <v>45.52</v>
      </c>
      <c r="BQ4" t="s">
        <v>98</v>
      </c>
      <c r="BR4" t="s">
        <v>84</v>
      </c>
      <c r="BS4" s="3">
        <v>43773</v>
      </c>
      <c r="BT4" s="5">
        <v>0.3125</v>
      </c>
      <c r="BU4" t="s">
        <v>99</v>
      </c>
      <c r="BV4" t="s">
        <v>86</v>
      </c>
      <c r="BY4">
        <v>9279.4</v>
      </c>
      <c r="CA4" t="s">
        <v>100</v>
      </c>
      <c r="CC4" t="s">
        <v>96</v>
      </c>
      <c r="CD4">
        <v>1449</v>
      </c>
      <c r="CE4" t="s">
        <v>88</v>
      </c>
      <c r="CF4" s="3">
        <v>43774</v>
      </c>
      <c r="CI4">
        <v>1</v>
      </c>
      <c r="CJ4">
        <v>1</v>
      </c>
      <c r="CK4">
        <v>22</v>
      </c>
      <c r="CL4" t="s">
        <v>89</v>
      </c>
    </row>
    <row r="5" spans="1:92">
      <c r="A5" t="s">
        <v>72</v>
      </c>
      <c r="B5" t="s">
        <v>73</v>
      </c>
      <c r="C5" t="s">
        <v>74</v>
      </c>
      <c r="E5" t="str">
        <f>"FES1162720705"</f>
        <v>FES1162720705</v>
      </c>
      <c r="F5" s="3">
        <v>43770</v>
      </c>
      <c r="G5">
        <v>202005</v>
      </c>
      <c r="H5" t="s">
        <v>75</v>
      </c>
      <c r="I5" t="s">
        <v>76</v>
      </c>
      <c r="J5" t="s">
        <v>77</v>
      </c>
      <c r="K5" t="s">
        <v>78</v>
      </c>
      <c r="L5" t="s">
        <v>101</v>
      </c>
      <c r="M5" t="s">
        <v>102</v>
      </c>
      <c r="N5" t="s">
        <v>103</v>
      </c>
      <c r="O5" t="s">
        <v>82</v>
      </c>
      <c r="P5" t="str">
        <f>"2170715079                    "</f>
        <v xml:space="preserve">2170715079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8.7899999999999991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0.2</v>
      </c>
      <c r="BJ5">
        <v>0.3</v>
      </c>
      <c r="BK5">
        <v>0.5</v>
      </c>
      <c r="BL5" s="4">
        <v>50.66</v>
      </c>
      <c r="BM5" s="4">
        <v>7.6</v>
      </c>
      <c r="BN5" s="4">
        <v>58.26</v>
      </c>
      <c r="BO5" s="4">
        <v>58.26</v>
      </c>
      <c r="BR5" t="s">
        <v>84</v>
      </c>
      <c r="BS5" s="3">
        <v>43773</v>
      </c>
      <c r="BT5" s="5">
        <v>0.55555555555555558</v>
      </c>
      <c r="BU5" t="s">
        <v>104</v>
      </c>
      <c r="BV5" t="s">
        <v>86</v>
      </c>
      <c r="BY5">
        <v>1440.18</v>
      </c>
      <c r="CA5" t="s">
        <v>105</v>
      </c>
      <c r="CC5" t="s">
        <v>102</v>
      </c>
      <c r="CD5">
        <v>183</v>
      </c>
      <c r="CE5" t="s">
        <v>88</v>
      </c>
      <c r="CF5" s="3">
        <v>43774</v>
      </c>
      <c r="CI5">
        <v>1</v>
      </c>
      <c r="CJ5">
        <v>1</v>
      </c>
      <c r="CK5">
        <v>21</v>
      </c>
      <c r="CL5" t="s">
        <v>89</v>
      </c>
    </row>
    <row r="6" spans="1:92">
      <c r="A6" t="s">
        <v>72</v>
      </c>
      <c r="B6" t="s">
        <v>73</v>
      </c>
      <c r="C6" t="s">
        <v>74</v>
      </c>
      <c r="E6" t="str">
        <f>"FES1162720656"</f>
        <v>FES1162720656</v>
      </c>
      <c r="F6" s="3">
        <v>43770</v>
      </c>
      <c r="G6">
        <v>202005</v>
      </c>
      <c r="H6" t="s">
        <v>75</v>
      </c>
      <c r="I6" t="s">
        <v>76</v>
      </c>
      <c r="J6" t="s">
        <v>77</v>
      </c>
      <c r="K6" t="s">
        <v>78</v>
      </c>
      <c r="L6" t="s">
        <v>106</v>
      </c>
      <c r="M6" t="s">
        <v>107</v>
      </c>
      <c r="N6" t="s">
        <v>108</v>
      </c>
      <c r="O6" t="s">
        <v>82</v>
      </c>
      <c r="P6" t="str">
        <f>"2170713084                    "</f>
        <v xml:space="preserve">2170713084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13.19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2.9</v>
      </c>
      <c r="BJ6">
        <v>2.9</v>
      </c>
      <c r="BK6">
        <v>3</v>
      </c>
      <c r="BL6" s="4">
        <v>75.98</v>
      </c>
      <c r="BM6" s="4">
        <v>11.4</v>
      </c>
      <c r="BN6" s="4">
        <v>87.38</v>
      </c>
      <c r="BO6" s="4">
        <v>87.38</v>
      </c>
      <c r="BQ6" t="s">
        <v>109</v>
      </c>
      <c r="BR6" t="s">
        <v>84</v>
      </c>
      <c r="BS6" s="3">
        <v>43773</v>
      </c>
      <c r="BT6" s="5">
        <v>0.42777777777777781</v>
      </c>
      <c r="BU6" t="s">
        <v>110</v>
      </c>
      <c r="BV6" t="s">
        <v>86</v>
      </c>
      <c r="BY6">
        <v>14691.18</v>
      </c>
      <c r="CA6" t="s">
        <v>111</v>
      </c>
      <c r="CC6" t="s">
        <v>107</v>
      </c>
      <c r="CD6">
        <v>6001</v>
      </c>
      <c r="CE6" t="s">
        <v>88</v>
      </c>
      <c r="CF6" s="3">
        <v>43774</v>
      </c>
      <c r="CI6">
        <v>1</v>
      </c>
      <c r="CJ6">
        <v>1</v>
      </c>
      <c r="CK6">
        <v>21</v>
      </c>
      <c r="CL6" t="s">
        <v>89</v>
      </c>
    </row>
    <row r="7" spans="1:92">
      <c r="A7" t="s">
        <v>72</v>
      </c>
      <c r="B7" t="s">
        <v>73</v>
      </c>
      <c r="C7" t="s">
        <v>74</v>
      </c>
      <c r="E7" t="str">
        <f>"FES1162720787"</f>
        <v>FES1162720787</v>
      </c>
      <c r="F7" s="3">
        <v>43770</v>
      </c>
      <c r="G7">
        <v>202005</v>
      </c>
      <c r="H7" t="s">
        <v>75</v>
      </c>
      <c r="I7" t="s">
        <v>76</v>
      </c>
      <c r="J7" t="s">
        <v>77</v>
      </c>
      <c r="K7" t="s">
        <v>78</v>
      </c>
      <c r="L7" t="s">
        <v>112</v>
      </c>
      <c r="M7" t="s">
        <v>113</v>
      </c>
      <c r="N7" t="s">
        <v>114</v>
      </c>
      <c r="O7" t="s">
        <v>82</v>
      </c>
      <c r="P7" t="str">
        <f>"2170715167                    "</f>
        <v xml:space="preserve">2170715167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8.7899999999999991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1.6</v>
      </c>
      <c r="BK7">
        <v>2</v>
      </c>
      <c r="BL7" s="4">
        <v>50.66</v>
      </c>
      <c r="BM7" s="4">
        <v>7.6</v>
      </c>
      <c r="BN7" s="4">
        <v>58.26</v>
      </c>
      <c r="BO7" s="4">
        <v>58.26</v>
      </c>
      <c r="BQ7" t="s">
        <v>115</v>
      </c>
      <c r="BR7" t="s">
        <v>84</v>
      </c>
      <c r="BS7" s="3">
        <v>43773</v>
      </c>
      <c r="BT7" s="5">
        <v>0.36388888888888887</v>
      </c>
      <c r="BU7" t="s">
        <v>116</v>
      </c>
      <c r="BV7" t="s">
        <v>86</v>
      </c>
      <c r="BY7">
        <v>8079.36</v>
      </c>
      <c r="BZ7" t="s">
        <v>27</v>
      </c>
      <c r="CA7" t="s">
        <v>117</v>
      </c>
      <c r="CC7" t="s">
        <v>113</v>
      </c>
      <c r="CD7">
        <v>4001</v>
      </c>
      <c r="CE7" t="s">
        <v>88</v>
      </c>
      <c r="CF7" s="3">
        <v>43774</v>
      </c>
      <c r="CI7">
        <v>1</v>
      </c>
      <c r="CJ7">
        <v>1</v>
      </c>
      <c r="CK7">
        <v>21</v>
      </c>
      <c r="CL7" t="s">
        <v>89</v>
      </c>
    </row>
    <row r="8" spans="1:92">
      <c r="A8" t="s">
        <v>72</v>
      </c>
      <c r="B8" t="s">
        <v>73</v>
      </c>
      <c r="C8" t="s">
        <v>74</v>
      </c>
      <c r="E8" t="str">
        <f>"FES1162720685"</f>
        <v>FES1162720685</v>
      </c>
      <c r="F8" s="3">
        <v>43770</v>
      </c>
      <c r="G8">
        <v>202005</v>
      </c>
      <c r="H8" t="s">
        <v>75</v>
      </c>
      <c r="I8" t="s">
        <v>76</v>
      </c>
      <c r="J8" t="s">
        <v>77</v>
      </c>
      <c r="K8" t="s">
        <v>78</v>
      </c>
      <c r="L8" t="s">
        <v>118</v>
      </c>
      <c r="M8" t="s">
        <v>119</v>
      </c>
      <c r="N8" t="s">
        <v>120</v>
      </c>
      <c r="O8" t="s">
        <v>82</v>
      </c>
      <c r="P8" t="str">
        <f>"2170715060                    "</f>
        <v xml:space="preserve">2170715060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72.489999999999995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16.3</v>
      </c>
      <c r="BJ8">
        <v>8.1999999999999993</v>
      </c>
      <c r="BK8">
        <v>16.5</v>
      </c>
      <c r="BL8" s="4">
        <v>417.7</v>
      </c>
      <c r="BM8" s="4">
        <v>62.66</v>
      </c>
      <c r="BN8" s="4">
        <v>480.36</v>
      </c>
      <c r="BO8" s="4">
        <v>480.36</v>
      </c>
      <c r="BQ8" t="s">
        <v>121</v>
      </c>
      <c r="BR8" t="s">
        <v>84</v>
      </c>
      <c r="BS8" s="3">
        <v>43773</v>
      </c>
      <c r="BT8" s="5">
        <v>0.40972222222222227</v>
      </c>
      <c r="BU8" t="s">
        <v>122</v>
      </c>
      <c r="BV8" t="s">
        <v>86</v>
      </c>
      <c r="BY8">
        <v>40762.51</v>
      </c>
      <c r="CA8" t="s">
        <v>123</v>
      </c>
      <c r="CC8" t="s">
        <v>119</v>
      </c>
      <c r="CD8">
        <v>3201</v>
      </c>
      <c r="CE8" t="s">
        <v>88</v>
      </c>
      <c r="CF8" s="3">
        <v>43774</v>
      </c>
      <c r="CI8">
        <v>1</v>
      </c>
      <c r="CJ8">
        <v>1</v>
      </c>
      <c r="CK8">
        <v>21</v>
      </c>
      <c r="CL8" t="s">
        <v>89</v>
      </c>
    </row>
    <row r="9" spans="1:92">
      <c r="A9" t="s">
        <v>72</v>
      </c>
      <c r="B9" t="s">
        <v>73</v>
      </c>
      <c r="C9" t="s">
        <v>74</v>
      </c>
      <c r="E9" t="str">
        <f>"FES1162720775"</f>
        <v>FES1162720775</v>
      </c>
      <c r="F9" s="3">
        <v>43770</v>
      </c>
      <c r="G9">
        <v>202005</v>
      </c>
      <c r="H9" t="s">
        <v>75</v>
      </c>
      <c r="I9" t="s">
        <v>76</v>
      </c>
      <c r="J9" t="s">
        <v>77</v>
      </c>
      <c r="K9" t="s">
        <v>78</v>
      </c>
      <c r="L9" t="s">
        <v>124</v>
      </c>
      <c r="M9" t="s">
        <v>125</v>
      </c>
      <c r="N9" t="s">
        <v>126</v>
      </c>
      <c r="O9" t="s">
        <v>82</v>
      </c>
      <c r="P9" t="str">
        <f>"2170715154                    "</f>
        <v xml:space="preserve">2170715154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7.69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2.1</v>
      </c>
      <c r="BJ9">
        <v>1</v>
      </c>
      <c r="BK9">
        <v>2.5</v>
      </c>
      <c r="BL9" s="4">
        <v>44.32</v>
      </c>
      <c r="BM9" s="4">
        <v>6.65</v>
      </c>
      <c r="BN9" s="4">
        <v>50.97</v>
      </c>
      <c r="BO9" s="4">
        <v>50.97</v>
      </c>
      <c r="BQ9" t="s">
        <v>109</v>
      </c>
      <c r="BR9" t="s">
        <v>84</v>
      </c>
      <c r="BS9" s="3">
        <v>43773</v>
      </c>
      <c r="BT9" s="5">
        <v>0.3923611111111111</v>
      </c>
      <c r="BU9" t="s">
        <v>127</v>
      </c>
      <c r="BV9" t="s">
        <v>86</v>
      </c>
      <c r="BY9">
        <v>4880.97</v>
      </c>
      <c r="CA9" t="s">
        <v>123</v>
      </c>
      <c r="CC9" t="s">
        <v>125</v>
      </c>
      <c r="CD9">
        <v>2197</v>
      </c>
      <c r="CE9" t="s">
        <v>88</v>
      </c>
      <c r="CF9" s="3">
        <v>43774</v>
      </c>
      <c r="CI9">
        <v>1</v>
      </c>
      <c r="CJ9">
        <v>1</v>
      </c>
      <c r="CK9">
        <v>22</v>
      </c>
      <c r="CL9" t="s">
        <v>89</v>
      </c>
    </row>
    <row r="10" spans="1:92">
      <c r="A10" t="s">
        <v>72</v>
      </c>
      <c r="B10" t="s">
        <v>73</v>
      </c>
      <c r="C10" t="s">
        <v>74</v>
      </c>
      <c r="E10" t="str">
        <f>"FES1162720766"</f>
        <v>FES1162720766</v>
      </c>
      <c r="F10" s="3">
        <v>43770</v>
      </c>
      <c r="G10">
        <v>202005</v>
      </c>
      <c r="H10" t="s">
        <v>75</v>
      </c>
      <c r="I10" t="s">
        <v>76</v>
      </c>
      <c r="J10" t="s">
        <v>77</v>
      </c>
      <c r="K10" t="s">
        <v>78</v>
      </c>
      <c r="L10" t="s">
        <v>106</v>
      </c>
      <c r="M10" t="s">
        <v>107</v>
      </c>
      <c r="N10" t="s">
        <v>128</v>
      </c>
      <c r="O10" t="s">
        <v>82</v>
      </c>
      <c r="P10" t="str">
        <f>"2170718361                    "</f>
        <v xml:space="preserve">2170718361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8.7899999999999991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0.2</v>
      </c>
      <c r="BJ10">
        <v>1.2</v>
      </c>
      <c r="BK10">
        <v>1.5</v>
      </c>
      <c r="BL10" s="4">
        <v>50.66</v>
      </c>
      <c r="BM10" s="4">
        <v>7.6</v>
      </c>
      <c r="BN10" s="4">
        <v>58.26</v>
      </c>
      <c r="BO10" s="4">
        <v>58.26</v>
      </c>
      <c r="BQ10" t="s">
        <v>121</v>
      </c>
      <c r="BR10" t="s">
        <v>84</v>
      </c>
      <c r="BS10" s="3">
        <v>43773</v>
      </c>
      <c r="BT10" s="5">
        <v>0.33333333333333331</v>
      </c>
      <c r="BU10" t="s">
        <v>129</v>
      </c>
      <c r="BV10" t="s">
        <v>86</v>
      </c>
      <c r="BY10">
        <v>5807.52</v>
      </c>
      <c r="CA10" t="s">
        <v>87</v>
      </c>
      <c r="CC10" t="s">
        <v>107</v>
      </c>
      <c r="CD10">
        <v>6001</v>
      </c>
      <c r="CE10" t="s">
        <v>88</v>
      </c>
      <c r="CF10" s="3">
        <v>43774</v>
      </c>
      <c r="CI10">
        <v>1</v>
      </c>
      <c r="CJ10">
        <v>1</v>
      </c>
      <c r="CK10">
        <v>21</v>
      </c>
      <c r="CL10" t="s">
        <v>89</v>
      </c>
    </row>
    <row r="11" spans="1:92">
      <c r="A11" t="s">
        <v>72</v>
      </c>
      <c r="B11" t="s">
        <v>73</v>
      </c>
      <c r="C11" t="s">
        <v>74</v>
      </c>
      <c r="E11" t="str">
        <f>"FES1162720676"</f>
        <v>FES1162720676</v>
      </c>
      <c r="F11" s="3">
        <v>43770</v>
      </c>
      <c r="G11">
        <v>202005</v>
      </c>
      <c r="H11" t="s">
        <v>75</v>
      </c>
      <c r="I11" t="s">
        <v>76</v>
      </c>
      <c r="J11" t="s">
        <v>77</v>
      </c>
      <c r="K11" t="s">
        <v>78</v>
      </c>
      <c r="L11" t="s">
        <v>118</v>
      </c>
      <c r="M11" t="s">
        <v>119</v>
      </c>
      <c r="N11" t="s">
        <v>130</v>
      </c>
      <c r="O11" t="s">
        <v>82</v>
      </c>
      <c r="P11" t="str">
        <f>"217071354                     "</f>
        <v xml:space="preserve">217071354 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8.7899999999999991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0.2</v>
      </c>
      <c r="BJ11">
        <v>1.2</v>
      </c>
      <c r="BK11">
        <v>1.5</v>
      </c>
      <c r="BL11" s="4">
        <v>50.66</v>
      </c>
      <c r="BM11" s="4">
        <v>7.6</v>
      </c>
      <c r="BN11" s="4">
        <v>58.26</v>
      </c>
      <c r="BO11" s="4">
        <v>58.26</v>
      </c>
      <c r="BQ11" t="s">
        <v>109</v>
      </c>
      <c r="BR11" t="s">
        <v>84</v>
      </c>
      <c r="BS11" s="3">
        <v>43773</v>
      </c>
      <c r="BT11" s="5">
        <v>0.43333333333333335</v>
      </c>
      <c r="BU11" t="s">
        <v>131</v>
      </c>
      <c r="BV11" t="s">
        <v>86</v>
      </c>
      <c r="BY11">
        <v>6146.69</v>
      </c>
      <c r="CA11" t="s">
        <v>132</v>
      </c>
      <c r="CC11" t="s">
        <v>119</v>
      </c>
      <c r="CD11">
        <v>3201</v>
      </c>
      <c r="CE11" t="s">
        <v>88</v>
      </c>
      <c r="CF11" s="3">
        <v>43774</v>
      </c>
      <c r="CI11">
        <v>1</v>
      </c>
      <c r="CJ11">
        <v>1</v>
      </c>
      <c r="CK11">
        <v>21</v>
      </c>
      <c r="CL11" t="s">
        <v>89</v>
      </c>
    </row>
    <row r="12" spans="1:92">
      <c r="A12" t="s">
        <v>72</v>
      </c>
      <c r="B12" t="s">
        <v>73</v>
      </c>
      <c r="C12" t="s">
        <v>74</v>
      </c>
      <c r="E12" t="str">
        <f>"FES1162720805"</f>
        <v>FES1162720805</v>
      </c>
      <c r="F12" s="3">
        <v>43770</v>
      </c>
      <c r="G12">
        <v>202005</v>
      </c>
      <c r="H12" t="s">
        <v>75</v>
      </c>
      <c r="I12" t="s">
        <v>76</v>
      </c>
      <c r="J12" t="s">
        <v>77</v>
      </c>
      <c r="K12" t="s">
        <v>78</v>
      </c>
      <c r="L12" t="s">
        <v>133</v>
      </c>
      <c r="M12" t="s">
        <v>134</v>
      </c>
      <c r="N12" t="s">
        <v>135</v>
      </c>
      <c r="O12" t="s">
        <v>82</v>
      </c>
      <c r="P12" t="str">
        <f>"2170715186                    "</f>
        <v xml:space="preserve">2170715186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8.7899999999999991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1.8</v>
      </c>
      <c r="BJ12">
        <v>1.8</v>
      </c>
      <c r="BK12">
        <v>2</v>
      </c>
      <c r="BL12" s="4">
        <v>50.66</v>
      </c>
      <c r="BM12" s="4">
        <v>7.6</v>
      </c>
      <c r="BN12" s="4">
        <v>58.26</v>
      </c>
      <c r="BO12" s="4">
        <v>58.26</v>
      </c>
      <c r="BQ12" t="s">
        <v>109</v>
      </c>
      <c r="BR12" t="s">
        <v>84</v>
      </c>
      <c r="BS12" s="3">
        <v>43773</v>
      </c>
      <c r="BT12" s="5">
        <v>0.43402777777777773</v>
      </c>
      <c r="BU12" t="s">
        <v>136</v>
      </c>
      <c r="BV12" t="s">
        <v>86</v>
      </c>
      <c r="BY12">
        <v>9007.31</v>
      </c>
      <c r="CA12" t="s">
        <v>137</v>
      </c>
      <c r="CC12" t="s">
        <v>134</v>
      </c>
      <c r="CD12">
        <v>5201</v>
      </c>
      <c r="CE12" t="s">
        <v>88</v>
      </c>
      <c r="CF12" s="3">
        <v>43775</v>
      </c>
      <c r="CI12">
        <v>1</v>
      </c>
      <c r="CJ12">
        <v>1</v>
      </c>
      <c r="CK12">
        <v>21</v>
      </c>
      <c r="CL12" t="s">
        <v>89</v>
      </c>
    </row>
    <row r="13" spans="1:92">
      <c r="A13" t="s">
        <v>72</v>
      </c>
      <c r="B13" t="s">
        <v>73</v>
      </c>
      <c r="C13" t="s">
        <v>74</v>
      </c>
      <c r="E13" t="str">
        <f>"FES1162720744"</f>
        <v>FES1162720744</v>
      </c>
      <c r="F13" s="3">
        <v>43770</v>
      </c>
      <c r="G13">
        <v>202005</v>
      </c>
      <c r="H13" t="s">
        <v>75</v>
      </c>
      <c r="I13" t="s">
        <v>76</v>
      </c>
      <c r="J13" t="s">
        <v>77</v>
      </c>
      <c r="K13" t="s">
        <v>78</v>
      </c>
      <c r="L13" t="s">
        <v>90</v>
      </c>
      <c r="M13" t="s">
        <v>91</v>
      </c>
      <c r="N13" t="s">
        <v>138</v>
      </c>
      <c r="O13" t="s">
        <v>82</v>
      </c>
      <c r="P13" t="str">
        <f>"2170715121                    "</f>
        <v xml:space="preserve">2170715121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8.7899999999999991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0.2</v>
      </c>
      <c r="BJ13">
        <v>1.8</v>
      </c>
      <c r="BK13">
        <v>2</v>
      </c>
      <c r="BL13" s="4">
        <v>50.66</v>
      </c>
      <c r="BM13" s="4">
        <v>7.6</v>
      </c>
      <c r="BN13" s="4">
        <v>58.26</v>
      </c>
      <c r="BO13" s="4">
        <v>58.26</v>
      </c>
      <c r="BR13" t="s">
        <v>84</v>
      </c>
      <c r="BS13" s="3">
        <v>43773</v>
      </c>
      <c r="BT13" s="5">
        <v>0.37152777777777773</v>
      </c>
      <c r="BU13" t="s">
        <v>139</v>
      </c>
      <c r="BV13" t="s">
        <v>86</v>
      </c>
      <c r="BY13">
        <v>9194.7999999999993</v>
      </c>
      <c r="CA13" t="s">
        <v>140</v>
      </c>
      <c r="CC13" t="s">
        <v>91</v>
      </c>
      <c r="CD13">
        <v>7560</v>
      </c>
      <c r="CE13" t="s">
        <v>88</v>
      </c>
      <c r="CF13" s="3">
        <v>43774</v>
      </c>
      <c r="CI13">
        <v>1</v>
      </c>
      <c r="CJ13">
        <v>1</v>
      </c>
      <c r="CK13">
        <v>21</v>
      </c>
      <c r="CL13" t="s">
        <v>89</v>
      </c>
    </row>
    <row r="14" spans="1:92">
      <c r="A14" t="s">
        <v>72</v>
      </c>
      <c r="B14" t="s">
        <v>73</v>
      </c>
      <c r="C14" t="s">
        <v>74</v>
      </c>
      <c r="E14" t="str">
        <f>"FES1162720666"</f>
        <v>FES1162720666</v>
      </c>
      <c r="F14" s="3">
        <v>43770</v>
      </c>
      <c r="G14">
        <v>202005</v>
      </c>
      <c r="H14" t="s">
        <v>75</v>
      </c>
      <c r="I14" t="s">
        <v>76</v>
      </c>
      <c r="J14" t="s">
        <v>77</v>
      </c>
      <c r="K14" t="s">
        <v>78</v>
      </c>
      <c r="L14" t="s">
        <v>112</v>
      </c>
      <c r="M14" t="s">
        <v>113</v>
      </c>
      <c r="N14" t="s">
        <v>141</v>
      </c>
      <c r="O14" t="s">
        <v>82</v>
      </c>
      <c r="P14" t="str">
        <f>"2170713272                    "</f>
        <v xml:space="preserve">2170713272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8.7899999999999991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0.9</v>
      </c>
      <c r="BJ14">
        <v>1.8</v>
      </c>
      <c r="BK14">
        <v>2</v>
      </c>
      <c r="BL14" s="4">
        <v>50.66</v>
      </c>
      <c r="BM14" s="4">
        <v>7.6</v>
      </c>
      <c r="BN14" s="4">
        <v>58.26</v>
      </c>
      <c r="BO14" s="4">
        <v>58.26</v>
      </c>
      <c r="BQ14" t="s">
        <v>142</v>
      </c>
      <c r="BR14" t="s">
        <v>84</v>
      </c>
      <c r="BS14" s="3">
        <v>43773</v>
      </c>
      <c r="BT14" s="5">
        <v>0.53263888888888888</v>
      </c>
      <c r="BU14" t="s">
        <v>143</v>
      </c>
      <c r="BV14" t="s">
        <v>89</v>
      </c>
      <c r="BW14" t="s">
        <v>144</v>
      </c>
      <c r="BX14" t="s">
        <v>145</v>
      </c>
      <c r="BY14">
        <v>8776.43</v>
      </c>
      <c r="CA14" t="s">
        <v>146</v>
      </c>
      <c r="CC14" t="s">
        <v>113</v>
      </c>
      <c r="CD14">
        <v>4001</v>
      </c>
      <c r="CE14" t="s">
        <v>147</v>
      </c>
      <c r="CF14" s="3">
        <v>43774</v>
      </c>
      <c r="CI14">
        <v>1</v>
      </c>
      <c r="CJ14">
        <v>1</v>
      </c>
      <c r="CK14">
        <v>21</v>
      </c>
      <c r="CL14" t="s">
        <v>89</v>
      </c>
    </row>
    <row r="15" spans="1:92">
      <c r="A15" t="s">
        <v>72</v>
      </c>
      <c r="B15" t="s">
        <v>73</v>
      </c>
      <c r="C15" t="s">
        <v>74</v>
      </c>
      <c r="E15" t="str">
        <f>"FES1162720815"</f>
        <v>FES1162720815</v>
      </c>
      <c r="F15" s="3">
        <v>43770</v>
      </c>
      <c r="G15">
        <v>202005</v>
      </c>
      <c r="H15" t="s">
        <v>75</v>
      </c>
      <c r="I15" t="s">
        <v>76</v>
      </c>
      <c r="J15" t="s">
        <v>77</v>
      </c>
      <c r="K15" t="s">
        <v>78</v>
      </c>
      <c r="L15" t="s">
        <v>75</v>
      </c>
      <c r="M15" t="s">
        <v>76</v>
      </c>
      <c r="N15" t="s">
        <v>148</v>
      </c>
      <c r="O15" t="s">
        <v>82</v>
      </c>
      <c r="P15" t="str">
        <f>"2170714574                    "</f>
        <v xml:space="preserve">2170714574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6.87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0.2</v>
      </c>
      <c r="BJ15">
        <v>1.4</v>
      </c>
      <c r="BK15">
        <v>1.5</v>
      </c>
      <c r="BL15" s="4">
        <v>39.58</v>
      </c>
      <c r="BM15" s="4">
        <v>5.94</v>
      </c>
      <c r="BN15" s="4">
        <v>45.52</v>
      </c>
      <c r="BO15" s="4">
        <v>45.52</v>
      </c>
      <c r="BR15" t="s">
        <v>84</v>
      </c>
      <c r="BS15" s="3">
        <v>43773</v>
      </c>
      <c r="BT15" s="5">
        <v>0.43124999999999997</v>
      </c>
      <c r="BU15" t="s">
        <v>149</v>
      </c>
      <c r="BV15" t="s">
        <v>86</v>
      </c>
      <c r="BY15">
        <v>7032.48</v>
      </c>
      <c r="CC15" t="s">
        <v>76</v>
      </c>
      <c r="CD15">
        <v>1682</v>
      </c>
      <c r="CE15" t="s">
        <v>88</v>
      </c>
      <c r="CF15" s="3">
        <v>43774</v>
      </c>
      <c r="CI15">
        <v>1</v>
      </c>
      <c r="CJ15">
        <v>1</v>
      </c>
      <c r="CK15">
        <v>22</v>
      </c>
      <c r="CL15" t="s">
        <v>89</v>
      </c>
    </row>
    <row r="16" spans="1:92">
      <c r="A16" t="s">
        <v>72</v>
      </c>
      <c r="B16" t="s">
        <v>73</v>
      </c>
      <c r="C16" t="s">
        <v>74</v>
      </c>
      <c r="E16" t="str">
        <f>"FES1162720818"</f>
        <v>FES1162720818</v>
      </c>
      <c r="F16" s="3">
        <v>43770</v>
      </c>
      <c r="G16">
        <v>202005</v>
      </c>
      <c r="H16" t="s">
        <v>75</v>
      </c>
      <c r="I16" t="s">
        <v>76</v>
      </c>
      <c r="J16" t="s">
        <v>77</v>
      </c>
      <c r="K16" t="s">
        <v>78</v>
      </c>
      <c r="L16" t="s">
        <v>106</v>
      </c>
      <c r="M16" t="s">
        <v>107</v>
      </c>
      <c r="N16" t="s">
        <v>150</v>
      </c>
      <c r="O16" t="s">
        <v>82</v>
      </c>
      <c r="P16" t="str">
        <f>"2170715120                    "</f>
        <v xml:space="preserve">2170715120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48.33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10.8</v>
      </c>
      <c r="BJ16">
        <v>4.5</v>
      </c>
      <c r="BK16">
        <v>11</v>
      </c>
      <c r="BL16" s="4">
        <v>278.48</v>
      </c>
      <c r="BM16" s="4">
        <v>41.77</v>
      </c>
      <c r="BN16" s="4">
        <v>320.25</v>
      </c>
      <c r="BO16" s="4">
        <v>320.25</v>
      </c>
      <c r="BQ16" t="s">
        <v>109</v>
      </c>
      <c r="BR16" t="s">
        <v>84</v>
      </c>
      <c r="BS16" s="3">
        <v>43773</v>
      </c>
      <c r="BT16" s="5">
        <v>0.43055555555555558</v>
      </c>
      <c r="BU16" t="s">
        <v>151</v>
      </c>
      <c r="BV16" t="s">
        <v>86</v>
      </c>
      <c r="BY16">
        <v>22472.86</v>
      </c>
      <c r="CA16" t="s">
        <v>152</v>
      </c>
      <c r="CC16" t="s">
        <v>107</v>
      </c>
      <c r="CD16">
        <v>6001</v>
      </c>
      <c r="CE16" t="s">
        <v>88</v>
      </c>
      <c r="CF16" s="3">
        <v>43774</v>
      </c>
      <c r="CI16">
        <v>1</v>
      </c>
      <c r="CJ16">
        <v>1</v>
      </c>
      <c r="CK16">
        <v>21</v>
      </c>
      <c r="CL16" t="s">
        <v>89</v>
      </c>
    </row>
    <row r="17" spans="1:90">
      <c r="A17" t="s">
        <v>72</v>
      </c>
      <c r="B17" t="s">
        <v>73</v>
      </c>
      <c r="C17" t="s">
        <v>74</v>
      </c>
      <c r="E17" t="str">
        <f>"FES1162720630"</f>
        <v>FES1162720630</v>
      </c>
      <c r="F17" s="3">
        <v>43770</v>
      </c>
      <c r="G17">
        <v>202005</v>
      </c>
      <c r="H17" t="s">
        <v>75</v>
      </c>
      <c r="I17" t="s">
        <v>76</v>
      </c>
      <c r="J17" t="s">
        <v>77</v>
      </c>
      <c r="K17" t="s">
        <v>78</v>
      </c>
      <c r="L17" t="s">
        <v>106</v>
      </c>
      <c r="M17" t="s">
        <v>107</v>
      </c>
      <c r="N17" t="s">
        <v>153</v>
      </c>
      <c r="O17" t="s">
        <v>82</v>
      </c>
      <c r="P17" t="str">
        <f>"2170715049                    "</f>
        <v xml:space="preserve">2170715049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8.7899999999999991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2</v>
      </c>
      <c r="BJ17">
        <v>0.9</v>
      </c>
      <c r="BK17">
        <v>2</v>
      </c>
      <c r="BL17" s="4">
        <v>50.66</v>
      </c>
      <c r="BM17" s="4">
        <v>7.6</v>
      </c>
      <c r="BN17" s="4">
        <v>58.26</v>
      </c>
      <c r="BO17" s="4">
        <v>58.26</v>
      </c>
      <c r="BQ17" t="s">
        <v>121</v>
      </c>
      <c r="BR17" t="s">
        <v>84</v>
      </c>
      <c r="BS17" s="3">
        <v>43773</v>
      </c>
      <c r="BT17" s="5">
        <v>0.39166666666666666</v>
      </c>
      <c r="BU17" t="s">
        <v>154</v>
      </c>
      <c r="BV17" t="s">
        <v>86</v>
      </c>
      <c r="BY17">
        <v>4500</v>
      </c>
      <c r="CA17" t="s">
        <v>111</v>
      </c>
      <c r="CC17" t="s">
        <v>107</v>
      </c>
      <c r="CD17">
        <v>6001</v>
      </c>
      <c r="CE17" t="s">
        <v>88</v>
      </c>
      <c r="CF17" s="3">
        <v>43774</v>
      </c>
      <c r="CI17">
        <v>1</v>
      </c>
      <c r="CJ17">
        <v>1</v>
      </c>
      <c r="CK17">
        <v>21</v>
      </c>
      <c r="CL17" t="s">
        <v>89</v>
      </c>
    </row>
    <row r="18" spans="1:90">
      <c r="A18" t="s">
        <v>72</v>
      </c>
      <c r="B18" t="s">
        <v>73</v>
      </c>
      <c r="C18" t="s">
        <v>74</v>
      </c>
      <c r="E18" t="str">
        <f>"FES1162720631"</f>
        <v>FES1162720631</v>
      </c>
      <c r="F18" s="3">
        <v>43770</v>
      </c>
      <c r="G18">
        <v>202005</v>
      </c>
      <c r="H18" t="s">
        <v>75</v>
      </c>
      <c r="I18" t="s">
        <v>76</v>
      </c>
      <c r="J18" t="s">
        <v>77</v>
      </c>
      <c r="K18" t="s">
        <v>78</v>
      </c>
      <c r="L18" t="s">
        <v>155</v>
      </c>
      <c r="M18" t="s">
        <v>156</v>
      </c>
      <c r="N18" t="s">
        <v>157</v>
      </c>
      <c r="O18" t="s">
        <v>82</v>
      </c>
      <c r="P18" t="str">
        <f>"2170715051                    "</f>
        <v xml:space="preserve">2170715051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7.69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2.2000000000000002</v>
      </c>
      <c r="BJ18">
        <v>1.2</v>
      </c>
      <c r="BK18">
        <v>2.5</v>
      </c>
      <c r="BL18" s="4">
        <v>44.32</v>
      </c>
      <c r="BM18" s="4">
        <v>6.65</v>
      </c>
      <c r="BN18" s="4">
        <v>50.97</v>
      </c>
      <c r="BO18" s="4">
        <v>50.97</v>
      </c>
      <c r="BQ18" t="s">
        <v>121</v>
      </c>
      <c r="BR18" t="s">
        <v>84</v>
      </c>
      <c r="BS18" s="3">
        <v>43773</v>
      </c>
      <c r="BT18" s="5">
        <v>0.3888888888888889</v>
      </c>
      <c r="BU18" t="s">
        <v>158</v>
      </c>
      <c r="BV18" t="s">
        <v>86</v>
      </c>
      <c r="BY18">
        <v>5943.06</v>
      </c>
      <c r="CA18" t="s">
        <v>159</v>
      </c>
      <c r="CC18" t="s">
        <v>156</v>
      </c>
      <c r="CD18">
        <v>1685</v>
      </c>
      <c r="CE18" t="s">
        <v>88</v>
      </c>
      <c r="CF18" s="3">
        <v>43774</v>
      </c>
      <c r="CI18">
        <v>1</v>
      </c>
      <c r="CJ18">
        <v>1</v>
      </c>
      <c r="CK18">
        <v>22</v>
      </c>
      <c r="CL18" t="s">
        <v>89</v>
      </c>
    </row>
    <row r="19" spans="1:90">
      <c r="A19" t="s">
        <v>72</v>
      </c>
      <c r="B19" t="s">
        <v>73</v>
      </c>
      <c r="C19" t="s">
        <v>74</v>
      </c>
      <c r="E19" t="str">
        <f>"FES1162720773"</f>
        <v>FES1162720773</v>
      </c>
      <c r="F19" s="3">
        <v>43770</v>
      </c>
      <c r="G19">
        <v>202005</v>
      </c>
      <c r="H19" t="s">
        <v>75</v>
      </c>
      <c r="I19" t="s">
        <v>76</v>
      </c>
      <c r="J19" t="s">
        <v>77</v>
      </c>
      <c r="K19" t="s">
        <v>78</v>
      </c>
      <c r="L19" t="s">
        <v>112</v>
      </c>
      <c r="M19" t="s">
        <v>113</v>
      </c>
      <c r="N19" t="s">
        <v>160</v>
      </c>
      <c r="O19" t="s">
        <v>82</v>
      </c>
      <c r="P19" t="str">
        <f>"2170715152                    "</f>
        <v xml:space="preserve">2170715152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8.7899999999999991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0.8</v>
      </c>
      <c r="BK19">
        <v>1</v>
      </c>
      <c r="BL19" s="4">
        <v>50.66</v>
      </c>
      <c r="BM19" s="4">
        <v>7.6</v>
      </c>
      <c r="BN19" s="4">
        <v>58.26</v>
      </c>
      <c r="BO19" s="4">
        <v>58.26</v>
      </c>
      <c r="BQ19" t="s">
        <v>161</v>
      </c>
      <c r="BR19" t="s">
        <v>84</v>
      </c>
      <c r="BS19" s="3">
        <v>43773</v>
      </c>
      <c r="BT19" s="5">
        <v>0.32916666666666666</v>
      </c>
      <c r="BU19" t="s">
        <v>162</v>
      </c>
      <c r="BV19" t="s">
        <v>86</v>
      </c>
      <c r="BY19">
        <v>3957.6</v>
      </c>
      <c r="BZ19" t="s">
        <v>27</v>
      </c>
      <c r="CA19" t="s">
        <v>163</v>
      </c>
      <c r="CC19" t="s">
        <v>113</v>
      </c>
      <c r="CD19">
        <v>4000</v>
      </c>
      <c r="CE19" t="s">
        <v>88</v>
      </c>
      <c r="CF19" s="3">
        <v>43774</v>
      </c>
      <c r="CI19">
        <v>1</v>
      </c>
      <c r="CJ19">
        <v>1</v>
      </c>
      <c r="CK19">
        <v>21</v>
      </c>
      <c r="CL19" t="s">
        <v>89</v>
      </c>
    </row>
    <row r="20" spans="1:90">
      <c r="A20" t="s">
        <v>72</v>
      </c>
      <c r="B20" t="s">
        <v>73</v>
      </c>
      <c r="C20" t="s">
        <v>74</v>
      </c>
      <c r="E20" t="str">
        <f>"FES1162720783"</f>
        <v>FES1162720783</v>
      </c>
      <c r="F20" s="3">
        <v>43770</v>
      </c>
      <c r="G20">
        <v>202005</v>
      </c>
      <c r="H20" t="s">
        <v>75</v>
      </c>
      <c r="I20" t="s">
        <v>76</v>
      </c>
      <c r="J20" t="s">
        <v>77</v>
      </c>
      <c r="K20" t="s">
        <v>78</v>
      </c>
      <c r="L20" t="s">
        <v>164</v>
      </c>
      <c r="M20" t="s">
        <v>165</v>
      </c>
      <c r="N20" t="s">
        <v>166</v>
      </c>
      <c r="O20" t="s">
        <v>82</v>
      </c>
      <c r="P20" t="str">
        <f>"2170715161                    "</f>
        <v xml:space="preserve">2170715161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17.04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0.2</v>
      </c>
      <c r="BJ20">
        <v>0.8</v>
      </c>
      <c r="BK20">
        <v>1</v>
      </c>
      <c r="BL20" s="4">
        <v>98.16</v>
      </c>
      <c r="BM20" s="4">
        <v>14.72</v>
      </c>
      <c r="BN20" s="4">
        <v>112.88</v>
      </c>
      <c r="BO20" s="4">
        <v>112.88</v>
      </c>
      <c r="BQ20" t="s">
        <v>121</v>
      </c>
      <c r="BR20" t="s">
        <v>84</v>
      </c>
      <c r="BS20" s="3">
        <v>43773</v>
      </c>
      <c r="BT20" s="5">
        <v>0.45833333333333331</v>
      </c>
      <c r="BU20" t="s">
        <v>167</v>
      </c>
      <c r="BV20" t="s">
        <v>86</v>
      </c>
      <c r="BY20">
        <v>3763.2</v>
      </c>
      <c r="CA20" t="s">
        <v>168</v>
      </c>
      <c r="CC20" t="s">
        <v>165</v>
      </c>
      <c r="CD20">
        <v>3370</v>
      </c>
      <c r="CE20" t="s">
        <v>88</v>
      </c>
      <c r="CF20" s="3">
        <v>43775</v>
      </c>
      <c r="CI20">
        <v>3</v>
      </c>
      <c r="CJ20">
        <v>1</v>
      </c>
      <c r="CK20">
        <v>23</v>
      </c>
      <c r="CL20" t="s">
        <v>89</v>
      </c>
    </row>
    <row r="21" spans="1:90">
      <c r="A21" t="s">
        <v>72</v>
      </c>
      <c r="B21" t="s">
        <v>73</v>
      </c>
      <c r="C21" t="s">
        <v>74</v>
      </c>
      <c r="E21" t="str">
        <f>"FES1162720830"</f>
        <v>FES1162720830</v>
      </c>
      <c r="F21" s="3">
        <v>43770</v>
      </c>
      <c r="G21">
        <v>202005</v>
      </c>
      <c r="H21" t="s">
        <v>75</v>
      </c>
      <c r="I21" t="s">
        <v>76</v>
      </c>
      <c r="J21" t="s">
        <v>77</v>
      </c>
      <c r="K21" t="s">
        <v>78</v>
      </c>
      <c r="L21" t="s">
        <v>118</v>
      </c>
      <c r="M21" t="s">
        <v>119</v>
      </c>
      <c r="N21" t="s">
        <v>169</v>
      </c>
      <c r="O21" t="s">
        <v>82</v>
      </c>
      <c r="P21" t="str">
        <f>"2170715204                    "</f>
        <v xml:space="preserve">2170715204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8.7899999999999991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0.6</v>
      </c>
      <c r="BJ21">
        <v>1.8</v>
      </c>
      <c r="BK21">
        <v>2</v>
      </c>
      <c r="BL21" s="4">
        <v>50.66</v>
      </c>
      <c r="BM21" s="4">
        <v>7.6</v>
      </c>
      <c r="BN21" s="4">
        <v>58.26</v>
      </c>
      <c r="BO21" s="4">
        <v>58.26</v>
      </c>
      <c r="BR21" t="s">
        <v>84</v>
      </c>
      <c r="BS21" s="3">
        <v>43773</v>
      </c>
      <c r="BT21" s="5">
        <v>0.41736111111111113</v>
      </c>
      <c r="BU21" t="s">
        <v>170</v>
      </c>
      <c r="BV21" t="s">
        <v>86</v>
      </c>
      <c r="BY21">
        <v>8976.4500000000007</v>
      </c>
      <c r="CA21" t="s">
        <v>171</v>
      </c>
      <c r="CC21" t="s">
        <v>119</v>
      </c>
      <c r="CD21">
        <v>3200</v>
      </c>
      <c r="CE21" t="s">
        <v>88</v>
      </c>
      <c r="CF21" s="3">
        <v>43774</v>
      </c>
      <c r="CI21">
        <v>1</v>
      </c>
      <c r="CJ21">
        <v>1</v>
      </c>
      <c r="CK21">
        <v>21</v>
      </c>
      <c r="CL21" t="s">
        <v>89</v>
      </c>
    </row>
    <row r="22" spans="1:90">
      <c r="A22" t="s">
        <v>72</v>
      </c>
      <c r="B22" t="s">
        <v>73</v>
      </c>
      <c r="C22" t="s">
        <v>74</v>
      </c>
      <c r="E22" t="str">
        <f>"FES1162720797"</f>
        <v>FES1162720797</v>
      </c>
      <c r="F22" s="3">
        <v>43770</v>
      </c>
      <c r="G22">
        <v>202005</v>
      </c>
      <c r="H22" t="s">
        <v>75</v>
      </c>
      <c r="I22" t="s">
        <v>76</v>
      </c>
      <c r="J22" t="s">
        <v>77</v>
      </c>
      <c r="K22" t="s">
        <v>78</v>
      </c>
      <c r="L22" t="s">
        <v>172</v>
      </c>
      <c r="M22" t="s">
        <v>173</v>
      </c>
      <c r="N22" t="s">
        <v>174</v>
      </c>
      <c r="O22" t="s">
        <v>82</v>
      </c>
      <c r="P22" t="str">
        <f>"2170715179                    "</f>
        <v xml:space="preserve">2170715179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12.36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0.5</v>
      </c>
      <c r="BJ22">
        <v>1.2</v>
      </c>
      <c r="BK22">
        <v>1.5</v>
      </c>
      <c r="BL22" s="4">
        <v>71.239999999999995</v>
      </c>
      <c r="BM22" s="4">
        <v>10.69</v>
      </c>
      <c r="BN22" s="4">
        <v>81.93</v>
      </c>
      <c r="BO22" s="4">
        <v>81.93</v>
      </c>
      <c r="BQ22" t="s">
        <v>109</v>
      </c>
      <c r="BR22" t="s">
        <v>84</v>
      </c>
      <c r="BS22" s="3">
        <v>43773</v>
      </c>
      <c r="BT22" s="5">
        <v>0.46527777777777773</v>
      </c>
      <c r="BU22" t="s">
        <v>175</v>
      </c>
      <c r="BV22" t="s">
        <v>86</v>
      </c>
      <c r="BY22">
        <v>6193.39</v>
      </c>
      <c r="CA22" t="s">
        <v>123</v>
      </c>
      <c r="CC22" t="s">
        <v>173</v>
      </c>
      <c r="CD22">
        <v>1739</v>
      </c>
      <c r="CE22" t="s">
        <v>88</v>
      </c>
      <c r="CF22" s="3">
        <v>43774</v>
      </c>
      <c r="CI22">
        <v>1</v>
      </c>
      <c r="CJ22">
        <v>1</v>
      </c>
      <c r="CK22">
        <v>24</v>
      </c>
      <c r="CL22" t="s">
        <v>89</v>
      </c>
    </row>
    <row r="23" spans="1:90">
      <c r="A23" t="s">
        <v>72</v>
      </c>
      <c r="B23" t="s">
        <v>73</v>
      </c>
      <c r="C23" t="s">
        <v>74</v>
      </c>
      <c r="E23" t="str">
        <f>"FES1162720716"</f>
        <v>FES1162720716</v>
      </c>
      <c r="F23" s="3">
        <v>43770</v>
      </c>
      <c r="G23">
        <v>202005</v>
      </c>
      <c r="H23" t="s">
        <v>75</v>
      </c>
      <c r="I23" t="s">
        <v>76</v>
      </c>
      <c r="J23" t="s">
        <v>77</v>
      </c>
      <c r="K23" t="s">
        <v>78</v>
      </c>
      <c r="L23" t="s">
        <v>176</v>
      </c>
      <c r="M23" t="s">
        <v>177</v>
      </c>
      <c r="N23" t="s">
        <v>178</v>
      </c>
      <c r="O23" t="s">
        <v>82</v>
      </c>
      <c r="P23" t="str">
        <f>"2170715092                    "</f>
        <v xml:space="preserve">2170715092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8.7899999999999991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1.5</v>
      </c>
      <c r="BJ23">
        <v>0.8</v>
      </c>
      <c r="BK23">
        <v>1.5</v>
      </c>
      <c r="BL23" s="4">
        <v>50.66</v>
      </c>
      <c r="BM23" s="4">
        <v>7.6</v>
      </c>
      <c r="BN23" s="4">
        <v>58.26</v>
      </c>
      <c r="BO23" s="4">
        <v>58.26</v>
      </c>
      <c r="BQ23" t="s">
        <v>142</v>
      </c>
      <c r="BR23" t="s">
        <v>84</v>
      </c>
      <c r="BS23" s="3">
        <v>43773</v>
      </c>
      <c r="BT23" s="5">
        <v>0.40069444444444446</v>
      </c>
      <c r="BU23" t="s">
        <v>179</v>
      </c>
      <c r="BV23" t="s">
        <v>86</v>
      </c>
      <c r="BY23">
        <v>4029.41</v>
      </c>
      <c r="BZ23" t="s">
        <v>27</v>
      </c>
      <c r="CA23" t="s">
        <v>180</v>
      </c>
      <c r="CC23" t="s">
        <v>177</v>
      </c>
      <c r="CD23">
        <v>3610</v>
      </c>
      <c r="CE23" t="s">
        <v>88</v>
      </c>
      <c r="CF23" s="3">
        <v>43774</v>
      </c>
      <c r="CI23">
        <v>1</v>
      </c>
      <c r="CJ23">
        <v>1</v>
      </c>
      <c r="CK23">
        <v>21</v>
      </c>
      <c r="CL23" t="s">
        <v>89</v>
      </c>
    </row>
    <row r="24" spans="1:90">
      <c r="A24" t="s">
        <v>72</v>
      </c>
      <c r="B24" t="s">
        <v>73</v>
      </c>
      <c r="C24" t="s">
        <v>74</v>
      </c>
      <c r="E24" t="str">
        <f>"FES1162720751"</f>
        <v>FES1162720751</v>
      </c>
      <c r="F24" s="3">
        <v>43770</v>
      </c>
      <c r="G24">
        <v>202005</v>
      </c>
      <c r="H24" t="s">
        <v>75</v>
      </c>
      <c r="I24" t="s">
        <v>76</v>
      </c>
      <c r="J24" t="s">
        <v>77</v>
      </c>
      <c r="K24" t="s">
        <v>78</v>
      </c>
      <c r="L24" t="s">
        <v>101</v>
      </c>
      <c r="M24" t="s">
        <v>102</v>
      </c>
      <c r="N24" t="s">
        <v>181</v>
      </c>
      <c r="O24" t="s">
        <v>82</v>
      </c>
      <c r="P24" t="str">
        <f>"2170715128                    "</f>
        <v xml:space="preserve">2170715128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8.7899999999999991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0.2</v>
      </c>
      <c r="BJ24">
        <v>0.8</v>
      </c>
      <c r="BK24">
        <v>1</v>
      </c>
      <c r="BL24" s="4">
        <v>50.66</v>
      </c>
      <c r="BM24" s="4">
        <v>7.6</v>
      </c>
      <c r="BN24" s="4">
        <v>58.26</v>
      </c>
      <c r="BO24" s="4">
        <v>58.26</v>
      </c>
      <c r="BQ24" t="s">
        <v>121</v>
      </c>
      <c r="BR24" t="s">
        <v>84</v>
      </c>
      <c r="BS24" s="3">
        <v>43773</v>
      </c>
      <c r="BT24" s="5">
        <v>0.41319444444444442</v>
      </c>
      <c r="BU24" t="s">
        <v>182</v>
      </c>
      <c r="BV24" t="s">
        <v>86</v>
      </c>
      <c r="BY24">
        <v>3845.4</v>
      </c>
      <c r="CA24" t="s">
        <v>183</v>
      </c>
      <c r="CC24" t="s">
        <v>102</v>
      </c>
      <c r="CD24">
        <v>200</v>
      </c>
      <c r="CE24" t="s">
        <v>88</v>
      </c>
      <c r="CF24" s="3">
        <v>43774</v>
      </c>
      <c r="CI24">
        <v>1</v>
      </c>
      <c r="CJ24">
        <v>1</v>
      </c>
      <c r="CK24">
        <v>21</v>
      </c>
      <c r="CL24" t="s">
        <v>89</v>
      </c>
    </row>
    <row r="25" spans="1:90">
      <c r="A25" t="s">
        <v>72</v>
      </c>
      <c r="B25" t="s">
        <v>73</v>
      </c>
      <c r="C25" t="s">
        <v>74</v>
      </c>
      <c r="E25" t="str">
        <f>"FES1162720665"</f>
        <v>FES1162720665</v>
      </c>
      <c r="F25" s="3">
        <v>43770</v>
      </c>
      <c r="G25">
        <v>202005</v>
      </c>
      <c r="H25" t="s">
        <v>75</v>
      </c>
      <c r="I25" t="s">
        <v>76</v>
      </c>
      <c r="J25" t="s">
        <v>77</v>
      </c>
      <c r="K25" t="s">
        <v>78</v>
      </c>
      <c r="L25" t="s">
        <v>184</v>
      </c>
      <c r="M25" t="s">
        <v>185</v>
      </c>
      <c r="N25" t="s">
        <v>186</v>
      </c>
      <c r="O25" t="s">
        <v>82</v>
      </c>
      <c r="P25" t="str">
        <f>"2170713255                    "</f>
        <v xml:space="preserve">2170713255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6.87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0.2</v>
      </c>
      <c r="BJ25">
        <v>0.7</v>
      </c>
      <c r="BK25">
        <v>1</v>
      </c>
      <c r="BL25" s="4">
        <v>39.58</v>
      </c>
      <c r="BM25" s="4">
        <v>5.94</v>
      </c>
      <c r="BN25" s="4">
        <v>45.52</v>
      </c>
      <c r="BO25" s="4">
        <v>45.52</v>
      </c>
      <c r="BQ25" t="s">
        <v>187</v>
      </c>
      <c r="BR25" t="s">
        <v>84</v>
      </c>
      <c r="BS25" s="3">
        <v>43773</v>
      </c>
      <c r="BT25" s="5">
        <v>0.3611111111111111</v>
      </c>
      <c r="BU25" t="s">
        <v>188</v>
      </c>
      <c r="BV25" t="s">
        <v>86</v>
      </c>
      <c r="BY25">
        <v>3477.83</v>
      </c>
      <c r="CA25" t="s">
        <v>189</v>
      </c>
      <c r="CC25" t="s">
        <v>185</v>
      </c>
      <c r="CD25">
        <v>1501</v>
      </c>
      <c r="CE25" t="s">
        <v>88</v>
      </c>
      <c r="CF25" s="3">
        <v>43774</v>
      </c>
      <c r="CI25">
        <v>1</v>
      </c>
      <c r="CJ25">
        <v>1</v>
      </c>
      <c r="CK25">
        <v>22</v>
      </c>
      <c r="CL25" t="s">
        <v>89</v>
      </c>
    </row>
    <row r="26" spans="1:90">
      <c r="A26" t="s">
        <v>72</v>
      </c>
      <c r="B26" t="s">
        <v>73</v>
      </c>
      <c r="C26" t="s">
        <v>74</v>
      </c>
      <c r="E26" t="str">
        <f>"FES1162720718"</f>
        <v>FES1162720718</v>
      </c>
      <c r="F26" s="3">
        <v>43770</v>
      </c>
      <c r="G26">
        <v>202005</v>
      </c>
      <c r="H26" t="s">
        <v>75</v>
      </c>
      <c r="I26" t="s">
        <v>76</v>
      </c>
      <c r="J26" t="s">
        <v>77</v>
      </c>
      <c r="K26" t="s">
        <v>78</v>
      </c>
      <c r="L26" t="s">
        <v>90</v>
      </c>
      <c r="M26" t="s">
        <v>91</v>
      </c>
      <c r="N26" t="s">
        <v>190</v>
      </c>
      <c r="O26" t="s">
        <v>82</v>
      </c>
      <c r="P26" t="str">
        <f>"2170715095                    "</f>
        <v xml:space="preserve">2170715095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8.7899999999999991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0.2</v>
      </c>
      <c r="BJ26">
        <v>0.8</v>
      </c>
      <c r="BK26">
        <v>1</v>
      </c>
      <c r="BL26" s="4">
        <v>50.66</v>
      </c>
      <c r="BM26" s="4">
        <v>7.6</v>
      </c>
      <c r="BN26" s="4">
        <v>58.26</v>
      </c>
      <c r="BO26" s="4">
        <v>58.26</v>
      </c>
      <c r="BQ26" t="s">
        <v>109</v>
      </c>
      <c r="BR26" t="s">
        <v>84</v>
      </c>
      <c r="BS26" s="3">
        <v>43773</v>
      </c>
      <c r="BT26" s="5">
        <v>0.39374999999999999</v>
      </c>
      <c r="BU26" t="s">
        <v>191</v>
      </c>
      <c r="BV26" t="s">
        <v>86</v>
      </c>
      <c r="BY26">
        <v>4130.8999999999996</v>
      </c>
      <c r="CC26" t="s">
        <v>91</v>
      </c>
      <c r="CD26">
        <v>7441</v>
      </c>
      <c r="CE26" t="s">
        <v>88</v>
      </c>
      <c r="CF26" s="3">
        <v>43774</v>
      </c>
      <c r="CI26">
        <v>1</v>
      </c>
      <c r="CJ26">
        <v>1</v>
      </c>
      <c r="CK26">
        <v>21</v>
      </c>
      <c r="CL26" t="s">
        <v>89</v>
      </c>
    </row>
    <row r="27" spans="1:90">
      <c r="A27" t="s">
        <v>72</v>
      </c>
      <c r="B27" t="s">
        <v>73</v>
      </c>
      <c r="C27" t="s">
        <v>74</v>
      </c>
      <c r="E27" t="str">
        <f>"FES1162720719"</f>
        <v>FES1162720719</v>
      </c>
      <c r="F27" s="3">
        <v>43770</v>
      </c>
      <c r="G27">
        <v>202005</v>
      </c>
      <c r="H27" t="s">
        <v>75</v>
      </c>
      <c r="I27" t="s">
        <v>76</v>
      </c>
      <c r="J27" t="s">
        <v>77</v>
      </c>
      <c r="K27" t="s">
        <v>78</v>
      </c>
      <c r="L27" t="s">
        <v>192</v>
      </c>
      <c r="M27" t="s">
        <v>193</v>
      </c>
      <c r="N27" t="s">
        <v>194</v>
      </c>
      <c r="O27" t="s">
        <v>82</v>
      </c>
      <c r="P27" t="str">
        <f>"2170715096                    "</f>
        <v xml:space="preserve">2170715096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17.04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0.2</v>
      </c>
      <c r="BJ27">
        <v>1.7</v>
      </c>
      <c r="BK27">
        <v>2</v>
      </c>
      <c r="BL27" s="4">
        <v>98.16</v>
      </c>
      <c r="BM27" s="4">
        <v>14.72</v>
      </c>
      <c r="BN27" s="4">
        <v>112.88</v>
      </c>
      <c r="BO27" s="4">
        <v>112.88</v>
      </c>
      <c r="BQ27" t="s">
        <v>109</v>
      </c>
      <c r="BR27" t="s">
        <v>84</v>
      </c>
      <c r="BS27" s="3">
        <v>43773</v>
      </c>
      <c r="BT27" s="5">
        <v>0.41666666666666669</v>
      </c>
      <c r="BU27" t="s">
        <v>195</v>
      </c>
      <c r="BV27" t="s">
        <v>86</v>
      </c>
      <c r="BY27">
        <v>8300.6</v>
      </c>
      <c r="CC27" t="s">
        <v>193</v>
      </c>
      <c r="CD27">
        <v>7130</v>
      </c>
      <c r="CE27" t="s">
        <v>88</v>
      </c>
      <c r="CF27" s="3">
        <v>43774</v>
      </c>
      <c r="CI27">
        <v>1</v>
      </c>
      <c r="CJ27">
        <v>1</v>
      </c>
      <c r="CK27">
        <v>23</v>
      </c>
      <c r="CL27" t="s">
        <v>89</v>
      </c>
    </row>
    <row r="28" spans="1:90">
      <c r="A28" t="s">
        <v>72</v>
      </c>
      <c r="B28" t="s">
        <v>73</v>
      </c>
      <c r="C28" t="s">
        <v>74</v>
      </c>
      <c r="E28" t="str">
        <f>"FES1162720653"</f>
        <v>FES1162720653</v>
      </c>
      <c r="F28" s="3">
        <v>43770</v>
      </c>
      <c r="G28">
        <v>202005</v>
      </c>
      <c r="H28" t="s">
        <v>75</v>
      </c>
      <c r="I28" t="s">
        <v>76</v>
      </c>
      <c r="J28" t="s">
        <v>77</v>
      </c>
      <c r="K28" t="s">
        <v>78</v>
      </c>
      <c r="L28" t="s">
        <v>75</v>
      </c>
      <c r="M28" t="s">
        <v>76</v>
      </c>
      <c r="N28" t="s">
        <v>196</v>
      </c>
      <c r="O28" t="s">
        <v>82</v>
      </c>
      <c r="P28" t="str">
        <f>"2170713016                    "</f>
        <v xml:space="preserve">2170713016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6.87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0.2</v>
      </c>
      <c r="BJ28">
        <v>0.6</v>
      </c>
      <c r="BK28">
        <v>1</v>
      </c>
      <c r="BL28" s="4">
        <v>39.58</v>
      </c>
      <c r="BM28" s="4">
        <v>5.94</v>
      </c>
      <c r="BN28" s="4">
        <v>45.52</v>
      </c>
      <c r="BO28" s="4">
        <v>45.52</v>
      </c>
      <c r="BQ28" t="s">
        <v>187</v>
      </c>
      <c r="BR28" t="s">
        <v>84</v>
      </c>
      <c r="BS28" s="3">
        <v>43773</v>
      </c>
      <c r="BT28" s="5">
        <v>0.34722222222222227</v>
      </c>
      <c r="BU28" t="s">
        <v>197</v>
      </c>
      <c r="BV28" t="s">
        <v>86</v>
      </c>
      <c r="BY28">
        <v>2963.34</v>
      </c>
      <c r="CA28" t="s">
        <v>198</v>
      </c>
      <c r="CC28" t="s">
        <v>76</v>
      </c>
      <c r="CD28">
        <v>1601</v>
      </c>
      <c r="CE28" t="s">
        <v>88</v>
      </c>
      <c r="CF28" s="3">
        <v>43774</v>
      </c>
      <c r="CI28">
        <v>1</v>
      </c>
      <c r="CJ28">
        <v>1</v>
      </c>
      <c r="CK28">
        <v>22</v>
      </c>
      <c r="CL28" t="s">
        <v>89</v>
      </c>
    </row>
    <row r="29" spans="1:90">
      <c r="A29" t="s">
        <v>72</v>
      </c>
      <c r="B29" t="s">
        <v>73</v>
      </c>
      <c r="C29" t="s">
        <v>74</v>
      </c>
      <c r="E29" t="str">
        <f>"FES1162725852"</f>
        <v>FES1162725852</v>
      </c>
      <c r="F29" s="3">
        <v>43798</v>
      </c>
      <c r="G29">
        <v>202005</v>
      </c>
      <c r="H29" t="s">
        <v>75</v>
      </c>
      <c r="I29" t="s">
        <v>76</v>
      </c>
      <c r="J29" t="s">
        <v>77</v>
      </c>
      <c r="K29" t="s">
        <v>78</v>
      </c>
      <c r="L29" t="s">
        <v>75</v>
      </c>
      <c r="M29" t="s">
        <v>76</v>
      </c>
      <c r="N29" t="s">
        <v>199</v>
      </c>
      <c r="O29" t="s">
        <v>82</v>
      </c>
      <c r="P29" t="str">
        <f>"2170719438                    "</f>
        <v xml:space="preserve">2170719438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6.71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1.1000000000000001</v>
      </c>
      <c r="BK29">
        <v>1.5</v>
      </c>
      <c r="BL29" s="4">
        <v>39.42</v>
      </c>
      <c r="BM29" s="4">
        <v>5.91</v>
      </c>
      <c r="BN29" s="4">
        <v>45.33</v>
      </c>
      <c r="BO29" s="4">
        <v>45.33</v>
      </c>
      <c r="BQ29" t="s">
        <v>200</v>
      </c>
      <c r="BR29" t="s">
        <v>84</v>
      </c>
      <c r="BS29" t="s">
        <v>201</v>
      </c>
      <c r="BY29">
        <v>5320</v>
      </c>
      <c r="CC29" t="s">
        <v>76</v>
      </c>
      <c r="CD29">
        <v>1600</v>
      </c>
      <c r="CE29" t="s">
        <v>88</v>
      </c>
      <c r="CI29">
        <v>1</v>
      </c>
      <c r="CJ29" t="s">
        <v>201</v>
      </c>
      <c r="CK29">
        <v>22</v>
      </c>
      <c r="CL29" t="s">
        <v>89</v>
      </c>
    </row>
    <row r="30" spans="1:90">
      <c r="A30" t="s">
        <v>72</v>
      </c>
      <c r="B30" t="s">
        <v>73</v>
      </c>
      <c r="C30" t="s">
        <v>74</v>
      </c>
      <c r="E30" t="str">
        <f>"FES1162720781"</f>
        <v>FES1162720781</v>
      </c>
      <c r="F30" s="3">
        <v>43770</v>
      </c>
      <c r="G30">
        <v>202005</v>
      </c>
      <c r="H30" t="s">
        <v>75</v>
      </c>
      <c r="I30" t="s">
        <v>76</v>
      </c>
      <c r="J30" t="s">
        <v>77</v>
      </c>
      <c r="K30" t="s">
        <v>78</v>
      </c>
      <c r="L30" t="s">
        <v>202</v>
      </c>
      <c r="M30" t="s">
        <v>203</v>
      </c>
      <c r="N30" t="s">
        <v>204</v>
      </c>
      <c r="O30" t="s">
        <v>82</v>
      </c>
      <c r="P30" t="str">
        <f>"2170714536                    "</f>
        <v xml:space="preserve">2170714536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16.75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7.9</v>
      </c>
      <c r="BJ30">
        <v>3.5</v>
      </c>
      <c r="BK30">
        <v>8</v>
      </c>
      <c r="BL30" s="4">
        <v>96.5</v>
      </c>
      <c r="BM30" s="4">
        <v>14.48</v>
      </c>
      <c r="BN30" s="4">
        <v>110.98</v>
      </c>
      <c r="BO30" s="4">
        <v>110.98</v>
      </c>
      <c r="BQ30" t="s">
        <v>121</v>
      </c>
      <c r="BR30" t="s">
        <v>84</v>
      </c>
      <c r="BS30" s="3">
        <v>43773</v>
      </c>
      <c r="BT30" s="5">
        <v>0.33333333333333331</v>
      </c>
      <c r="BU30" t="s">
        <v>205</v>
      </c>
      <c r="BV30" t="s">
        <v>86</v>
      </c>
      <c r="BY30">
        <v>17666.439999999999</v>
      </c>
      <c r="CA30" t="s">
        <v>123</v>
      </c>
      <c r="CC30" t="s">
        <v>203</v>
      </c>
      <c r="CD30">
        <v>1422</v>
      </c>
      <c r="CE30" t="s">
        <v>88</v>
      </c>
      <c r="CF30" s="3">
        <v>43774</v>
      </c>
      <c r="CI30">
        <v>1</v>
      </c>
      <c r="CJ30">
        <v>1</v>
      </c>
      <c r="CK30">
        <v>22</v>
      </c>
      <c r="CL30" t="s">
        <v>89</v>
      </c>
    </row>
    <row r="31" spans="1:90">
      <c r="A31" t="s">
        <v>72</v>
      </c>
      <c r="B31" t="s">
        <v>73</v>
      </c>
      <c r="C31" t="s">
        <v>74</v>
      </c>
      <c r="E31" t="str">
        <f>"FES1162720827"</f>
        <v>FES1162720827</v>
      </c>
      <c r="F31" s="3">
        <v>43770</v>
      </c>
      <c r="G31">
        <v>202005</v>
      </c>
      <c r="H31" t="s">
        <v>75</v>
      </c>
      <c r="I31" t="s">
        <v>76</v>
      </c>
      <c r="J31" t="s">
        <v>77</v>
      </c>
      <c r="K31" t="s">
        <v>78</v>
      </c>
      <c r="L31" t="s">
        <v>112</v>
      </c>
      <c r="M31" t="s">
        <v>113</v>
      </c>
      <c r="N31" t="s">
        <v>206</v>
      </c>
      <c r="O31" t="s">
        <v>82</v>
      </c>
      <c r="P31" t="str">
        <f>"2170715202                    "</f>
        <v xml:space="preserve">2170715202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8.7899999999999991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1.2</v>
      </c>
      <c r="BK31">
        <v>1.5</v>
      </c>
      <c r="BL31" s="4">
        <v>50.66</v>
      </c>
      <c r="BM31" s="4">
        <v>7.6</v>
      </c>
      <c r="BN31" s="4">
        <v>58.26</v>
      </c>
      <c r="BO31" s="4">
        <v>58.26</v>
      </c>
      <c r="BQ31" t="s">
        <v>109</v>
      </c>
      <c r="BR31" t="s">
        <v>84</v>
      </c>
      <c r="BS31" s="3">
        <v>43773</v>
      </c>
      <c r="BT31" s="5">
        <v>0.36874999999999997</v>
      </c>
      <c r="BU31" t="s">
        <v>207</v>
      </c>
      <c r="BV31" t="s">
        <v>86</v>
      </c>
      <c r="BY31">
        <v>5995.22</v>
      </c>
      <c r="BZ31" t="s">
        <v>27</v>
      </c>
      <c r="CA31" t="s">
        <v>117</v>
      </c>
      <c r="CC31" t="s">
        <v>113</v>
      </c>
      <c r="CD31">
        <v>4001</v>
      </c>
      <c r="CE31" t="s">
        <v>88</v>
      </c>
      <c r="CF31" s="3">
        <v>43774</v>
      </c>
      <c r="CI31">
        <v>1</v>
      </c>
      <c r="CJ31">
        <v>1</v>
      </c>
      <c r="CK31">
        <v>21</v>
      </c>
      <c r="CL31" t="s">
        <v>89</v>
      </c>
    </row>
    <row r="32" spans="1:90">
      <c r="A32" t="s">
        <v>72</v>
      </c>
      <c r="B32" t="s">
        <v>73</v>
      </c>
      <c r="C32" t="s">
        <v>74</v>
      </c>
      <c r="E32" t="str">
        <f>"FES1162720826"</f>
        <v>FES1162720826</v>
      </c>
      <c r="F32" s="3">
        <v>43770</v>
      </c>
      <c r="G32">
        <v>202005</v>
      </c>
      <c r="H32" t="s">
        <v>75</v>
      </c>
      <c r="I32" t="s">
        <v>76</v>
      </c>
      <c r="J32" t="s">
        <v>77</v>
      </c>
      <c r="K32" t="s">
        <v>78</v>
      </c>
      <c r="L32" t="s">
        <v>101</v>
      </c>
      <c r="M32" t="s">
        <v>102</v>
      </c>
      <c r="N32" t="s">
        <v>208</v>
      </c>
      <c r="O32" t="s">
        <v>82</v>
      </c>
      <c r="P32" t="str">
        <f>"2170715201                    "</f>
        <v xml:space="preserve">2170715201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8.7899999999999991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0.2</v>
      </c>
      <c r="BJ32">
        <v>2</v>
      </c>
      <c r="BK32">
        <v>2</v>
      </c>
      <c r="BL32" s="4">
        <v>50.66</v>
      </c>
      <c r="BM32" s="4">
        <v>7.6</v>
      </c>
      <c r="BN32" s="4">
        <v>58.26</v>
      </c>
      <c r="BO32" s="4">
        <v>58.26</v>
      </c>
      <c r="BQ32" t="s">
        <v>209</v>
      </c>
      <c r="BR32" t="s">
        <v>84</v>
      </c>
      <c r="BS32" s="3">
        <v>43773</v>
      </c>
      <c r="BT32" s="5">
        <v>0.39583333333333331</v>
      </c>
      <c r="BU32" t="s">
        <v>210</v>
      </c>
      <c r="BV32" t="s">
        <v>86</v>
      </c>
      <c r="BY32">
        <v>10154.879999999999</v>
      </c>
      <c r="CC32" t="s">
        <v>102</v>
      </c>
      <c r="CD32">
        <v>200</v>
      </c>
      <c r="CE32" t="s">
        <v>88</v>
      </c>
      <c r="CF32" s="3">
        <v>43774</v>
      </c>
      <c r="CI32">
        <v>1</v>
      </c>
      <c r="CJ32">
        <v>1</v>
      </c>
      <c r="CK32">
        <v>21</v>
      </c>
      <c r="CL32" t="s">
        <v>89</v>
      </c>
    </row>
    <row r="33" spans="1:90">
      <c r="A33" t="s">
        <v>72</v>
      </c>
      <c r="B33" t="s">
        <v>73</v>
      </c>
      <c r="C33" t="s">
        <v>74</v>
      </c>
      <c r="E33" t="str">
        <f>"FES1162720812"</f>
        <v>FES1162720812</v>
      </c>
      <c r="F33" s="3">
        <v>43770</v>
      </c>
      <c r="G33">
        <v>202005</v>
      </c>
      <c r="H33" t="s">
        <v>75</v>
      </c>
      <c r="I33" t="s">
        <v>76</v>
      </c>
      <c r="J33" t="s">
        <v>211</v>
      </c>
      <c r="K33" t="s">
        <v>78</v>
      </c>
      <c r="L33" t="s">
        <v>90</v>
      </c>
      <c r="M33" t="s">
        <v>91</v>
      </c>
      <c r="N33" t="s">
        <v>190</v>
      </c>
      <c r="O33" t="s">
        <v>82</v>
      </c>
      <c r="P33" t="str">
        <f>"21707127855                   "</f>
        <v xml:space="preserve">21707127855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8.7899999999999991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0.6</v>
      </c>
      <c r="BJ33">
        <v>1.5</v>
      </c>
      <c r="BK33">
        <v>1.5</v>
      </c>
      <c r="BL33" s="4">
        <v>50.66</v>
      </c>
      <c r="BM33" s="4">
        <v>7.6</v>
      </c>
      <c r="BN33" s="4">
        <v>58.26</v>
      </c>
      <c r="BO33" s="4">
        <v>58.26</v>
      </c>
      <c r="BQ33" t="s">
        <v>121</v>
      </c>
      <c r="BR33" t="s">
        <v>212</v>
      </c>
      <c r="BS33" s="3">
        <v>43773</v>
      </c>
      <c r="BT33" s="5">
        <v>0.39374999999999999</v>
      </c>
      <c r="BU33" t="s">
        <v>191</v>
      </c>
      <c r="BV33" t="s">
        <v>86</v>
      </c>
      <c r="BY33">
        <v>7587.58</v>
      </c>
      <c r="BZ33" t="s">
        <v>27</v>
      </c>
      <c r="CA33" t="s">
        <v>213</v>
      </c>
      <c r="CC33" t="s">
        <v>91</v>
      </c>
      <c r="CD33">
        <v>7441</v>
      </c>
      <c r="CE33" t="s">
        <v>88</v>
      </c>
      <c r="CF33" s="3">
        <v>43774</v>
      </c>
      <c r="CI33">
        <v>1</v>
      </c>
      <c r="CJ33">
        <v>1</v>
      </c>
      <c r="CK33">
        <v>21</v>
      </c>
      <c r="CL33" t="s">
        <v>89</v>
      </c>
    </row>
    <row r="34" spans="1:90">
      <c r="A34" t="s">
        <v>72</v>
      </c>
      <c r="B34" t="s">
        <v>73</v>
      </c>
      <c r="C34" t="s">
        <v>74</v>
      </c>
      <c r="E34" t="str">
        <f>"FES1162720820"</f>
        <v>FES1162720820</v>
      </c>
      <c r="F34" s="3">
        <v>43770</v>
      </c>
      <c r="G34">
        <v>202005</v>
      </c>
      <c r="H34" t="s">
        <v>75</v>
      </c>
      <c r="I34" t="s">
        <v>76</v>
      </c>
      <c r="J34" t="s">
        <v>77</v>
      </c>
      <c r="K34" t="s">
        <v>78</v>
      </c>
      <c r="L34" t="s">
        <v>214</v>
      </c>
      <c r="M34" t="s">
        <v>214</v>
      </c>
      <c r="N34" t="s">
        <v>215</v>
      </c>
      <c r="O34" t="s">
        <v>82</v>
      </c>
      <c r="P34" t="str">
        <f>"2170715195                    "</f>
        <v xml:space="preserve">2170715195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17.04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0.2</v>
      </c>
      <c r="BJ34">
        <v>1</v>
      </c>
      <c r="BK34">
        <v>1</v>
      </c>
      <c r="BL34" s="4">
        <v>98.16</v>
      </c>
      <c r="BM34" s="4">
        <v>14.72</v>
      </c>
      <c r="BN34" s="4">
        <v>112.88</v>
      </c>
      <c r="BO34" s="4">
        <v>112.88</v>
      </c>
      <c r="BQ34" t="s">
        <v>109</v>
      </c>
      <c r="BR34" t="s">
        <v>84</v>
      </c>
      <c r="BS34" s="3">
        <v>43773</v>
      </c>
      <c r="BT34" s="5">
        <v>0.4375</v>
      </c>
      <c r="BU34" t="s">
        <v>216</v>
      </c>
      <c r="BV34" t="s">
        <v>86</v>
      </c>
      <c r="BY34">
        <v>5234.88</v>
      </c>
      <c r="CA34" t="s">
        <v>217</v>
      </c>
      <c r="CC34" t="s">
        <v>214</v>
      </c>
      <c r="CD34">
        <v>7646</v>
      </c>
      <c r="CE34" t="s">
        <v>88</v>
      </c>
      <c r="CF34" s="3">
        <v>43774</v>
      </c>
      <c r="CI34">
        <v>1</v>
      </c>
      <c r="CJ34">
        <v>1</v>
      </c>
      <c r="CK34">
        <v>23</v>
      </c>
      <c r="CL34" t="s">
        <v>89</v>
      </c>
    </row>
    <row r="35" spans="1:90">
      <c r="A35" t="s">
        <v>72</v>
      </c>
      <c r="B35" t="s">
        <v>73</v>
      </c>
      <c r="C35" t="s">
        <v>74</v>
      </c>
      <c r="E35" t="str">
        <f>"009935712104"</f>
        <v>009935712104</v>
      </c>
      <c r="F35" s="3">
        <v>43770</v>
      </c>
      <c r="G35">
        <v>202005</v>
      </c>
      <c r="H35" t="s">
        <v>75</v>
      </c>
      <c r="I35" t="s">
        <v>76</v>
      </c>
      <c r="J35" t="s">
        <v>77</v>
      </c>
      <c r="K35" t="s">
        <v>78</v>
      </c>
      <c r="L35" t="s">
        <v>90</v>
      </c>
      <c r="M35" t="s">
        <v>91</v>
      </c>
      <c r="N35" t="s">
        <v>218</v>
      </c>
      <c r="O35" t="s">
        <v>82</v>
      </c>
      <c r="P35" t="str">
        <f>"1162720287                    "</f>
        <v xml:space="preserve">1162720287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8.7899999999999991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0.2</v>
      </c>
      <c r="BJ35">
        <v>1.4</v>
      </c>
      <c r="BK35">
        <v>1.5</v>
      </c>
      <c r="BL35" s="4">
        <v>50.66</v>
      </c>
      <c r="BM35" s="4">
        <v>7.6</v>
      </c>
      <c r="BN35" s="4">
        <v>58.26</v>
      </c>
      <c r="BO35" s="4">
        <v>58.26</v>
      </c>
      <c r="BP35" t="s">
        <v>219</v>
      </c>
      <c r="BR35" t="s">
        <v>84</v>
      </c>
      <c r="BS35" s="3">
        <v>43773</v>
      </c>
      <c r="BT35" s="5">
        <v>0.29652777777777778</v>
      </c>
      <c r="BU35" t="s">
        <v>220</v>
      </c>
      <c r="BV35" t="s">
        <v>86</v>
      </c>
      <c r="BY35">
        <v>6843.2</v>
      </c>
      <c r="CA35" t="s">
        <v>221</v>
      </c>
      <c r="CC35" t="s">
        <v>91</v>
      </c>
      <c r="CD35">
        <v>8001</v>
      </c>
      <c r="CE35" t="s">
        <v>147</v>
      </c>
      <c r="CF35" s="3">
        <v>43774</v>
      </c>
      <c r="CI35">
        <v>1</v>
      </c>
      <c r="CJ35">
        <v>1</v>
      </c>
      <c r="CK35">
        <v>21</v>
      </c>
      <c r="CL35" t="s">
        <v>89</v>
      </c>
    </row>
    <row r="36" spans="1:90">
      <c r="A36" t="s">
        <v>72</v>
      </c>
      <c r="B36" t="s">
        <v>73</v>
      </c>
      <c r="C36" t="s">
        <v>74</v>
      </c>
      <c r="E36" t="str">
        <f>"FES1162720777"</f>
        <v>FES1162720777</v>
      </c>
      <c r="F36" s="3">
        <v>43770</v>
      </c>
      <c r="G36">
        <v>202005</v>
      </c>
      <c r="H36" t="s">
        <v>75</v>
      </c>
      <c r="I36" t="s">
        <v>76</v>
      </c>
      <c r="J36" t="s">
        <v>77</v>
      </c>
      <c r="K36" t="s">
        <v>78</v>
      </c>
      <c r="L36" t="s">
        <v>176</v>
      </c>
      <c r="M36" t="s">
        <v>177</v>
      </c>
      <c r="N36" t="s">
        <v>222</v>
      </c>
      <c r="O36" t="s">
        <v>82</v>
      </c>
      <c r="P36" t="str">
        <f>"2170715157                    "</f>
        <v xml:space="preserve">2170715157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13.19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3</v>
      </c>
      <c r="BJ36">
        <v>3</v>
      </c>
      <c r="BK36">
        <v>3</v>
      </c>
      <c r="BL36" s="4">
        <v>75.98</v>
      </c>
      <c r="BM36" s="4">
        <v>11.4</v>
      </c>
      <c r="BN36" s="4">
        <v>87.38</v>
      </c>
      <c r="BO36" s="4">
        <v>87.38</v>
      </c>
      <c r="BQ36" t="s">
        <v>121</v>
      </c>
      <c r="BR36" t="s">
        <v>84</v>
      </c>
      <c r="BS36" s="3">
        <v>43773</v>
      </c>
      <c r="BT36" s="5">
        <v>0.43124999999999997</v>
      </c>
      <c r="BU36" t="s">
        <v>223</v>
      </c>
      <c r="BV36" t="s">
        <v>86</v>
      </c>
      <c r="BY36">
        <v>14793.86</v>
      </c>
      <c r="BZ36" t="s">
        <v>27</v>
      </c>
      <c r="CA36" t="s">
        <v>224</v>
      </c>
      <c r="CC36" t="s">
        <v>177</v>
      </c>
      <c r="CD36">
        <v>3610</v>
      </c>
      <c r="CE36" t="s">
        <v>88</v>
      </c>
      <c r="CF36" s="3">
        <v>43774</v>
      </c>
      <c r="CI36">
        <v>1</v>
      </c>
      <c r="CJ36">
        <v>1</v>
      </c>
      <c r="CK36">
        <v>21</v>
      </c>
      <c r="CL36" t="s">
        <v>89</v>
      </c>
    </row>
    <row r="37" spans="1:90">
      <c r="A37" t="s">
        <v>72</v>
      </c>
      <c r="B37" t="s">
        <v>73</v>
      </c>
      <c r="C37" t="s">
        <v>74</v>
      </c>
      <c r="E37" t="str">
        <f>"FES1162720687"</f>
        <v>FES1162720687</v>
      </c>
      <c r="F37" s="3">
        <v>43770</v>
      </c>
      <c r="G37">
        <v>202005</v>
      </c>
      <c r="H37" t="s">
        <v>75</v>
      </c>
      <c r="I37" t="s">
        <v>76</v>
      </c>
      <c r="J37" t="s">
        <v>77</v>
      </c>
      <c r="K37" t="s">
        <v>78</v>
      </c>
      <c r="L37" t="s">
        <v>225</v>
      </c>
      <c r="M37" t="s">
        <v>226</v>
      </c>
      <c r="N37" t="s">
        <v>227</v>
      </c>
      <c r="O37" t="s">
        <v>82</v>
      </c>
      <c r="P37" t="str">
        <f>"2170715062                    "</f>
        <v xml:space="preserve">2170715062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10.99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2.2000000000000002</v>
      </c>
      <c r="BJ37">
        <v>0.9</v>
      </c>
      <c r="BK37">
        <v>2.5</v>
      </c>
      <c r="BL37" s="4">
        <v>63.32</v>
      </c>
      <c r="BM37" s="4">
        <v>9.5</v>
      </c>
      <c r="BN37" s="4">
        <v>72.819999999999993</v>
      </c>
      <c r="BO37" s="4">
        <v>72.819999999999993</v>
      </c>
      <c r="BQ37" t="s">
        <v>121</v>
      </c>
      <c r="BR37" t="s">
        <v>84</v>
      </c>
      <c r="BS37" s="3">
        <v>43773</v>
      </c>
      <c r="BT37" s="5">
        <v>0.33402777777777781</v>
      </c>
      <c r="BU37" t="s">
        <v>228</v>
      </c>
      <c r="BV37" t="s">
        <v>86</v>
      </c>
      <c r="BY37">
        <v>4284</v>
      </c>
      <c r="CA37" t="s">
        <v>229</v>
      </c>
      <c r="CC37" t="s">
        <v>226</v>
      </c>
      <c r="CD37">
        <v>4026</v>
      </c>
      <c r="CE37" t="s">
        <v>88</v>
      </c>
      <c r="CF37" s="3">
        <v>43774</v>
      </c>
      <c r="CI37">
        <v>1</v>
      </c>
      <c r="CJ37">
        <v>1</v>
      </c>
      <c r="CK37">
        <v>21</v>
      </c>
      <c r="CL37" t="s">
        <v>89</v>
      </c>
    </row>
    <row r="38" spans="1:90">
      <c r="A38" t="s">
        <v>72</v>
      </c>
      <c r="B38" t="s">
        <v>73</v>
      </c>
      <c r="C38" t="s">
        <v>74</v>
      </c>
      <c r="E38" t="str">
        <f>"FES1162720813"</f>
        <v>FES1162720813</v>
      </c>
      <c r="F38" s="3">
        <v>43770</v>
      </c>
      <c r="G38">
        <v>202005</v>
      </c>
      <c r="H38" t="s">
        <v>75</v>
      </c>
      <c r="I38" t="s">
        <v>76</v>
      </c>
      <c r="J38" t="s">
        <v>77</v>
      </c>
      <c r="K38" t="s">
        <v>78</v>
      </c>
      <c r="L38" t="s">
        <v>124</v>
      </c>
      <c r="M38" t="s">
        <v>125</v>
      </c>
      <c r="N38" t="s">
        <v>230</v>
      </c>
      <c r="O38" t="s">
        <v>82</v>
      </c>
      <c r="P38" t="str">
        <f>"2170713975                    "</f>
        <v xml:space="preserve">2170713975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6.87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0.2</v>
      </c>
      <c r="BJ38">
        <v>1.3</v>
      </c>
      <c r="BK38">
        <v>1.5</v>
      </c>
      <c r="BL38" s="4">
        <v>39.58</v>
      </c>
      <c r="BM38" s="4">
        <v>5.94</v>
      </c>
      <c r="BN38" s="4">
        <v>45.52</v>
      </c>
      <c r="BO38" s="4">
        <v>45.52</v>
      </c>
      <c r="BQ38" t="s">
        <v>109</v>
      </c>
      <c r="BR38" t="s">
        <v>84</v>
      </c>
      <c r="BS38" s="3">
        <v>43773</v>
      </c>
      <c r="BT38" s="5">
        <v>0.33333333333333331</v>
      </c>
      <c r="BU38" t="s">
        <v>231</v>
      </c>
      <c r="BV38" t="s">
        <v>86</v>
      </c>
      <c r="BY38">
        <v>6359.02</v>
      </c>
      <c r="CC38" t="s">
        <v>125</v>
      </c>
      <c r="CD38">
        <v>2091</v>
      </c>
      <c r="CE38" t="s">
        <v>88</v>
      </c>
      <c r="CF38" s="3">
        <v>43774</v>
      </c>
      <c r="CI38">
        <v>1</v>
      </c>
      <c r="CJ38">
        <v>1</v>
      </c>
      <c r="CK38">
        <v>22</v>
      </c>
      <c r="CL38" t="s">
        <v>89</v>
      </c>
    </row>
    <row r="39" spans="1:90">
      <c r="A39" t="s">
        <v>72</v>
      </c>
      <c r="B39" t="s">
        <v>73</v>
      </c>
      <c r="C39" t="s">
        <v>74</v>
      </c>
      <c r="E39" t="str">
        <f>"FES1162720670"</f>
        <v>FES1162720670</v>
      </c>
      <c r="F39" s="3">
        <v>43770</v>
      </c>
      <c r="G39">
        <v>202005</v>
      </c>
      <c r="H39" t="s">
        <v>75</v>
      </c>
      <c r="I39" t="s">
        <v>76</v>
      </c>
      <c r="J39" t="s">
        <v>77</v>
      </c>
      <c r="K39" t="s">
        <v>78</v>
      </c>
      <c r="L39" t="s">
        <v>75</v>
      </c>
      <c r="M39" t="s">
        <v>76</v>
      </c>
      <c r="N39" t="s">
        <v>232</v>
      </c>
      <c r="O39" t="s">
        <v>82</v>
      </c>
      <c r="P39" t="str">
        <f>"2170713352                    "</f>
        <v xml:space="preserve">2170713352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6.87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0.2</v>
      </c>
      <c r="BJ39">
        <v>1.5</v>
      </c>
      <c r="BK39">
        <v>1.5</v>
      </c>
      <c r="BL39" s="4">
        <v>39.58</v>
      </c>
      <c r="BM39" s="4">
        <v>5.94</v>
      </c>
      <c r="BN39" s="4">
        <v>45.52</v>
      </c>
      <c r="BO39" s="4">
        <v>45.52</v>
      </c>
      <c r="BR39" t="s">
        <v>84</v>
      </c>
      <c r="BS39" s="3">
        <v>43773</v>
      </c>
      <c r="BT39" s="5">
        <v>0.39583333333333331</v>
      </c>
      <c r="BU39" t="s">
        <v>233</v>
      </c>
      <c r="BV39" t="s">
        <v>86</v>
      </c>
      <c r="BY39">
        <v>7560.54</v>
      </c>
      <c r="CA39" t="s">
        <v>198</v>
      </c>
      <c r="CC39" t="s">
        <v>76</v>
      </c>
      <c r="CD39">
        <v>1600</v>
      </c>
      <c r="CE39" t="s">
        <v>88</v>
      </c>
      <c r="CF39" s="3">
        <v>43774</v>
      </c>
      <c r="CI39">
        <v>1</v>
      </c>
      <c r="CJ39">
        <v>1</v>
      </c>
      <c r="CK39">
        <v>22</v>
      </c>
      <c r="CL39" t="s">
        <v>89</v>
      </c>
    </row>
    <row r="40" spans="1:90">
      <c r="A40" t="s">
        <v>72</v>
      </c>
      <c r="B40" t="s">
        <v>73</v>
      </c>
      <c r="C40" t="s">
        <v>74</v>
      </c>
      <c r="E40" t="str">
        <f>"FES1162720700"</f>
        <v>FES1162720700</v>
      </c>
      <c r="F40" s="3">
        <v>43770</v>
      </c>
      <c r="G40">
        <v>202005</v>
      </c>
      <c r="H40" t="s">
        <v>75</v>
      </c>
      <c r="I40" t="s">
        <v>76</v>
      </c>
      <c r="J40" t="s">
        <v>77</v>
      </c>
      <c r="K40" t="s">
        <v>78</v>
      </c>
      <c r="L40" t="s">
        <v>101</v>
      </c>
      <c r="M40" t="s">
        <v>102</v>
      </c>
      <c r="N40" t="s">
        <v>234</v>
      </c>
      <c r="O40" t="s">
        <v>82</v>
      </c>
      <c r="P40" t="str">
        <f>"2170715071                    "</f>
        <v xml:space="preserve">2170715071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8.7899999999999991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0.2</v>
      </c>
      <c r="BJ40">
        <v>0.9</v>
      </c>
      <c r="BK40">
        <v>1</v>
      </c>
      <c r="BL40" s="4">
        <v>50.66</v>
      </c>
      <c r="BM40" s="4">
        <v>7.6</v>
      </c>
      <c r="BN40" s="4">
        <v>58.26</v>
      </c>
      <c r="BO40" s="4">
        <v>58.26</v>
      </c>
      <c r="BQ40" t="s">
        <v>109</v>
      </c>
      <c r="BR40" t="s">
        <v>84</v>
      </c>
      <c r="BS40" s="3">
        <v>43773</v>
      </c>
      <c r="BT40" s="5">
        <v>0.375</v>
      </c>
      <c r="BU40" t="s">
        <v>235</v>
      </c>
      <c r="BV40" t="s">
        <v>86</v>
      </c>
      <c r="BY40">
        <v>4582</v>
      </c>
      <c r="CA40" t="s">
        <v>183</v>
      </c>
      <c r="CC40" t="s">
        <v>102</v>
      </c>
      <c r="CD40">
        <v>200</v>
      </c>
      <c r="CE40" t="s">
        <v>88</v>
      </c>
      <c r="CF40" s="3">
        <v>43774</v>
      </c>
      <c r="CI40">
        <v>1</v>
      </c>
      <c r="CJ40">
        <v>1</v>
      </c>
      <c r="CK40">
        <v>21</v>
      </c>
      <c r="CL40" t="s">
        <v>89</v>
      </c>
    </row>
    <row r="41" spans="1:90">
      <c r="A41" t="s">
        <v>72</v>
      </c>
      <c r="B41" t="s">
        <v>73</v>
      </c>
      <c r="C41" t="s">
        <v>74</v>
      </c>
      <c r="E41" t="str">
        <f>"FES1162720683"</f>
        <v>FES1162720683</v>
      </c>
      <c r="F41" s="3">
        <v>43770</v>
      </c>
      <c r="G41">
        <v>202005</v>
      </c>
      <c r="H41" t="s">
        <v>75</v>
      </c>
      <c r="I41" t="s">
        <v>76</v>
      </c>
      <c r="J41" t="s">
        <v>77</v>
      </c>
      <c r="K41" t="s">
        <v>78</v>
      </c>
      <c r="L41" t="s">
        <v>75</v>
      </c>
      <c r="M41" t="s">
        <v>76</v>
      </c>
      <c r="N41" t="s">
        <v>236</v>
      </c>
      <c r="O41" t="s">
        <v>82</v>
      </c>
      <c r="P41" t="str">
        <f>"2170715055                    "</f>
        <v xml:space="preserve">2170715055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6.87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0.2</v>
      </c>
      <c r="BJ41">
        <v>1</v>
      </c>
      <c r="BK41">
        <v>1</v>
      </c>
      <c r="BL41" s="4">
        <v>39.58</v>
      </c>
      <c r="BM41" s="4">
        <v>5.94</v>
      </c>
      <c r="BN41" s="4">
        <v>45.52</v>
      </c>
      <c r="BO41" s="4">
        <v>45.52</v>
      </c>
      <c r="BQ41" t="s">
        <v>109</v>
      </c>
      <c r="BR41" t="s">
        <v>84</v>
      </c>
      <c r="BS41" s="3">
        <v>43773</v>
      </c>
      <c r="BT41" s="5">
        <v>0.3263888888888889</v>
      </c>
      <c r="BU41" t="s">
        <v>237</v>
      </c>
      <c r="BV41" t="s">
        <v>86</v>
      </c>
      <c r="BY41">
        <v>5034.51</v>
      </c>
      <c r="CA41" t="s">
        <v>238</v>
      </c>
      <c r="CC41" t="s">
        <v>76</v>
      </c>
      <c r="CD41">
        <v>1665</v>
      </c>
      <c r="CE41" t="s">
        <v>88</v>
      </c>
      <c r="CF41" s="3">
        <v>43774</v>
      </c>
      <c r="CI41">
        <v>1</v>
      </c>
      <c r="CJ41">
        <v>1</v>
      </c>
      <c r="CK41">
        <v>22</v>
      </c>
      <c r="CL41" t="s">
        <v>89</v>
      </c>
    </row>
    <row r="42" spans="1:90">
      <c r="A42" t="s">
        <v>72</v>
      </c>
      <c r="B42" t="s">
        <v>73</v>
      </c>
      <c r="C42" t="s">
        <v>74</v>
      </c>
      <c r="E42" t="str">
        <f>"FES1162720825"</f>
        <v>FES1162720825</v>
      </c>
      <c r="F42" s="3">
        <v>43770</v>
      </c>
      <c r="G42">
        <v>202005</v>
      </c>
      <c r="H42" t="s">
        <v>75</v>
      </c>
      <c r="I42" t="s">
        <v>76</v>
      </c>
      <c r="J42" t="s">
        <v>77</v>
      </c>
      <c r="K42" t="s">
        <v>78</v>
      </c>
      <c r="L42" t="s">
        <v>124</v>
      </c>
      <c r="M42" t="s">
        <v>125</v>
      </c>
      <c r="N42" t="s">
        <v>218</v>
      </c>
      <c r="O42" t="s">
        <v>82</v>
      </c>
      <c r="P42" t="str">
        <f>"2170715101                    "</f>
        <v xml:space="preserve">2170715101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13.45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5.9</v>
      </c>
      <c r="BJ42">
        <v>1.6</v>
      </c>
      <c r="BK42">
        <v>6</v>
      </c>
      <c r="BL42" s="4">
        <v>77.52</v>
      </c>
      <c r="BM42" s="4">
        <v>11.63</v>
      </c>
      <c r="BN42" s="4">
        <v>89.15</v>
      </c>
      <c r="BO42" s="4">
        <v>89.15</v>
      </c>
      <c r="BQ42" t="s">
        <v>121</v>
      </c>
      <c r="BR42" t="s">
        <v>84</v>
      </c>
      <c r="BS42" s="3">
        <v>43773</v>
      </c>
      <c r="BT42" s="5">
        <v>0.36874999999999997</v>
      </c>
      <c r="BU42" t="s">
        <v>239</v>
      </c>
      <c r="BV42" t="s">
        <v>86</v>
      </c>
      <c r="BY42">
        <v>8162.98</v>
      </c>
      <c r="CA42" t="s">
        <v>123</v>
      </c>
      <c r="CC42" t="s">
        <v>125</v>
      </c>
      <c r="CD42">
        <v>2094</v>
      </c>
      <c r="CE42" t="s">
        <v>88</v>
      </c>
      <c r="CF42" s="3">
        <v>43774</v>
      </c>
      <c r="CI42">
        <v>1</v>
      </c>
      <c r="CJ42">
        <v>1</v>
      </c>
      <c r="CK42">
        <v>22</v>
      </c>
      <c r="CL42" t="s">
        <v>89</v>
      </c>
    </row>
    <row r="43" spans="1:90">
      <c r="A43" t="s">
        <v>72</v>
      </c>
      <c r="B43" t="s">
        <v>73</v>
      </c>
      <c r="C43" t="s">
        <v>74</v>
      </c>
      <c r="E43" t="str">
        <f>"FES1162720682"</f>
        <v>FES1162720682</v>
      </c>
      <c r="F43" s="3">
        <v>43770</v>
      </c>
      <c r="G43">
        <v>202005</v>
      </c>
      <c r="H43" t="s">
        <v>75</v>
      </c>
      <c r="I43" t="s">
        <v>76</v>
      </c>
      <c r="J43" t="s">
        <v>77</v>
      </c>
      <c r="K43" t="s">
        <v>78</v>
      </c>
      <c r="L43" t="s">
        <v>75</v>
      </c>
      <c r="M43" t="s">
        <v>76</v>
      </c>
      <c r="N43" t="s">
        <v>240</v>
      </c>
      <c r="O43" t="s">
        <v>82</v>
      </c>
      <c r="P43" t="str">
        <f>"2170714713                    "</f>
        <v xml:space="preserve">2170714713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6.87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1.8</v>
      </c>
      <c r="BJ43">
        <v>0.5</v>
      </c>
      <c r="BK43">
        <v>2</v>
      </c>
      <c r="BL43" s="4">
        <v>39.58</v>
      </c>
      <c r="BM43" s="4">
        <v>5.94</v>
      </c>
      <c r="BN43" s="4">
        <v>45.52</v>
      </c>
      <c r="BO43" s="4">
        <v>45.52</v>
      </c>
      <c r="BQ43" t="s">
        <v>109</v>
      </c>
      <c r="BR43" t="s">
        <v>84</v>
      </c>
      <c r="BS43" s="3">
        <v>43773</v>
      </c>
      <c r="BT43" s="5">
        <v>0.34097222222222223</v>
      </c>
      <c r="BU43" t="s">
        <v>241</v>
      </c>
      <c r="BV43" t="s">
        <v>86</v>
      </c>
      <c r="BY43">
        <v>2538</v>
      </c>
      <c r="CA43" t="s">
        <v>198</v>
      </c>
      <c r="CC43" t="s">
        <v>76</v>
      </c>
      <c r="CD43">
        <v>1601</v>
      </c>
      <c r="CE43" t="s">
        <v>88</v>
      </c>
      <c r="CF43" s="3">
        <v>43774</v>
      </c>
      <c r="CI43">
        <v>1</v>
      </c>
      <c r="CJ43">
        <v>1</v>
      </c>
      <c r="CK43">
        <v>22</v>
      </c>
      <c r="CL43" t="s">
        <v>89</v>
      </c>
    </row>
    <row r="44" spans="1:90">
      <c r="A44" t="s">
        <v>72</v>
      </c>
      <c r="B44" t="s">
        <v>73</v>
      </c>
      <c r="C44" t="s">
        <v>74</v>
      </c>
      <c r="E44" t="str">
        <f>"FES1162720752"</f>
        <v>FES1162720752</v>
      </c>
      <c r="F44" s="3">
        <v>43770</v>
      </c>
      <c r="G44">
        <v>202005</v>
      </c>
      <c r="H44" t="s">
        <v>75</v>
      </c>
      <c r="I44" t="s">
        <v>76</v>
      </c>
      <c r="J44" t="s">
        <v>77</v>
      </c>
      <c r="K44" t="s">
        <v>78</v>
      </c>
      <c r="L44" t="s">
        <v>106</v>
      </c>
      <c r="M44" t="s">
        <v>107</v>
      </c>
      <c r="N44" t="s">
        <v>242</v>
      </c>
      <c r="O44" t="s">
        <v>82</v>
      </c>
      <c r="P44" t="str">
        <f>"2170715130                    "</f>
        <v xml:space="preserve">2170715130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8.7899999999999991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1.8</v>
      </c>
      <c r="BJ44">
        <v>1.4</v>
      </c>
      <c r="BK44">
        <v>2</v>
      </c>
      <c r="BL44" s="4">
        <v>50.66</v>
      </c>
      <c r="BM44" s="4">
        <v>7.6</v>
      </c>
      <c r="BN44" s="4">
        <v>58.26</v>
      </c>
      <c r="BO44" s="4">
        <v>58.26</v>
      </c>
      <c r="BQ44" t="s">
        <v>109</v>
      </c>
      <c r="BR44" t="s">
        <v>84</v>
      </c>
      <c r="BS44" s="3">
        <v>43773</v>
      </c>
      <c r="BT44" s="5">
        <v>0.39583333333333331</v>
      </c>
      <c r="BU44" t="s">
        <v>243</v>
      </c>
      <c r="BV44" t="s">
        <v>86</v>
      </c>
      <c r="BY44">
        <v>7017.84</v>
      </c>
      <c r="CA44" t="s">
        <v>244</v>
      </c>
      <c r="CC44" t="s">
        <v>107</v>
      </c>
      <c r="CD44">
        <v>6001</v>
      </c>
      <c r="CE44" t="s">
        <v>88</v>
      </c>
      <c r="CF44" s="3">
        <v>43774</v>
      </c>
      <c r="CI44">
        <v>1</v>
      </c>
      <c r="CJ44">
        <v>1</v>
      </c>
      <c r="CK44">
        <v>21</v>
      </c>
      <c r="CL44" t="s">
        <v>89</v>
      </c>
    </row>
    <row r="45" spans="1:90">
      <c r="A45" t="s">
        <v>72</v>
      </c>
      <c r="B45" t="s">
        <v>73</v>
      </c>
      <c r="C45" t="s">
        <v>74</v>
      </c>
      <c r="E45" t="str">
        <f>"FES1162720741"</f>
        <v>FES1162720741</v>
      </c>
      <c r="F45" s="3">
        <v>43770</v>
      </c>
      <c r="G45">
        <v>202005</v>
      </c>
      <c r="H45" t="s">
        <v>75</v>
      </c>
      <c r="I45" t="s">
        <v>76</v>
      </c>
      <c r="J45" t="s">
        <v>77</v>
      </c>
      <c r="K45" t="s">
        <v>78</v>
      </c>
      <c r="L45" t="s">
        <v>75</v>
      </c>
      <c r="M45" t="s">
        <v>76</v>
      </c>
      <c r="N45" t="s">
        <v>245</v>
      </c>
      <c r="O45" t="s">
        <v>82</v>
      </c>
      <c r="P45" t="str">
        <f>"2170715117                    "</f>
        <v xml:space="preserve">2170715117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6.87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0.2</v>
      </c>
      <c r="BJ45">
        <v>1.1000000000000001</v>
      </c>
      <c r="BK45">
        <v>1.5</v>
      </c>
      <c r="BL45" s="4">
        <v>39.58</v>
      </c>
      <c r="BM45" s="4">
        <v>5.94</v>
      </c>
      <c r="BN45" s="4">
        <v>45.52</v>
      </c>
      <c r="BO45" s="4">
        <v>45.52</v>
      </c>
      <c r="BQ45" t="s">
        <v>246</v>
      </c>
      <c r="BR45" t="s">
        <v>84</v>
      </c>
      <c r="BS45" s="3">
        <v>43773</v>
      </c>
      <c r="BT45" s="5">
        <v>0.3520833333333333</v>
      </c>
      <c r="BU45" t="s">
        <v>247</v>
      </c>
      <c r="BV45" t="s">
        <v>86</v>
      </c>
      <c r="BY45">
        <v>5513.2</v>
      </c>
      <c r="CC45" t="s">
        <v>76</v>
      </c>
      <c r="CD45">
        <v>1682</v>
      </c>
      <c r="CE45" t="s">
        <v>88</v>
      </c>
      <c r="CF45" s="3">
        <v>43774</v>
      </c>
      <c r="CI45">
        <v>1</v>
      </c>
      <c r="CJ45">
        <v>1</v>
      </c>
      <c r="CK45">
        <v>22</v>
      </c>
      <c r="CL45" t="s">
        <v>89</v>
      </c>
    </row>
    <row r="46" spans="1:90">
      <c r="A46" t="s">
        <v>72</v>
      </c>
      <c r="B46" t="s">
        <v>73</v>
      </c>
      <c r="C46" t="s">
        <v>74</v>
      </c>
      <c r="E46" t="str">
        <f>"FES1162720757"</f>
        <v>FES1162720757</v>
      </c>
      <c r="F46" s="3">
        <v>43770</v>
      </c>
      <c r="G46">
        <v>202005</v>
      </c>
      <c r="H46" t="s">
        <v>75</v>
      </c>
      <c r="I46" t="s">
        <v>76</v>
      </c>
      <c r="J46" t="s">
        <v>77</v>
      </c>
      <c r="K46" t="s">
        <v>78</v>
      </c>
      <c r="L46" t="s">
        <v>118</v>
      </c>
      <c r="M46" t="s">
        <v>119</v>
      </c>
      <c r="N46" t="s">
        <v>248</v>
      </c>
      <c r="O46" t="s">
        <v>82</v>
      </c>
      <c r="P46" t="str">
        <f>"2170715137                    "</f>
        <v xml:space="preserve">2170715137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8.7899999999999991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0.2</v>
      </c>
      <c r="BJ46">
        <v>1.1000000000000001</v>
      </c>
      <c r="BK46">
        <v>1.5</v>
      </c>
      <c r="BL46" s="4">
        <v>50.66</v>
      </c>
      <c r="BM46" s="4">
        <v>7.6</v>
      </c>
      <c r="BN46" s="4">
        <v>58.26</v>
      </c>
      <c r="BO46" s="4">
        <v>58.26</v>
      </c>
      <c r="BQ46" t="s">
        <v>121</v>
      </c>
      <c r="BR46" t="s">
        <v>84</v>
      </c>
      <c r="BS46" s="3">
        <v>43773</v>
      </c>
      <c r="BT46" s="5">
        <v>0.40972222222222227</v>
      </c>
      <c r="BU46" t="s">
        <v>249</v>
      </c>
      <c r="BV46" t="s">
        <v>86</v>
      </c>
      <c r="BY46">
        <v>5262.92</v>
      </c>
      <c r="CA46" t="s">
        <v>250</v>
      </c>
      <c r="CC46" t="s">
        <v>119</v>
      </c>
      <c r="CD46">
        <v>3212</v>
      </c>
      <c r="CE46" t="s">
        <v>88</v>
      </c>
      <c r="CF46" s="3">
        <v>43774</v>
      </c>
      <c r="CI46">
        <v>1</v>
      </c>
      <c r="CJ46">
        <v>1</v>
      </c>
      <c r="CK46">
        <v>21</v>
      </c>
      <c r="CL46" t="s">
        <v>89</v>
      </c>
    </row>
    <row r="47" spans="1:90">
      <c r="A47" t="s">
        <v>72</v>
      </c>
      <c r="B47" t="s">
        <v>73</v>
      </c>
      <c r="C47" t="s">
        <v>74</v>
      </c>
      <c r="E47" t="str">
        <f>"FES1162720668"</f>
        <v>FES1162720668</v>
      </c>
      <c r="F47" s="3">
        <v>43770</v>
      </c>
      <c r="G47">
        <v>202005</v>
      </c>
      <c r="H47" t="s">
        <v>75</v>
      </c>
      <c r="I47" t="s">
        <v>76</v>
      </c>
      <c r="J47" t="s">
        <v>77</v>
      </c>
      <c r="K47" t="s">
        <v>78</v>
      </c>
      <c r="L47" t="s">
        <v>251</v>
      </c>
      <c r="M47" t="s">
        <v>252</v>
      </c>
      <c r="N47" t="s">
        <v>253</v>
      </c>
      <c r="O47" t="s">
        <v>82</v>
      </c>
      <c r="P47" t="str">
        <f>"2170713320                    "</f>
        <v xml:space="preserve">2170713320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8.7899999999999991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0.2</v>
      </c>
      <c r="BJ47">
        <v>0.2</v>
      </c>
      <c r="BK47">
        <v>0.5</v>
      </c>
      <c r="BL47" s="4">
        <v>50.66</v>
      </c>
      <c r="BM47" s="4">
        <v>7.6</v>
      </c>
      <c r="BN47" s="4">
        <v>58.26</v>
      </c>
      <c r="BO47" s="4">
        <v>58.26</v>
      </c>
      <c r="BQ47" t="s">
        <v>109</v>
      </c>
      <c r="BR47" t="s">
        <v>84</v>
      </c>
      <c r="BS47" s="3">
        <v>43773</v>
      </c>
      <c r="BT47" s="5">
        <v>0.3923611111111111</v>
      </c>
      <c r="BU47" t="s">
        <v>254</v>
      </c>
      <c r="BV47" t="s">
        <v>86</v>
      </c>
      <c r="BY47">
        <v>1133.22</v>
      </c>
      <c r="CA47" t="s">
        <v>255</v>
      </c>
      <c r="CC47" t="s">
        <v>252</v>
      </c>
      <c r="CD47">
        <v>4133</v>
      </c>
      <c r="CE47" t="s">
        <v>147</v>
      </c>
      <c r="CF47" s="3">
        <v>43774</v>
      </c>
      <c r="CI47">
        <v>1</v>
      </c>
      <c r="CJ47">
        <v>1</v>
      </c>
      <c r="CK47">
        <v>21</v>
      </c>
      <c r="CL47" t="s">
        <v>89</v>
      </c>
    </row>
    <row r="48" spans="1:90">
      <c r="A48" t="s">
        <v>72</v>
      </c>
      <c r="B48" t="s">
        <v>73</v>
      </c>
      <c r="C48" t="s">
        <v>74</v>
      </c>
      <c r="E48" t="str">
        <f>"FES1162720800"</f>
        <v>FES1162720800</v>
      </c>
      <c r="F48" s="3">
        <v>43770</v>
      </c>
      <c r="G48">
        <v>202005</v>
      </c>
      <c r="H48" t="s">
        <v>75</v>
      </c>
      <c r="I48" t="s">
        <v>76</v>
      </c>
      <c r="J48" t="s">
        <v>77</v>
      </c>
      <c r="K48" t="s">
        <v>78</v>
      </c>
      <c r="L48" t="s">
        <v>176</v>
      </c>
      <c r="M48" t="s">
        <v>177</v>
      </c>
      <c r="N48" t="s">
        <v>256</v>
      </c>
      <c r="O48" t="s">
        <v>82</v>
      </c>
      <c r="P48" t="str">
        <f>"2170715182                    "</f>
        <v xml:space="preserve">2170715182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8.7899999999999991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1.3</v>
      </c>
      <c r="BK48">
        <v>1.5</v>
      </c>
      <c r="BL48" s="4">
        <v>50.66</v>
      </c>
      <c r="BM48" s="4">
        <v>7.6</v>
      </c>
      <c r="BN48" s="4">
        <v>58.26</v>
      </c>
      <c r="BO48" s="4">
        <v>58.26</v>
      </c>
      <c r="BQ48" t="s">
        <v>109</v>
      </c>
      <c r="BR48" t="s">
        <v>84</v>
      </c>
      <c r="BS48" s="3">
        <v>43773</v>
      </c>
      <c r="BT48" s="5">
        <v>0.38541666666666669</v>
      </c>
      <c r="BU48" t="s">
        <v>257</v>
      </c>
      <c r="BV48" t="s">
        <v>86</v>
      </c>
      <c r="BY48">
        <v>6306.3</v>
      </c>
      <c r="BZ48" t="s">
        <v>27</v>
      </c>
      <c r="CA48" t="s">
        <v>180</v>
      </c>
      <c r="CC48" t="s">
        <v>177</v>
      </c>
      <c r="CD48">
        <v>3610</v>
      </c>
      <c r="CE48" t="s">
        <v>88</v>
      </c>
      <c r="CF48" s="3">
        <v>43774</v>
      </c>
      <c r="CI48">
        <v>1</v>
      </c>
      <c r="CJ48">
        <v>1</v>
      </c>
      <c r="CK48">
        <v>21</v>
      </c>
      <c r="CL48" t="s">
        <v>89</v>
      </c>
    </row>
    <row r="49" spans="1:90">
      <c r="A49" t="s">
        <v>72</v>
      </c>
      <c r="B49" t="s">
        <v>73</v>
      </c>
      <c r="C49" t="s">
        <v>74</v>
      </c>
      <c r="E49" t="str">
        <f>"FES1162720843"</f>
        <v>FES1162720843</v>
      </c>
      <c r="F49" s="3">
        <v>43770</v>
      </c>
      <c r="G49">
        <v>202005</v>
      </c>
      <c r="H49" t="s">
        <v>75</v>
      </c>
      <c r="I49" t="s">
        <v>76</v>
      </c>
      <c r="J49" t="s">
        <v>77</v>
      </c>
      <c r="K49" t="s">
        <v>78</v>
      </c>
      <c r="L49" t="s">
        <v>184</v>
      </c>
      <c r="M49" t="s">
        <v>185</v>
      </c>
      <c r="N49" t="s">
        <v>258</v>
      </c>
      <c r="O49" t="s">
        <v>82</v>
      </c>
      <c r="P49" t="str">
        <f>"2170715223                    "</f>
        <v xml:space="preserve">2170715223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7.69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0.2</v>
      </c>
      <c r="BJ49">
        <v>2.4</v>
      </c>
      <c r="BK49">
        <v>2.5</v>
      </c>
      <c r="BL49" s="4">
        <v>44.32</v>
      </c>
      <c r="BM49" s="4">
        <v>6.65</v>
      </c>
      <c r="BN49" s="4">
        <v>50.97</v>
      </c>
      <c r="BO49" s="4">
        <v>50.97</v>
      </c>
      <c r="BR49" t="s">
        <v>84</v>
      </c>
      <c r="BS49" s="3">
        <v>43773</v>
      </c>
      <c r="BT49" s="5">
        <v>0.42708333333333331</v>
      </c>
      <c r="BU49" t="s">
        <v>259</v>
      </c>
      <c r="BV49" t="s">
        <v>86</v>
      </c>
      <c r="BY49">
        <v>12150</v>
      </c>
      <c r="CA49" t="s">
        <v>189</v>
      </c>
      <c r="CC49" t="s">
        <v>185</v>
      </c>
      <c r="CD49">
        <v>1500</v>
      </c>
      <c r="CE49" t="s">
        <v>88</v>
      </c>
      <c r="CF49" s="3">
        <v>43774</v>
      </c>
      <c r="CI49">
        <v>1</v>
      </c>
      <c r="CJ49">
        <v>1</v>
      </c>
      <c r="CK49">
        <v>22</v>
      </c>
      <c r="CL49" t="s">
        <v>89</v>
      </c>
    </row>
    <row r="50" spans="1:90">
      <c r="A50" t="s">
        <v>72</v>
      </c>
      <c r="B50" t="s">
        <v>73</v>
      </c>
      <c r="C50" t="s">
        <v>74</v>
      </c>
      <c r="E50" t="str">
        <f>"FES1162720734"</f>
        <v>FES1162720734</v>
      </c>
      <c r="F50" s="3">
        <v>43770</v>
      </c>
      <c r="G50">
        <v>202005</v>
      </c>
      <c r="H50" t="s">
        <v>75</v>
      </c>
      <c r="I50" t="s">
        <v>76</v>
      </c>
      <c r="J50" t="s">
        <v>77</v>
      </c>
      <c r="K50" t="s">
        <v>78</v>
      </c>
      <c r="L50" t="s">
        <v>106</v>
      </c>
      <c r="M50" t="s">
        <v>107</v>
      </c>
      <c r="N50" t="s">
        <v>260</v>
      </c>
      <c r="O50" t="s">
        <v>82</v>
      </c>
      <c r="P50" t="str">
        <f>"2170714704                    "</f>
        <v xml:space="preserve">2170714704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10.99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2.1</v>
      </c>
      <c r="BK50">
        <v>2.5</v>
      </c>
      <c r="BL50" s="4">
        <v>63.32</v>
      </c>
      <c r="BM50" s="4">
        <v>9.5</v>
      </c>
      <c r="BN50" s="4">
        <v>72.819999999999993</v>
      </c>
      <c r="BO50" s="4">
        <v>72.819999999999993</v>
      </c>
      <c r="BR50" t="s">
        <v>84</v>
      </c>
      <c r="BS50" s="3">
        <v>43773</v>
      </c>
      <c r="BT50" s="5">
        <v>0.4375</v>
      </c>
      <c r="BU50" t="s">
        <v>261</v>
      </c>
      <c r="BV50" t="s">
        <v>86</v>
      </c>
      <c r="BY50">
        <v>10444.799999999999</v>
      </c>
      <c r="CA50" t="s">
        <v>111</v>
      </c>
      <c r="CC50" t="s">
        <v>107</v>
      </c>
      <c r="CD50">
        <v>6001</v>
      </c>
      <c r="CE50" t="s">
        <v>147</v>
      </c>
      <c r="CF50" s="3">
        <v>43774</v>
      </c>
      <c r="CI50">
        <v>1</v>
      </c>
      <c r="CJ50">
        <v>1</v>
      </c>
      <c r="CK50">
        <v>21</v>
      </c>
      <c r="CL50" t="s">
        <v>89</v>
      </c>
    </row>
    <row r="51" spans="1:90">
      <c r="A51" t="s">
        <v>72</v>
      </c>
      <c r="B51" t="s">
        <v>73</v>
      </c>
      <c r="C51" t="s">
        <v>74</v>
      </c>
      <c r="E51" t="str">
        <f>"FES1162720542"</f>
        <v>FES1162720542</v>
      </c>
      <c r="F51" s="3">
        <v>43770</v>
      </c>
      <c r="G51">
        <v>202005</v>
      </c>
      <c r="H51" t="s">
        <v>75</v>
      </c>
      <c r="I51" t="s">
        <v>76</v>
      </c>
      <c r="J51" t="s">
        <v>77</v>
      </c>
      <c r="K51" t="s">
        <v>78</v>
      </c>
      <c r="L51" t="s">
        <v>106</v>
      </c>
      <c r="M51" t="s">
        <v>107</v>
      </c>
      <c r="N51" t="s">
        <v>262</v>
      </c>
      <c r="O51" t="s">
        <v>82</v>
      </c>
      <c r="P51" t="str">
        <f>"2170714969                    "</f>
        <v xml:space="preserve">2170714969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43.94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9.8000000000000007</v>
      </c>
      <c r="BJ51">
        <v>3</v>
      </c>
      <c r="BK51">
        <v>10</v>
      </c>
      <c r="BL51" s="4">
        <v>253.17</v>
      </c>
      <c r="BM51" s="4">
        <v>37.979999999999997</v>
      </c>
      <c r="BN51" s="4">
        <v>291.14999999999998</v>
      </c>
      <c r="BO51" s="4">
        <v>291.14999999999998</v>
      </c>
      <c r="BQ51" t="s">
        <v>263</v>
      </c>
      <c r="BR51" t="s">
        <v>84</v>
      </c>
      <c r="BS51" s="3">
        <v>43773</v>
      </c>
      <c r="BT51" s="5">
        <v>0.35833333333333334</v>
      </c>
      <c r="BU51" t="s">
        <v>264</v>
      </c>
      <c r="BV51" t="s">
        <v>86</v>
      </c>
      <c r="BY51">
        <v>15098.62</v>
      </c>
      <c r="CA51" t="s">
        <v>244</v>
      </c>
      <c r="CC51" t="s">
        <v>107</v>
      </c>
      <c r="CD51">
        <v>6045</v>
      </c>
      <c r="CE51" t="s">
        <v>88</v>
      </c>
      <c r="CF51" s="3">
        <v>43774</v>
      </c>
      <c r="CI51">
        <v>1</v>
      </c>
      <c r="CJ51">
        <v>1</v>
      </c>
      <c r="CK51">
        <v>21</v>
      </c>
      <c r="CL51" t="s">
        <v>89</v>
      </c>
    </row>
    <row r="52" spans="1:90">
      <c r="A52" t="s">
        <v>72</v>
      </c>
      <c r="B52" t="s">
        <v>73</v>
      </c>
      <c r="C52" t="s">
        <v>74</v>
      </c>
      <c r="E52" t="str">
        <f>"FES1162720770"</f>
        <v>FES1162720770</v>
      </c>
      <c r="F52" s="3">
        <v>43770</v>
      </c>
      <c r="G52">
        <v>202005</v>
      </c>
      <c r="H52" t="s">
        <v>75</v>
      </c>
      <c r="I52" t="s">
        <v>76</v>
      </c>
      <c r="J52" t="s">
        <v>77</v>
      </c>
      <c r="K52" t="s">
        <v>78</v>
      </c>
      <c r="L52" t="s">
        <v>176</v>
      </c>
      <c r="M52" t="s">
        <v>177</v>
      </c>
      <c r="N52" t="s">
        <v>265</v>
      </c>
      <c r="O52" t="s">
        <v>82</v>
      </c>
      <c r="P52" t="str">
        <f>"2170715149                    "</f>
        <v xml:space="preserve">2170715149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8.7899999999999991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1.6</v>
      </c>
      <c r="BK52">
        <v>2</v>
      </c>
      <c r="BL52" s="4">
        <v>50.66</v>
      </c>
      <c r="BM52" s="4">
        <v>7.6</v>
      </c>
      <c r="BN52" s="4">
        <v>58.26</v>
      </c>
      <c r="BO52" s="4">
        <v>58.26</v>
      </c>
      <c r="BQ52" t="s">
        <v>266</v>
      </c>
      <c r="BR52" t="s">
        <v>84</v>
      </c>
      <c r="BS52" s="3">
        <v>43773</v>
      </c>
      <c r="BT52" s="5">
        <v>0.38958333333333334</v>
      </c>
      <c r="BU52" t="s">
        <v>267</v>
      </c>
      <c r="BV52" t="s">
        <v>86</v>
      </c>
      <c r="BY52">
        <v>8213.4</v>
      </c>
      <c r="BZ52" t="s">
        <v>27</v>
      </c>
      <c r="CA52" t="s">
        <v>180</v>
      </c>
      <c r="CC52" t="s">
        <v>177</v>
      </c>
      <c r="CD52">
        <v>3610</v>
      </c>
      <c r="CE52" t="s">
        <v>88</v>
      </c>
      <c r="CF52" s="3">
        <v>43774</v>
      </c>
      <c r="CI52">
        <v>1</v>
      </c>
      <c r="CJ52">
        <v>1</v>
      </c>
      <c r="CK52">
        <v>21</v>
      </c>
      <c r="CL52" t="s">
        <v>89</v>
      </c>
    </row>
    <row r="53" spans="1:90">
      <c r="A53" t="s">
        <v>72</v>
      </c>
      <c r="B53" t="s">
        <v>73</v>
      </c>
      <c r="C53" t="s">
        <v>74</v>
      </c>
      <c r="E53" t="str">
        <f>"FES1162720778"</f>
        <v>FES1162720778</v>
      </c>
      <c r="F53" s="3">
        <v>43770</v>
      </c>
      <c r="G53">
        <v>202005</v>
      </c>
      <c r="H53" t="s">
        <v>75</v>
      </c>
      <c r="I53" t="s">
        <v>76</v>
      </c>
      <c r="J53" t="s">
        <v>77</v>
      </c>
      <c r="K53" t="s">
        <v>78</v>
      </c>
      <c r="L53" t="s">
        <v>164</v>
      </c>
      <c r="M53" t="s">
        <v>165</v>
      </c>
      <c r="N53" t="s">
        <v>166</v>
      </c>
      <c r="O53" t="s">
        <v>82</v>
      </c>
      <c r="P53" t="str">
        <f>"217071519                     "</f>
        <v xml:space="preserve">217071519 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17.04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1.1000000000000001</v>
      </c>
      <c r="BJ53">
        <v>1.8</v>
      </c>
      <c r="BK53">
        <v>2</v>
      </c>
      <c r="BL53" s="4">
        <v>98.16</v>
      </c>
      <c r="BM53" s="4">
        <v>14.72</v>
      </c>
      <c r="BN53" s="4">
        <v>112.88</v>
      </c>
      <c r="BO53" s="4">
        <v>112.88</v>
      </c>
      <c r="BQ53" t="s">
        <v>121</v>
      </c>
      <c r="BR53" t="s">
        <v>84</v>
      </c>
      <c r="BS53" s="3">
        <v>43773</v>
      </c>
      <c r="BT53" s="5">
        <v>0.5</v>
      </c>
      <c r="BU53" t="s">
        <v>167</v>
      </c>
      <c r="BV53" t="s">
        <v>86</v>
      </c>
      <c r="BY53">
        <v>9004.32</v>
      </c>
      <c r="CA53" t="s">
        <v>168</v>
      </c>
      <c r="CC53" t="s">
        <v>165</v>
      </c>
      <c r="CD53">
        <v>3370</v>
      </c>
      <c r="CE53" t="s">
        <v>88</v>
      </c>
      <c r="CF53" s="3">
        <v>43775</v>
      </c>
      <c r="CI53">
        <v>3</v>
      </c>
      <c r="CJ53">
        <v>1</v>
      </c>
      <c r="CK53">
        <v>23</v>
      </c>
      <c r="CL53" t="s">
        <v>89</v>
      </c>
    </row>
    <row r="54" spans="1:90">
      <c r="A54" t="s">
        <v>72</v>
      </c>
      <c r="B54" t="s">
        <v>73</v>
      </c>
      <c r="C54" t="s">
        <v>74</v>
      </c>
      <c r="E54" t="str">
        <f>"FES1162720789"</f>
        <v>FES1162720789</v>
      </c>
      <c r="F54" s="3">
        <v>43770</v>
      </c>
      <c r="G54">
        <v>202005</v>
      </c>
      <c r="H54" t="s">
        <v>75</v>
      </c>
      <c r="I54" t="s">
        <v>76</v>
      </c>
      <c r="J54" t="s">
        <v>77</v>
      </c>
      <c r="K54" t="s">
        <v>78</v>
      </c>
      <c r="L54" t="s">
        <v>112</v>
      </c>
      <c r="M54" t="s">
        <v>113</v>
      </c>
      <c r="N54" t="s">
        <v>268</v>
      </c>
      <c r="O54" t="s">
        <v>82</v>
      </c>
      <c r="P54" t="str">
        <f>"2170715171                    "</f>
        <v xml:space="preserve">2170715171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8.7899999999999991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1.8</v>
      </c>
      <c r="BJ54">
        <v>0.9</v>
      </c>
      <c r="BK54">
        <v>2</v>
      </c>
      <c r="BL54" s="4">
        <v>50.66</v>
      </c>
      <c r="BM54" s="4">
        <v>7.6</v>
      </c>
      <c r="BN54" s="4">
        <v>58.26</v>
      </c>
      <c r="BO54" s="4">
        <v>58.26</v>
      </c>
      <c r="BQ54" t="s">
        <v>109</v>
      </c>
      <c r="BR54" t="s">
        <v>84</v>
      </c>
      <c r="BS54" s="3">
        <v>43773</v>
      </c>
      <c r="BT54" s="5">
        <v>0.39861111111111108</v>
      </c>
      <c r="BU54" t="s">
        <v>269</v>
      </c>
      <c r="BV54" t="s">
        <v>86</v>
      </c>
      <c r="BY54">
        <v>4525.63</v>
      </c>
      <c r="CA54" t="s">
        <v>255</v>
      </c>
      <c r="CC54" t="s">
        <v>113</v>
      </c>
      <c r="CD54">
        <v>4001</v>
      </c>
      <c r="CE54" t="s">
        <v>88</v>
      </c>
      <c r="CF54" s="3">
        <v>43774</v>
      </c>
      <c r="CI54">
        <v>1</v>
      </c>
      <c r="CJ54">
        <v>1</v>
      </c>
      <c r="CK54">
        <v>21</v>
      </c>
      <c r="CL54" t="s">
        <v>89</v>
      </c>
    </row>
    <row r="55" spans="1:90">
      <c r="A55" t="s">
        <v>72</v>
      </c>
      <c r="B55" t="s">
        <v>73</v>
      </c>
      <c r="C55" t="s">
        <v>74</v>
      </c>
      <c r="E55" t="str">
        <f>"FES1162720772"</f>
        <v>FES1162720772</v>
      </c>
      <c r="F55" s="3">
        <v>43770</v>
      </c>
      <c r="G55">
        <v>202005</v>
      </c>
      <c r="H55" t="s">
        <v>75</v>
      </c>
      <c r="I55" t="s">
        <v>76</v>
      </c>
      <c r="J55" t="s">
        <v>77</v>
      </c>
      <c r="K55" t="s">
        <v>78</v>
      </c>
      <c r="L55" t="s">
        <v>112</v>
      </c>
      <c r="M55" t="s">
        <v>113</v>
      </c>
      <c r="N55" t="s">
        <v>160</v>
      </c>
      <c r="O55" t="s">
        <v>82</v>
      </c>
      <c r="P55" t="str">
        <f>"2170715151                    "</f>
        <v xml:space="preserve">2170715151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10.99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2.2000000000000002</v>
      </c>
      <c r="BK55">
        <v>2.5</v>
      </c>
      <c r="BL55" s="4">
        <v>63.32</v>
      </c>
      <c r="BM55" s="4">
        <v>9.5</v>
      </c>
      <c r="BN55" s="4">
        <v>72.819999999999993</v>
      </c>
      <c r="BO55" s="4">
        <v>72.819999999999993</v>
      </c>
      <c r="BQ55" t="s">
        <v>161</v>
      </c>
      <c r="BR55" t="s">
        <v>84</v>
      </c>
      <c r="BS55" s="3">
        <v>43773</v>
      </c>
      <c r="BT55" s="5">
        <v>0.32916666666666666</v>
      </c>
      <c r="BU55" t="s">
        <v>162</v>
      </c>
      <c r="BV55" t="s">
        <v>86</v>
      </c>
      <c r="BY55">
        <v>11017.5</v>
      </c>
      <c r="BZ55" t="s">
        <v>27</v>
      </c>
      <c r="CA55" t="s">
        <v>163</v>
      </c>
      <c r="CC55" t="s">
        <v>113</v>
      </c>
      <c r="CD55">
        <v>4000</v>
      </c>
      <c r="CE55" t="s">
        <v>88</v>
      </c>
      <c r="CF55" s="3">
        <v>43774</v>
      </c>
      <c r="CI55">
        <v>1</v>
      </c>
      <c r="CJ55">
        <v>1</v>
      </c>
      <c r="CK55">
        <v>21</v>
      </c>
      <c r="CL55" t="s">
        <v>89</v>
      </c>
    </row>
    <row r="56" spans="1:90">
      <c r="A56" t="s">
        <v>72</v>
      </c>
      <c r="B56" t="s">
        <v>73</v>
      </c>
      <c r="C56" t="s">
        <v>74</v>
      </c>
      <c r="E56" t="str">
        <f>"FES1162720703"</f>
        <v>FES1162720703</v>
      </c>
      <c r="F56" s="3">
        <v>43770</v>
      </c>
      <c r="G56">
        <v>202005</v>
      </c>
      <c r="H56" t="s">
        <v>75</v>
      </c>
      <c r="I56" t="s">
        <v>76</v>
      </c>
      <c r="J56" t="s">
        <v>77</v>
      </c>
      <c r="K56" t="s">
        <v>78</v>
      </c>
      <c r="L56" t="s">
        <v>270</v>
      </c>
      <c r="M56" t="s">
        <v>271</v>
      </c>
      <c r="N56" t="s">
        <v>272</v>
      </c>
      <c r="O56" t="s">
        <v>82</v>
      </c>
      <c r="P56" t="str">
        <f>"2170715077                    "</f>
        <v xml:space="preserve">2170715077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15.38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0.8</v>
      </c>
      <c r="BJ56">
        <v>3.1</v>
      </c>
      <c r="BK56">
        <v>3.5</v>
      </c>
      <c r="BL56" s="4">
        <v>88.63</v>
      </c>
      <c r="BM56" s="4">
        <v>13.29</v>
      </c>
      <c r="BN56" s="4">
        <v>101.92</v>
      </c>
      <c r="BO56" s="4">
        <v>101.92</v>
      </c>
      <c r="BQ56" t="s">
        <v>273</v>
      </c>
      <c r="BR56" t="s">
        <v>84</v>
      </c>
      <c r="BS56" s="3">
        <v>43773</v>
      </c>
      <c r="BT56" s="5">
        <v>0.43124999999999997</v>
      </c>
      <c r="BU56" t="s">
        <v>274</v>
      </c>
      <c r="BV56" t="s">
        <v>86</v>
      </c>
      <c r="BY56">
        <v>15481.88</v>
      </c>
      <c r="CA56" t="s">
        <v>275</v>
      </c>
      <c r="CC56" t="s">
        <v>271</v>
      </c>
      <c r="CD56">
        <v>6220</v>
      </c>
      <c r="CE56" t="s">
        <v>88</v>
      </c>
      <c r="CF56" s="3">
        <v>43774</v>
      </c>
      <c r="CI56">
        <v>1</v>
      </c>
      <c r="CJ56">
        <v>1</v>
      </c>
      <c r="CK56">
        <v>21</v>
      </c>
      <c r="CL56" t="s">
        <v>89</v>
      </c>
    </row>
    <row r="57" spans="1:90">
      <c r="A57" t="s">
        <v>72</v>
      </c>
      <c r="B57" t="s">
        <v>73</v>
      </c>
      <c r="C57" t="s">
        <v>74</v>
      </c>
      <c r="E57" t="str">
        <f>"FES1162720740"</f>
        <v>FES1162720740</v>
      </c>
      <c r="F57" s="3">
        <v>43770</v>
      </c>
      <c r="G57">
        <v>202005</v>
      </c>
      <c r="H57" t="s">
        <v>75</v>
      </c>
      <c r="I57" t="s">
        <v>76</v>
      </c>
      <c r="J57" t="s">
        <v>77</v>
      </c>
      <c r="K57" t="s">
        <v>78</v>
      </c>
      <c r="L57" t="s">
        <v>112</v>
      </c>
      <c r="M57" t="s">
        <v>113</v>
      </c>
      <c r="N57" t="s">
        <v>160</v>
      </c>
      <c r="O57" t="s">
        <v>82</v>
      </c>
      <c r="P57" t="str">
        <f>"2170715115                    "</f>
        <v xml:space="preserve">2170715115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8.7899999999999991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1.2</v>
      </c>
      <c r="BK57">
        <v>1.5</v>
      </c>
      <c r="BL57" s="4">
        <v>50.66</v>
      </c>
      <c r="BM57" s="4">
        <v>7.6</v>
      </c>
      <c r="BN57" s="4">
        <v>58.26</v>
      </c>
      <c r="BO57" s="4">
        <v>58.26</v>
      </c>
      <c r="BQ57" t="s">
        <v>161</v>
      </c>
      <c r="BR57" t="s">
        <v>84</v>
      </c>
      <c r="BS57" s="3">
        <v>43773</v>
      </c>
      <c r="BT57" s="5">
        <v>0.32916666666666666</v>
      </c>
      <c r="BU57" t="s">
        <v>162</v>
      </c>
      <c r="BV57" t="s">
        <v>86</v>
      </c>
      <c r="BY57">
        <v>5775</v>
      </c>
      <c r="BZ57" t="s">
        <v>27</v>
      </c>
      <c r="CA57" t="s">
        <v>163</v>
      </c>
      <c r="CC57" t="s">
        <v>113</v>
      </c>
      <c r="CD57">
        <v>4000</v>
      </c>
      <c r="CE57" t="s">
        <v>88</v>
      </c>
      <c r="CF57" s="3">
        <v>43774</v>
      </c>
      <c r="CI57">
        <v>1</v>
      </c>
      <c r="CJ57">
        <v>1</v>
      </c>
      <c r="CK57">
        <v>21</v>
      </c>
      <c r="CL57" t="s">
        <v>89</v>
      </c>
    </row>
    <row r="58" spans="1:90">
      <c r="A58" t="s">
        <v>72</v>
      </c>
      <c r="B58" t="s">
        <v>73</v>
      </c>
      <c r="C58" t="s">
        <v>74</v>
      </c>
      <c r="E58" t="str">
        <f>"FES1162720835"</f>
        <v>FES1162720835</v>
      </c>
      <c r="F58" s="3">
        <v>43770</v>
      </c>
      <c r="G58">
        <v>202005</v>
      </c>
      <c r="H58" t="s">
        <v>75</v>
      </c>
      <c r="I58" t="s">
        <v>76</v>
      </c>
      <c r="J58" t="s">
        <v>77</v>
      </c>
      <c r="K58" t="s">
        <v>78</v>
      </c>
      <c r="L58" t="s">
        <v>133</v>
      </c>
      <c r="M58" t="s">
        <v>134</v>
      </c>
      <c r="N58" t="s">
        <v>276</v>
      </c>
      <c r="O58" t="s">
        <v>82</v>
      </c>
      <c r="P58" t="str">
        <f>"2170715212                    "</f>
        <v xml:space="preserve">2170715212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10.99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2.2999999999999998</v>
      </c>
      <c r="BJ58">
        <v>1.6</v>
      </c>
      <c r="BK58">
        <v>2.5</v>
      </c>
      <c r="BL58" s="4">
        <v>63.32</v>
      </c>
      <c r="BM58" s="4">
        <v>9.5</v>
      </c>
      <c r="BN58" s="4">
        <v>72.819999999999993</v>
      </c>
      <c r="BO58" s="4">
        <v>72.819999999999993</v>
      </c>
      <c r="BQ58" t="s">
        <v>109</v>
      </c>
      <c r="BR58" t="s">
        <v>84</v>
      </c>
      <c r="BS58" s="3">
        <v>43774</v>
      </c>
      <c r="BT58" s="5">
        <v>0.41666666666666669</v>
      </c>
      <c r="BU58" t="s">
        <v>277</v>
      </c>
      <c r="BV58" t="s">
        <v>89</v>
      </c>
      <c r="BW58" t="s">
        <v>144</v>
      </c>
      <c r="BX58" t="s">
        <v>278</v>
      </c>
      <c r="BY58">
        <v>8001.99</v>
      </c>
      <c r="CA58" t="s">
        <v>279</v>
      </c>
      <c r="CC58" t="s">
        <v>134</v>
      </c>
      <c r="CD58">
        <v>5200</v>
      </c>
      <c r="CE58" t="s">
        <v>88</v>
      </c>
      <c r="CF58" s="3">
        <v>43775</v>
      </c>
      <c r="CI58">
        <v>1</v>
      </c>
      <c r="CJ58">
        <v>2</v>
      </c>
      <c r="CK58">
        <v>21</v>
      </c>
      <c r="CL58" t="s">
        <v>89</v>
      </c>
    </row>
    <row r="59" spans="1:90">
      <c r="A59" t="s">
        <v>72</v>
      </c>
      <c r="B59" t="s">
        <v>73</v>
      </c>
      <c r="C59" t="s">
        <v>74</v>
      </c>
      <c r="E59" t="str">
        <f>"FES1162720817"</f>
        <v>FES1162720817</v>
      </c>
      <c r="F59" s="3">
        <v>43770</v>
      </c>
      <c r="G59">
        <v>202005</v>
      </c>
      <c r="H59" t="s">
        <v>75</v>
      </c>
      <c r="I59" t="s">
        <v>76</v>
      </c>
      <c r="J59" t="s">
        <v>77</v>
      </c>
      <c r="K59" t="s">
        <v>78</v>
      </c>
      <c r="L59" t="s">
        <v>270</v>
      </c>
      <c r="M59" t="s">
        <v>271</v>
      </c>
      <c r="N59" t="s">
        <v>272</v>
      </c>
      <c r="O59" t="s">
        <v>82</v>
      </c>
      <c r="P59" t="str">
        <f>"2170715077                    "</f>
        <v xml:space="preserve">2170715077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13.19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2.7</v>
      </c>
      <c r="BJ59">
        <v>1.5</v>
      </c>
      <c r="BK59">
        <v>3</v>
      </c>
      <c r="BL59" s="4">
        <v>75.98</v>
      </c>
      <c r="BM59" s="4">
        <v>11.4</v>
      </c>
      <c r="BN59" s="4">
        <v>87.38</v>
      </c>
      <c r="BO59" s="4">
        <v>87.38</v>
      </c>
      <c r="BQ59" t="s">
        <v>121</v>
      </c>
      <c r="BR59" t="s">
        <v>84</v>
      </c>
      <c r="BS59" s="3">
        <v>43773</v>
      </c>
      <c r="BT59" s="5">
        <v>0.43124999999999997</v>
      </c>
      <c r="BU59" t="s">
        <v>274</v>
      </c>
      <c r="BV59" t="s">
        <v>86</v>
      </c>
      <c r="BY59">
        <v>7709.33</v>
      </c>
      <c r="CA59" t="s">
        <v>275</v>
      </c>
      <c r="CC59" t="s">
        <v>271</v>
      </c>
      <c r="CD59">
        <v>6220</v>
      </c>
      <c r="CE59" t="s">
        <v>88</v>
      </c>
      <c r="CF59" s="3">
        <v>43774</v>
      </c>
      <c r="CI59">
        <v>1</v>
      </c>
      <c r="CJ59">
        <v>1</v>
      </c>
      <c r="CK59">
        <v>21</v>
      </c>
      <c r="CL59" t="s">
        <v>89</v>
      </c>
    </row>
    <row r="60" spans="1:90">
      <c r="A60" t="s">
        <v>72</v>
      </c>
      <c r="B60" t="s">
        <v>73</v>
      </c>
      <c r="C60" t="s">
        <v>74</v>
      </c>
      <c r="E60" t="str">
        <f>"FES1162720505"</f>
        <v>FES1162720505</v>
      </c>
      <c r="F60" s="3">
        <v>43769</v>
      </c>
      <c r="G60">
        <v>202005</v>
      </c>
      <c r="H60" t="s">
        <v>75</v>
      </c>
      <c r="I60" t="s">
        <v>76</v>
      </c>
      <c r="J60" t="s">
        <v>211</v>
      </c>
      <c r="K60" t="s">
        <v>78</v>
      </c>
      <c r="L60" t="s">
        <v>280</v>
      </c>
      <c r="M60" t="s">
        <v>102</v>
      </c>
      <c r="N60" t="s">
        <v>281</v>
      </c>
      <c r="O60" t="s">
        <v>282</v>
      </c>
      <c r="P60" t="str">
        <f>"2170714917                    "</f>
        <v xml:space="preserve">2170714917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15.11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3.6</v>
      </c>
      <c r="BJ60">
        <v>3.5</v>
      </c>
      <c r="BK60">
        <v>4</v>
      </c>
      <c r="BL60" s="4">
        <v>92.07</v>
      </c>
      <c r="BM60" s="4">
        <v>13.81</v>
      </c>
      <c r="BN60" s="4">
        <v>105.88</v>
      </c>
      <c r="BO60" s="4">
        <v>105.88</v>
      </c>
      <c r="BQ60" t="s">
        <v>121</v>
      </c>
      <c r="BR60" t="s">
        <v>212</v>
      </c>
      <c r="BS60" s="3">
        <v>43770</v>
      </c>
      <c r="BT60" s="5">
        <v>0.39583333333333331</v>
      </c>
      <c r="BU60" t="s">
        <v>283</v>
      </c>
      <c r="BV60" t="s">
        <v>86</v>
      </c>
      <c r="BY60">
        <v>17510.400000000001</v>
      </c>
      <c r="CA60" t="s">
        <v>284</v>
      </c>
      <c r="CC60" t="s">
        <v>102</v>
      </c>
      <c r="CD60">
        <v>1</v>
      </c>
      <c r="CE60" t="s">
        <v>88</v>
      </c>
      <c r="CF60" s="3">
        <v>43773</v>
      </c>
      <c r="CI60">
        <v>0</v>
      </c>
      <c r="CJ60">
        <v>0</v>
      </c>
      <c r="CK60" t="s">
        <v>285</v>
      </c>
      <c r="CL60" t="s">
        <v>89</v>
      </c>
    </row>
    <row r="61" spans="1:90">
      <c r="A61" t="s">
        <v>72</v>
      </c>
      <c r="B61" t="s">
        <v>73</v>
      </c>
      <c r="C61" t="s">
        <v>74</v>
      </c>
      <c r="E61" t="str">
        <f>"009939460142"</f>
        <v>009939460142</v>
      </c>
      <c r="F61" s="3">
        <v>43769</v>
      </c>
      <c r="G61">
        <v>202005</v>
      </c>
      <c r="H61" t="s">
        <v>118</v>
      </c>
      <c r="I61" t="s">
        <v>119</v>
      </c>
      <c r="J61" t="s">
        <v>286</v>
      </c>
      <c r="K61" t="s">
        <v>78</v>
      </c>
      <c r="L61" t="s">
        <v>75</v>
      </c>
      <c r="M61" t="s">
        <v>76</v>
      </c>
      <c r="N61" t="s">
        <v>211</v>
      </c>
      <c r="O61" t="s">
        <v>282</v>
      </c>
      <c r="P61" t="str">
        <f>"                              "</f>
        <v xml:space="preserve">          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16.489999999999998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4.4000000000000004</v>
      </c>
      <c r="BJ61">
        <v>2.5</v>
      </c>
      <c r="BK61">
        <v>5</v>
      </c>
      <c r="BL61" s="4">
        <v>99.99</v>
      </c>
      <c r="BM61" s="4">
        <v>15</v>
      </c>
      <c r="BN61" s="4">
        <v>114.99</v>
      </c>
      <c r="BO61" s="4">
        <v>114.99</v>
      </c>
      <c r="BR61" t="s">
        <v>287</v>
      </c>
      <c r="BS61" s="3">
        <v>43770</v>
      </c>
      <c r="BT61" s="5">
        <v>0.3923611111111111</v>
      </c>
      <c r="BU61" t="s">
        <v>288</v>
      </c>
      <c r="BV61" t="s">
        <v>86</v>
      </c>
      <c r="BY61">
        <v>12328.4</v>
      </c>
      <c r="CA61" t="s">
        <v>198</v>
      </c>
      <c r="CC61" t="s">
        <v>76</v>
      </c>
      <c r="CD61">
        <v>1600</v>
      </c>
      <c r="CE61" t="s">
        <v>88</v>
      </c>
      <c r="CF61" s="3">
        <v>43773</v>
      </c>
      <c r="CI61">
        <v>1</v>
      </c>
      <c r="CJ61">
        <v>1</v>
      </c>
      <c r="CK61" t="s">
        <v>289</v>
      </c>
      <c r="CL61" t="s">
        <v>89</v>
      </c>
    </row>
    <row r="62" spans="1:90">
      <c r="A62" t="s">
        <v>72</v>
      </c>
      <c r="B62" t="s">
        <v>73</v>
      </c>
      <c r="C62" t="s">
        <v>74</v>
      </c>
      <c r="E62" t="str">
        <f>"FES1162721845"</f>
        <v>FES1162721845</v>
      </c>
      <c r="F62" s="3">
        <v>43776</v>
      </c>
      <c r="G62">
        <v>202005</v>
      </c>
      <c r="H62" t="s">
        <v>75</v>
      </c>
      <c r="I62" t="s">
        <v>76</v>
      </c>
      <c r="J62" t="s">
        <v>77</v>
      </c>
      <c r="K62" t="s">
        <v>78</v>
      </c>
      <c r="L62" t="s">
        <v>90</v>
      </c>
      <c r="M62" t="s">
        <v>91</v>
      </c>
      <c r="N62" t="s">
        <v>290</v>
      </c>
      <c r="O62" t="s">
        <v>82</v>
      </c>
      <c r="P62" t="str">
        <f>"2170716046                    "</f>
        <v xml:space="preserve">2170716046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8.58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 s="4">
        <v>50.45</v>
      </c>
      <c r="BM62" s="4">
        <v>7.57</v>
      </c>
      <c r="BN62" s="4">
        <v>58.02</v>
      </c>
      <c r="BO62" s="4">
        <v>58.02</v>
      </c>
      <c r="BQ62" t="s">
        <v>109</v>
      </c>
      <c r="BR62" t="s">
        <v>84</v>
      </c>
      <c r="BS62" s="3">
        <v>43777</v>
      </c>
      <c r="BT62" s="5">
        <v>0.31805555555555554</v>
      </c>
      <c r="BU62" t="s">
        <v>291</v>
      </c>
      <c r="BV62" t="s">
        <v>86</v>
      </c>
      <c r="BY62">
        <v>1200</v>
      </c>
      <c r="CA62" t="s">
        <v>140</v>
      </c>
      <c r="CC62" t="s">
        <v>91</v>
      </c>
      <c r="CD62">
        <v>7530</v>
      </c>
      <c r="CE62" t="s">
        <v>147</v>
      </c>
      <c r="CF62" s="3">
        <v>43780</v>
      </c>
      <c r="CI62">
        <v>1</v>
      </c>
      <c r="CJ62">
        <v>1</v>
      </c>
      <c r="CK62">
        <v>21</v>
      </c>
      <c r="CL62" t="s">
        <v>89</v>
      </c>
    </row>
    <row r="63" spans="1:90">
      <c r="A63" t="s">
        <v>72</v>
      </c>
      <c r="B63" t="s">
        <v>73</v>
      </c>
      <c r="C63" t="s">
        <v>74</v>
      </c>
      <c r="E63" t="str">
        <f>"FES1162720707"</f>
        <v>FES1162720707</v>
      </c>
      <c r="F63" s="3">
        <v>43770</v>
      </c>
      <c r="G63">
        <v>202005</v>
      </c>
      <c r="H63" t="s">
        <v>75</v>
      </c>
      <c r="I63" t="s">
        <v>76</v>
      </c>
      <c r="J63" t="s">
        <v>77</v>
      </c>
      <c r="K63" t="s">
        <v>78</v>
      </c>
      <c r="L63" t="s">
        <v>292</v>
      </c>
      <c r="M63" t="s">
        <v>293</v>
      </c>
      <c r="N63" t="s">
        <v>294</v>
      </c>
      <c r="O63" t="s">
        <v>82</v>
      </c>
      <c r="P63" t="str">
        <f>"2170715081                    "</f>
        <v xml:space="preserve">2170715081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17.04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0.2</v>
      </c>
      <c r="BJ63">
        <v>1.1000000000000001</v>
      </c>
      <c r="BK63">
        <v>1.5</v>
      </c>
      <c r="BL63" s="4">
        <v>98.16</v>
      </c>
      <c r="BM63" s="4">
        <v>14.72</v>
      </c>
      <c r="BN63" s="4">
        <v>112.88</v>
      </c>
      <c r="BO63" s="4">
        <v>112.88</v>
      </c>
      <c r="BQ63" t="s">
        <v>121</v>
      </c>
      <c r="BR63" t="s">
        <v>84</v>
      </c>
      <c r="BS63" s="3">
        <v>43773</v>
      </c>
      <c r="BT63" s="5">
        <v>0.41666666666666669</v>
      </c>
      <c r="BU63" t="s">
        <v>295</v>
      </c>
      <c r="BV63" t="s">
        <v>86</v>
      </c>
      <c r="BY63">
        <v>5506.29</v>
      </c>
      <c r="CC63" t="s">
        <v>293</v>
      </c>
      <c r="CD63">
        <v>1947</v>
      </c>
      <c r="CE63" t="s">
        <v>88</v>
      </c>
      <c r="CF63" s="3">
        <v>43774</v>
      </c>
      <c r="CI63">
        <v>1</v>
      </c>
      <c r="CJ63">
        <v>1</v>
      </c>
      <c r="CK63">
        <v>23</v>
      </c>
      <c r="CL63" t="s">
        <v>89</v>
      </c>
    </row>
    <row r="64" spans="1:90">
      <c r="A64" t="s">
        <v>72</v>
      </c>
      <c r="B64" t="s">
        <v>73</v>
      </c>
      <c r="C64" t="s">
        <v>74</v>
      </c>
      <c r="E64" t="str">
        <f>"FES1162720785"</f>
        <v>FES1162720785</v>
      </c>
      <c r="F64" s="3">
        <v>43770</v>
      </c>
      <c r="G64">
        <v>202005</v>
      </c>
      <c r="H64" t="s">
        <v>75</v>
      </c>
      <c r="I64" t="s">
        <v>76</v>
      </c>
      <c r="J64" t="s">
        <v>77</v>
      </c>
      <c r="K64" t="s">
        <v>78</v>
      </c>
      <c r="L64" t="s">
        <v>112</v>
      </c>
      <c r="M64" t="s">
        <v>113</v>
      </c>
      <c r="N64" t="s">
        <v>160</v>
      </c>
      <c r="O64" t="s">
        <v>82</v>
      </c>
      <c r="P64" t="str">
        <f>"2170715163                    "</f>
        <v xml:space="preserve">2170715163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13.19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3</v>
      </c>
      <c r="BJ64">
        <v>1</v>
      </c>
      <c r="BK64">
        <v>3</v>
      </c>
      <c r="BL64" s="4">
        <v>75.98</v>
      </c>
      <c r="BM64" s="4">
        <v>11.4</v>
      </c>
      <c r="BN64" s="4">
        <v>87.38</v>
      </c>
      <c r="BO64" s="4">
        <v>87.38</v>
      </c>
      <c r="BQ64" t="s">
        <v>161</v>
      </c>
      <c r="BR64" t="s">
        <v>84</v>
      </c>
      <c r="BS64" s="3">
        <v>43773</v>
      </c>
      <c r="BT64" s="5">
        <v>0.32916666666666666</v>
      </c>
      <c r="BU64" t="s">
        <v>162</v>
      </c>
      <c r="BV64" t="s">
        <v>86</v>
      </c>
      <c r="BY64">
        <v>5048.96</v>
      </c>
      <c r="BZ64" t="s">
        <v>27</v>
      </c>
      <c r="CA64" t="s">
        <v>163</v>
      </c>
      <c r="CC64" t="s">
        <v>113</v>
      </c>
      <c r="CD64">
        <v>4000</v>
      </c>
      <c r="CE64" t="s">
        <v>88</v>
      </c>
      <c r="CF64" s="3">
        <v>43774</v>
      </c>
      <c r="CI64">
        <v>1</v>
      </c>
      <c r="CJ64">
        <v>1</v>
      </c>
      <c r="CK64">
        <v>21</v>
      </c>
      <c r="CL64" t="s">
        <v>89</v>
      </c>
    </row>
    <row r="65" spans="1:90">
      <c r="A65" t="s">
        <v>72</v>
      </c>
      <c r="B65" t="s">
        <v>73</v>
      </c>
      <c r="C65" t="s">
        <v>74</v>
      </c>
      <c r="E65" t="str">
        <f>"FES1162720655"</f>
        <v>FES1162720655</v>
      </c>
      <c r="F65" s="3">
        <v>43770</v>
      </c>
      <c r="G65">
        <v>202005</v>
      </c>
      <c r="H65" t="s">
        <v>75</v>
      </c>
      <c r="I65" t="s">
        <v>76</v>
      </c>
      <c r="J65" t="s">
        <v>77</v>
      </c>
      <c r="K65" t="s">
        <v>78</v>
      </c>
      <c r="L65" t="s">
        <v>296</v>
      </c>
      <c r="M65" t="s">
        <v>297</v>
      </c>
      <c r="N65" t="s">
        <v>298</v>
      </c>
      <c r="O65" t="s">
        <v>82</v>
      </c>
      <c r="P65" t="str">
        <f>"2170713047                    "</f>
        <v xml:space="preserve">2170713047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17.04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1.4</v>
      </c>
      <c r="BJ65">
        <v>1.9</v>
      </c>
      <c r="BK65">
        <v>2</v>
      </c>
      <c r="BL65" s="4">
        <v>98.16</v>
      </c>
      <c r="BM65" s="4">
        <v>14.72</v>
      </c>
      <c r="BN65" s="4">
        <v>112.88</v>
      </c>
      <c r="BO65" s="4">
        <v>112.88</v>
      </c>
      <c r="BQ65" t="s">
        <v>121</v>
      </c>
      <c r="BR65" t="s">
        <v>84</v>
      </c>
      <c r="BS65" s="3">
        <v>43774</v>
      </c>
      <c r="BT65" s="5">
        <v>0.43263888888888885</v>
      </c>
      <c r="BU65" t="s">
        <v>299</v>
      </c>
      <c r="BV65" t="s">
        <v>86</v>
      </c>
      <c r="BY65">
        <v>9649.2000000000007</v>
      </c>
      <c r="CA65" t="s">
        <v>300</v>
      </c>
      <c r="CC65" t="s">
        <v>297</v>
      </c>
      <c r="CD65">
        <v>6849</v>
      </c>
      <c r="CE65" t="s">
        <v>88</v>
      </c>
      <c r="CF65" s="3">
        <v>43775</v>
      </c>
      <c r="CI65">
        <v>3</v>
      </c>
      <c r="CJ65">
        <v>2</v>
      </c>
      <c r="CK65">
        <v>23</v>
      </c>
      <c r="CL65" t="s">
        <v>89</v>
      </c>
    </row>
    <row r="66" spans="1:90">
      <c r="A66" t="s">
        <v>72</v>
      </c>
      <c r="B66" t="s">
        <v>73</v>
      </c>
      <c r="C66" t="s">
        <v>74</v>
      </c>
      <c r="E66" t="str">
        <f>"FES1162720679"</f>
        <v>FES1162720679</v>
      </c>
      <c r="F66" s="3">
        <v>43770</v>
      </c>
      <c r="G66">
        <v>202005</v>
      </c>
      <c r="H66" t="s">
        <v>75</v>
      </c>
      <c r="I66" t="s">
        <v>76</v>
      </c>
      <c r="J66" t="s">
        <v>77</v>
      </c>
      <c r="K66" t="s">
        <v>78</v>
      </c>
      <c r="L66" t="s">
        <v>106</v>
      </c>
      <c r="M66" t="s">
        <v>107</v>
      </c>
      <c r="N66" t="s">
        <v>301</v>
      </c>
      <c r="O66" t="s">
        <v>82</v>
      </c>
      <c r="P66" t="str">
        <f>"2170714541                    "</f>
        <v xml:space="preserve">2170714541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8.7899999999999991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0.2</v>
      </c>
      <c r="BJ66">
        <v>0.7</v>
      </c>
      <c r="BK66">
        <v>1</v>
      </c>
      <c r="BL66" s="4">
        <v>50.66</v>
      </c>
      <c r="BM66" s="4">
        <v>7.6</v>
      </c>
      <c r="BN66" s="4">
        <v>58.26</v>
      </c>
      <c r="BO66" s="4">
        <v>58.26</v>
      </c>
      <c r="BQ66" t="s">
        <v>302</v>
      </c>
      <c r="BR66" t="s">
        <v>84</v>
      </c>
      <c r="BS66" s="3">
        <v>43773</v>
      </c>
      <c r="BT66" s="5">
        <v>0.33333333333333331</v>
      </c>
      <c r="BU66" t="s">
        <v>303</v>
      </c>
      <c r="BV66" t="s">
        <v>86</v>
      </c>
      <c r="BY66">
        <v>3705.23</v>
      </c>
      <c r="CA66" t="s">
        <v>244</v>
      </c>
      <c r="CC66" t="s">
        <v>107</v>
      </c>
      <c r="CD66">
        <v>6001</v>
      </c>
      <c r="CE66" t="s">
        <v>88</v>
      </c>
      <c r="CF66" s="3">
        <v>43774</v>
      </c>
      <c r="CI66">
        <v>1</v>
      </c>
      <c r="CJ66">
        <v>1</v>
      </c>
      <c r="CK66">
        <v>21</v>
      </c>
      <c r="CL66" t="s">
        <v>89</v>
      </c>
    </row>
    <row r="67" spans="1:90">
      <c r="A67" t="s">
        <v>72</v>
      </c>
      <c r="B67" t="s">
        <v>73</v>
      </c>
      <c r="C67" t="s">
        <v>74</v>
      </c>
      <c r="E67" t="str">
        <f>"FES1162720663"</f>
        <v>FES1162720663</v>
      </c>
      <c r="F67" s="3">
        <v>43770</v>
      </c>
      <c r="G67">
        <v>202005</v>
      </c>
      <c r="H67" t="s">
        <v>75</v>
      </c>
      <c r="I67" t="s">
        <v>76</v>
      </c>
      <c r="J67" t="s">
        <v>77</v>
      </c>
      <c r="K67" t="s">
        <v>78</v>
      </c>
      <c r="L67" t="s">
        <v>304</v>
      </c>
      <c r="M67" t="s">
        <v>305</v>
      </c>
      <c r="N67" t="s">
        <v>306</v>
      </c>
      <c r="O67" t="s">
        <v>82</v>
      </c>
      <c r="P67" t="str">
        <f>"2170713209                    "</f>
        <v xml:space="preserve">2170713209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20.88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2</v>
      </c>
      <c r="BJ67">
        <v>2.2000000000000002</v>
      </c>
      <c r="BK67">
        <v>2.5</v>
      </c>
      <c r="BL67" s="4">
        <v>120.32</v>
      </c>
      <c r="BM67" s="4">
        <v>18.05</v>
      </c>
      <c r="BN67" s="4">
        <v>138.37</v>
      </c>
      <c r="BO67" s="4">
        <v>138.37</v>
      </c>
      <c r="BQ67" t="s">
        <v>121</v>
      </c>
      <c r="BR67" t="s">
        <v>84</v>
      </c>
      <c r="BS67" s="3">
        <v>43773</v>
      </c>
      <c r="BT67" s="5">
        <v>0.66805555555555562</v>
      </c>
      <c r="BU67" t="s">
        <v>307</v>
      </c>
      <c r="BV67" t="s">
        <v>86</v>
      </c>
      <c r="BY67">
        <v>10870.2</v>
      </c>
      <c r="CC67" t="s">
        <v>305</v>
      </c>
      <c r="CD67">
        <v>5605</v>
      </c>
      <c r="CE67" t="s">
        <v>88</v>
      </c>
      <c r="CF67" s="3">
        <v>43775</v>
      </c>
      <c r="CI67">
        <v>4</v>
      </c>
      <c r="CJ67">
        <v>1</v>
      </c>
      <c r="CK67">
        <v>23</v>
      </c>
      <c r="CL67" t="s">
        <v>89</v>
      </c>
    </row>
    <row r="68" spans="1:90">
      <c r="A68" t="s">
        <v>72</v>
      </c>
      <c r="B68" t="s">
        <v>73</v>
      </c>
      <c r="C68" t="s">
        <v>74</v>
      </c>
      <c r="E68" t="str">
        <f>"FES1162720677"</f>
        <v>FES1162720677</v>
      </c>
      <c r="F68" s="3">
        <v>43770</v>
      </c>
      <c r="G68">
        <v>202005</v>
      </c>
      <c r="H68" t="s">
        <v>75</v>
      </c>
      <c r="I68" t="s">
        <v>76</v>
      </c>
      <c r="J68" t="s">
        <v>77</v>
      </c>
      <c r="K68" t="s">
        <v>78</v>
      </c>
      <c r="L68" t="s">
        <v>106</v>
      </c>
      <c r="M68" t="s">
        <v>107</v>
      </c>
      <c r="N68" t="s">
        <v>308</v>
      </c>
      <c r="O68" t="s">
        <v>82</v>
      </c>
      <c r="P68" t="str">
        <f>"2170713970                    "</f>
        <v xml:space="preserve">2170713970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8.7899999999999991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0.2</v>
      </c>
      <c r="BJ68">
        <v>1.4</v>
      </c>
      <c r="BK68">
        <v>1.5</v>
      </c>
      <c r="BL68" s="4">
        <v>50.66</v>
      </c>
      <c r="BM68" s="4">
        <v>7.6</v>
      </c>
      <c r="BN68" s="4">
        <v>58.26</v>
      </c>
      <c r="BO68" s="4">
        <v>58.26</v>
      </c>
      <c r="BQ68" t="s">
        <v>121</v>
      </c>
      <c r="BR68" t="s">
        <v>84</v>
      </c>
      <c r="BS68" s="3">
        <v>43773</v>
      </c>
      <c r="BT68" s="5">
        <v>0.39861111111111108</v>
      </c>
      <c r="BU68" t="s">
        <v>309</v>
      </c>
      <c r="BV68" t="s">
        <v>86</v>
      </c>
      <c r="BY68">
        <v>6992.55</v>
      </c>
      <c r="CA68" t="s">
        <v>111</v>
      </c>
      <c r="CC68" t="s">
        <v>107</v>
      </c>
      <c r="CD68">
        <v>6001</v>
      </c>
      <c r="CE68" t="s">
        <v>88</v>
      </c>
      <c r="CF68" s="3">
        <v>43774</v>
      </c>
      <c r="CI68">
        <v>1</v>
      </c>
      <c r="CJ68">
        <v>1</v>
      </c>
      <c r="CK68">
        <v>21</v>
      </c>
      <c r="CL68" t="s">
        <v>89</v>
      </c>
    </row>
    <row r="69" spans="1:90">
      <c r="A69" t="s">
        <v>72</v>
      </c>
      <c r="B69" t="s">
        <v>73</v>
      </c>
      <c r="C69" t="s">
        <v>74</v>
      </c>
      <c r="E69" t="str">
        <f>"FES1162720654"</f>
        <v>FES1162720654</v>
      </c>
      <c r="F69" s="3">
        <v>43770</v>
      </c>
      <c r="G69">
        <v>202005</v>
      </c>
      <c r="H69" t="s">
        <v>75</v>
      </c>
      <c r="I69" t="s">
        <v>76</v>
      </c>
      <c r="J69" t="s">
        <v>77</v>
      </c>
      <c r="K69" t="s">
        <v>78</v>
      </c>
      <c r="L69" t="s">
        <v>133</v>
      </c>
      <c r="M69" t="s">
        <v>134</v>
      </c>
      <c r="N69" t="s">
        <v>310</v>
      </c>
      <c r="O69" t="s">
        <v>82</v>
      </c>
      <c r="P69" t="str">
        <f>"2170713045                    "</f>
        <v xml:space="preserve">2170713045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8.7899999999999991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0.2</v>
      </c>
      <c r="BJ69">
        <v>0.8</v>
      </c>
      <c r="BK69">
        <v>1</v>
      </c>
      <c r="BL69" s="4">
        <v>50.66</v>
      </c>
      <c r="BM69" s="4">
        <v>7.6</v>
      </c>
      <c r="BN69" s="4">
        <v>58.26</v>
      </c>
      <c r="BO69" s="4">
        <v>58.26</v>
      </c>
      <c r="BQ69" t="s">
        <v>121</v>
      </c>
      <c r="BR69" t="s">
        <v>84</v>
      </c>
      <c r="BS69" s="3">
        <v>43773</v>
      </c>
      <c r="BT69" s="5">
        <v>0.43402777777777773</v>
      </c>
      <c r="BU69" t="s">
        <v>311</v>
      </c>
      <c r="BV69" t="s">
        <v>86</v>
      </c>
      <c r="BY69">
        <v>4213.68</v>
      </c>
      <c r="CA69" t="s">
        <v>137</v>
      </c>
      <c r="CC69" t="s">
        <v>134</v>
      </c>
      <c r="CD69">
        <v>5201</v>
      </c>
      <c r="CE69" t="s">
        <v>88</v>
      </c>
      <c r="CF69" s="3">
        <v>43775</v>
      </c>
      <c r="CI69">
        <v>1</v>
      </c>
      <c r="CJ69">
        <v>1</v>
      </c>
      <c r="CK69">
        <v>21</v>
      </c>
      <c r="CL69" t="s">
        <v>89</v>
      </c>
    </row>
    <row r="70" spans="1:90">
      <c r="A70" t="s">
        <v>72</v>
      </c>
      <c r="B70" t="s">
        <v>73</v>
      </c>
      <c r="C70" t="s">
        <v>74</v>
      </c>
      <c r="E70" t="str">
        <f>"FES1162720657"</f>
        <v>FES1162720657</v>
      </c>
      <c r="F70" s="3">
        <v>43770</v>
      </c>
      <c r="G70">
        <v>202005</v>
      </c>
      <c r="H70" t="s">
        <v>75</v>
      </c>
      <c r="I70" t="s">
        <v>76</v>
      </c>
      <c r="J70" t="s">
        <v>77</v>
      </c>
      <c r="K70" t="s">
        <v>78</v>
      </c>
      <c r="L70" t="s">
        <v>214</v>
      </c>
      <c r="M70" t="s">
        <v>214</v>
      </c>
      <c r="N70" t="s">
        <v>312</v>
      </c>
      <c r="O70" t="s">
        <v>82</v>
      </c>
      <c r="P70" t="str">
        <f>"217071396                     "</f>
        <v xml:space="preserve">217071396 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17.04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0.2</v>
      </c>
      <c r="BJ70">
        <v>1.1000000000000001</v>
      </c>
      <c r="BK70">
        <v>1.5</v>
      </c>
      <c r="BL70" s="4">
        <v>98.16</v>
      </c>
      <c r="BM70" s="4">
        <v>14.72</v>
      </c>
      <c r="BN70" s="4">
        <v>112.88</v>
      </c>
      <c r="BO70" s="4">
        <v>112.88</v>
      </c>
      <c r="BQ70" t="s">
        <v>121</v>
      </c>
      <c r="BR70" t="s">
        <v>84</v>
      </c>
      <c r="BS70" s="3">
        <v>43773</v>
      </c>
      <c r="BT70" s="5">
        <v>0.46249999999999997</v>
      </c>
      <c r="BU70" t="s">
        <v>313</v>
      </c>
      <c r="BV70" t="s">
        <v>86</v>
      </c>
      <c r="BY70">
        <v>5517.6</v>
      </c>
      <c r="CA70" t="s">
        <v>217</v>
      </c>
      <c r="CC70" t="s">
        <v>214</v>
      </c>
      <c r="CD70">
        <v>7646</v>
      </c>
      <c r="CE70" t="s">
        <v>147</v>
      </c>
      <c r="CF70" s="3">
        <v>43774</v>
      </c>
      <c r="CI70">
        <v>1</v>
      </c>
      <c r="CJ70">
        <v>1</v>
      </c>
      <c r="CK70">
        <v>23</v>
      </c>
      <c r="CL70" t="s">
        <v>89</v>
      </c>
    </row>
    <row r="71" spans="1:90">
      <c r="A71" t="s">
        <v>72</v>
      </c>
      <c r="B71" t="s">
        <v>73</v>
      </c>
      <c r="C71" t="s">
        <v>74</v>
      </c>
      <c r="E71" t="str">
        <f>"FES1162720659"</f>
        <v>FES1162720659</v>
      </c>
      <c r="F71" s="3">
        <v>43770</v>
      </c>
      <c r="G71">
        <v>202005</v>
      </c>
      <c r="H71" t="s">
        <v>75</v>
      </c>
      <c r="I71" t="s">
        <v>76</v>
      </c>
      <c r="J71" t="s">
        <v>77</v>
      </c>
      <c r="K71" t="s">
        <v>78</v>
      </c>
      <c r="L71" t="s">
        <v>214</v>
      </c>
      <c r="M71" t="s">
        <v>214</v>
      </c>
      <c r="N71" t="s">
        <v>314</v>
      </c>
      <c r="O71" t="s">
        <v>82</v>
      </c>
      <c r="P71" t="str">
        <f>"2170713110                    "</f>
        <v xml:space="preserve">2170713110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17.04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0.2</v>
      </c>
      <c r="BJ71">
        <v>1.2</v>
      </c>
      <c r="BK71">
        <v>1.5</v>
      </c>
      <c r="BL71" s="4">
        <v>98.16</v>
      </c>
      <c r="BM71" s="4">
        <v>14.72</v>
      </c>
      <c r="BN71" s="4">
        <v>112.88</v>
      </c>
      <c r="BO71" s="4">
        <v>112.88</v>
      </c>
      <c r="BQ71" t="s">
        <v>109</v>
      </c>
      <c r="BR71" t="s">
        <v>84</v>
      </c>
      <c r="BS71" s="3">
        <v>43773</v>
      </c>
      <c r="BT71" s="5">
        <v>0.4597222222222222</v>
      </c>
      <c r="BU71" t="s">
        <v>315</v>
      </c>
      <c r="BV71" t="s">
        <v>86</v>
      </c>
      <c r="BY71">
        <v>6197.4</v>
      </c>
      <c r="CA71" t="s">
        <v>217</v>
      </c>
      <c r="CC71" t="s">
        <v>214</v>
      </c>
      <c r="CD71">
        <v>7646</v>
      </c>
      <c r="CE71" t="s">
        <v>147</v>
      </c>
      <c r="CF71" s="3">
        <v>43774</v>
      </c>
      <c r="CI71">
        <v>1</v>
      </c>
      <c r="CJ71">
        <v>1</v>
      </c>
      <c r="CK71">
        <v>23</v>
      </c>
      <c r="CL71" t="s">
        <v>89</v>
      </c>
    </row>
    <row r="72" spans="1:90">
      <c r="A72" t="s">
        <v>72</v>
      </c>
      <c r="B72" t="s">
        <v>73</v>
      </c>
      <c r="C72" t="s">
        <v>74</v>
      </c>
      <c r="E72" t="str">
        <f>"FES1162720651"</f>
        <v>FES1162720651</v>
      </c>
      <c r="F72" s="3">
        <v>43770</v>
      </c>
      <c r="G72">
        <v>202005</v>
      </c>
      <c r="H72" t="s">
        <v>75</v>
      </c>
      <c r="I72" t="s">
        <v>76</v>
      </c>
      <c r="J72" t="s">
        <v>77</v>
      </c>
      <c r="K72" t="s">
        <v>78</v>
      </c>
      <c r="L72" t="s">
        <v>106</v>
      </c>
      <c r="M72" t="s">
        <v>107</v>
      </c>
      <c r="N72" t="s">
        <v>316</v>
      </c>
      <c r="O72" t="s">
        <v>82</v>
      </c>
      <c r="P72" t="str">
        <f>"2170713014                    "</f>
        <v xml:space="preserve">2170713014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8.7899999999999991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0.2</v>
      </c>
      <c r="BJ72">
        <v>0.4</v>
      </c>
      <c r="BK72">
        <v>0.5</v>
      </c>
      <c r="BL72" s="4">
        <v>50.66</v>
      </c>
      <c r="BM72" s="4">
        <v>7.6</v>
      </c>
      <c r="BN72" s="4">
        <v>58.26</v>
      </c>
      <c r="BO72" s="4">
        <v>58.26</v>
      </c>
      <c r="BQ72" t="s">
        <v>317</v>
      </c>
      <c r="BR72" t="s">
        <v>84</v>
      </c>
      <c r="BS72" s="3">
        <v>43773</v>
      </c>
      <c r="BT72" s="5">
        <v>0.44027777777777777</v>
      </c>
      <c r="BU72" t="s">
        <v>318</v>
      </c>
      <c r="BV72" t="s">
        <v>89</v>
      </c>
      <c r="BW72" t="s">
        <v>319</v>
      </c>
      <c r="BX72" t="s">
        <v>320</v>
      </c>
      <c r="BY72">
        <v>2180.2199999999998</v>
      </c>
      <c r="CA72" t="s">
        <v>275</v>
      </c>
      <c r="CC72" t="s">
        <v>107</v>
      </c>
      <c r="CD72">
        <v>6210</v>
      </c>
      <c r="CE72" t="s">
        <v>147</v>
      </c>
      <c r="CF72" s="3">
        <v>43774</v>
      </c>
      <c r="CI72">
        <v>1</v>
      </c>
      <c r="CJ72">
        <v>1</v>
      </c>
      <c r="CK72">
        <v>21</v>
      </c>
      <c r="CL72" t="s">
        <v>89</v>
      </c>
    </row>
    <row r="73" spans="1:90">
      <c r="A73" t="s">
        <v>72</v>
      </c>
      <c r="B73" t="s">
        <v>73</v>
      </c>
      <c r="C73" t="s">
        <v>74</v>
      </c>
      <c r="E73" t="str">
        <f>"FES1162720678"</f>
        <v>FES1162720678</v>
      </c>
      <c r="F73" s="3">
        <v>43770</v>
      </c>
      <c r="G73">
        <v>202005</v>
      </c>
      <c r="H73" t="s">
        <v>75</v>
      </c>
      <c r="I73" t="s">
        <v>76</v>
      </c>
      <c r="J73" t="s">
        <v>77</v>
      </c>
      <c r="K73" t="s">
        <v>78</v>
      </c>
      <c r="L73" t="s">
        <v>214</v>
      </c>
      <c r="M73" t="s">
        <v>214</v>
      </c>
      <c r="N73" t="s">
        <v>314</v>
      </c>
      <c r="O73" t="s">
        <v>82</v>
      </c>
      <c r="P73" t="str">
        <f>"2170714095                    "</f>
        <v xml:space="preserve">2170714095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17.04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0.2</v>
      </c>
      <c r="BJ73">
        <v>1.7</v>
      </c>
      <c r="BK73">
        <v>2</v>
      </c>
      <c r="BL73" s="4">
        <v>98.16</v>
      </c>
      <c r="BM73" s="4">
        <v>14.72</v>
      </c>
      <c r="BN73" s="4">
        <v>112.88</v>
      </c>
      <c r="BO73" s="4">
        <v>112.88</v>
      </c>
      <c r="BQ73" t="s">
        <v>109</v>
      </c>
      <c r="BR73" t="s">
        <v>84</v>
      </c>
      <c r="BS73" s="3">
        <v>43773</v>
      </c>
      <c r="BT73" s="5">
        <v>0.4597222222222222</v>
      </c>
      <c r="BU73" t="s">
        <v>315</v>
      </c>
      <c r="BV73" t="s">
        <v>86</v>
      </c>
      <c r="BY73">
        <v>8573.19</v>
      </c>
      <c r="CA73" t="s">
        <v>217</v>
      </c>
      <c r="CC73" t="s">
        <v>214</v>
      </c>
      <c r="CD73">
        <v>7646</v>
      </c>
      <c r="CE73" t="s">
        <v>147</v>
      </c>
      <c r="CF73" s="3">
        <v>43774</v>
      </c>
      <c r="CI73">
        <v>1</v>
      </c>
      <c r="CJ73">
        <v>1</v>
      </c>
      <c r="CK73">
        <v>23</v>
      </c>
      <c r="CL73" t="s">
        <v>89</v>
      </c>
    </row>
    <row r="74" spans="1:90">
      <c r="A74" t="s">
        <v>72</v>
      </c>
      <c r="B74" t="s">
        <v>73</v>
      </c>
      <c r="C74" t="s">
        <v>74</v>
      </c>
      <c r="E74" t="str">
        <f>"FES1162720672"</f>
        <v>FES1162720672</v>
      </c>
      <c r="F74" s="3">
        <v>43770</v>
      </c>
      <c r="G74">
        <v>202005</v>
      </c>
      <c r="H74" t="s">
        <v>75</v>
      </c>
      <c r="I74" t="s">
        <v>76</v>
      </c>
      <c r="J74" t="s">
        <v>77</v>
      </c>
      <c r="K74" t="s">
        <v>78</v>
      </c>
      <c r="L74" t="s">
        <v>90</v>
      </c>
      <c r="M74" t="s">
        <v>91</v>
      </c>
      <c r="N74" t="s">
        <v>321</v>
      </c>
      <c r="O74" t="s">
        <v>82</v>
      </c>
      <c r="P74" t="str">
        <f>"2170713366                    "</f>
        <v xml:space="preserve">2170713366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10.99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0.2</v>
      </c>
      <c r="BJ74">
        <v>2.2000000000000002</v>
      </c>
      <c r="BK74">
        <v>2.5</v>
      </c>
      <c r="BL74" s="4">
        <v>63.32</v>
      </c>
      <c r="BM74" s="4">
        <v>9.5</v>
      </c>
      <c r="BN74" s="4">
        <v>72.819999999999993</v>
      </c>
      <c r="BO74" s="4">
        <v>72.819999999999993</v>
      </c>
      <c r="BQ74" t="s">
        <v>121</v>
      </c>
      <c r="BR74" t="s">
        <v>84</v>
      </c>
      <c r="BS74" s="3">
        <v>43773</v>
      </c>
      <c r="BT74" s="5">
        <v>0.37152777777777773</v>
      </c>
      <c r="BU74" t="s">
        <v>322</v>
      </c>
      <c r="BV74" t="s">
        <v>86</v>
      </c>
      <c r="BY74">
        <v>10964.16</v>
      </c>
      <c r="CA74" t="s">
        <v>323</v>
      </c>
      <c r="CC74" t="s">
        <v>91</v>
      </c>
      <c r="CD74">
        <v>7460</v>
      </c>
      <c r="CE74" t="s">
        <v>147</v>
      </c>
      <c r="CF74" s="3">
        <v>43774</v>
      </c>
      <c r="CI74">
        <v>1</v>
      </c>
      <c r="CJ74">
        <v>1</v>
      </c>
      <c r="CK74">
        <v>21</v>
      </c>
      <c r="CL74" t="s">
        <v>89</v>
      </c>
    </row>
    <row r="75" spans="1:90">
      <c r="A75" t="s">
        <v>72</v>
      </c>
      <c r="B75" t="s">
        <v>73</v>
      </c>
      <c r="C75" t="s">
        <v>74</v>
      </c>
      <c r="E75" t="str">
        <f>"FES1162720636"</f>
        <v>FES1162720636</v>
      </c>
      <c r="F75" s="3">
        <v>43770</v>
      </c>
      <c r="G75">
        <v>202005</v>
      </c>
      <c r="H75" t="s">
        <v>75</v>
      </c>
      <c r="I75" t="s">
        <v>76</v>
      </c>
      <c r="J75" t="s">
        <v>77</v>
      </c>
      <c r="K75" t="s">
        <v>78</v>
      </c>
      <c r="L75" t="s">
        <v>106</v>
      </c>
      <c r="M75" t="s">
        <v>107</v>
      </c>
      <c r="N75" t="s">
        <v>324</v>
      </c>
      <c r="O75" t="s">
        <v>82</v>
      </c>
      <c r="P75" t="str">
        <f>"2170714316                    "</f>
        <v xml:space="preserve">2170714316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10.99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1.8</v>
      </c>
      <c r="BJ75">
        <v>2.2999999999999998</v>
      </c>
      <c r="BK75">
        <v>2.5</v>
      </c>
      <c r="BL75" s="4">
        <v>63.32</v>
      </c>
      <c r="BM75" s="4">
        <v>9.5</v>
      </c>
      <c r="BN75" s="4">
        <v>72.819999999999993</v>
      </c>
      <c r="BO75" s="4">
        <v>72.819999999999993</v>
      </c>
      <c r="BQ75" t="s">
        <v>187</v>
      </c>
      <c r="BR75" t="s">
        <v>84</v>
      </c>
      <c r="BS75" s="3">
        <v>43773</v>
      </c>
      <c r="BT75" s="5">
        <v>0.37986111111111115</v>
      </c>
      <c r="BU75" t="s">
        <v>325</v>
      </c>
      <c r="BV75" t="s">
        <v>86</v>
      </c>
      <c r="BY75">
        <v>11408.6</v>
      </c>
      <c r="CA75" t="s">
        <v>111</v>
      </c>
      <c r="CC75" t="s">
        <v>107</v>
      </c>
      <c r="CD75">
        <v>6001</v>
      </c>
      <c r="CE75" t="s">
        <v>147</v>
      </c>
      <c r="CF75" s="3">
        <v>43774</v>
      </c>
      <c r="CI75">
        <v>1</v>
      </c>
      <c r="CJ75">
        <v>1</v>
      </c>
      <c r="CK75">
        <v>21</v>
      </c>
      <c r="CL75" t="s">
        <v>89</v>
      </c>
    </row>
    <row r="76" spans="1:90">
      <c r="A76" t="s">
        <v>72</v>
      </c>
      <c r="B76" t="s">
        <v>73</v>
      </c>
      <c r="C76" t="s">
        <v>74</v>
      </c>
      <c r="E76" t="str">
        <f>"FES1162720652"</f>
        <v>FES1162720652</v>
      </c>
      <c r="F76" s="3">
        <v>43770</v>
      </c>
      <c r="G76">
        <v>202005</v>
      </c>
      <c r="H76" t="s">
        <v>75</v>
      </c>
      <c r="I76" t="s">
        <v>76</v>
      </c>
      <c r="J76" t="s">
        <v>77</v>
      </c>
      <c r="K76" t="s">
        <v>78</v>
      </c>
      <c r="L76" t="s">
        <v>90</v>
      </c>
      <c r="M76" t="s">
        <v>91</v>
      </c>
      <c r="N76" t="s">
        <v>326</v>
      </c>
      <c r="O76" t="s">
        <v>82</v>
      </c>
      <c r="P76" t="str">
        <f>"21707130165                   "</f>
        <v xml:space="preserve">21707130165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10.99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0.2</v>
      </c>
      <c r="BJ76">
        <v>2.5</v>
      </c>
      <c r="BK76">
        <v>2.5</v>
      </c>
      <c r="BL76" s="4">
        <v>63.32</v>
      </c>
      <c r="BM76" s="4">
        <v>9.5</v>
      </c>
      <c r="BN76" s="4">
        <v>72.819999999999993</v>
      </c>
      <c r="BO76" s="4">
        <v>72.819999999999993</v>
      </c>
      <c r="BQ76" t="s">
        <v>327</v>
      </c>
      <c r="BR76" t="s">
        <v>84</v>
      </c>
      <c r="BS76" s="3">
        <v>43773</v>
      </c>
      <c r="BT76" s="5">
        <v>0.40972222222222227</v>
      </c>
      <c r="BU76" t="s">
        <v>328</v>
      </c>
      <c r="BV76" t="s">
        <v>86</v>
      </c>
      <c r="BY76">
        <v>12285.25</v>
      </c>
      <c r="CA76" t="s">
        <v>329</v>
      </c>
      <c r="CC76" t="s">
        <v>91</v>
      </c>
      <c r="CD76">
        <v>7405</v>
      </c>
      <c r="CE76" t="s">
        <v>147</v>
      </c>
      <c r="CF76" s="3">
        <v>43774</v>
      </c>
      <c r="CI76">
        <v>1</v>
      </c>
      <c r="CJ76">
        <v>1</v>
      </c>
      <c r="CK76">
        <v>21</v>
      </c>
      <c r="CL76" t="s">
        <v>89</v>
      </c>
    </row>
    <row r="77" spans="1:90">
      <c r="A77" t="s">
        <v>72</v>
      </c>
      <c r="B77" t="s">
        <v>73</v>
      </c>
      <c r="C77" t="s">
        <v>74</v>
      </c>
      <c r="E77" t="str">
        <f>"FES1162720638"</f>
        <v>FES1162720638</v>
      </c>
      <c r="F77" s="3">
        <v>43770</v>
      </c>
      <c r="G77">
        <v>202005</v>
      </c>
      <c r="H77" t="s">
        <v>75</v>
      </c>
      <c r="I77" t="s">
        <v>76</v>
      </c>
      <c r="J77" t="s">
        <v>77</v>
      </c>
      <c r="K77" t="s">
        <v>78</v>
      </c>
      <c r="L77" t="s">
        <v>214</v>
      </c>
      <c r="M77" t="s">
        <v>214</v>
      </c>
      <c r="N77" t="s">
        <v>314</v>
      </c>
      <c r="O77" t="s">
        <v>82</v>
      </c>
      <c r="P77" t="str">
        <f>"2170714811                    "</f>
        <v xml:space="preserve">2170714811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17.04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0.2</v>
      </c>
      <c r="BJ77">
        <v>1.6</v>
      </c>
      <c r="BK77">
        <v>2</v>
      </c>
      <c r="BL77" s="4">
        <v>98.16</v>
      </c>
      <c r="BM77" s="4">
        <v>14.72</v>
      </c>
      <c r="BN77" s="4">
        <v>112.88</v>
      </c>
      <c r="BO77" s="4">
        <v>112.88</v>
      </c>
      <c r="BQ77" t="s">
        <v>109</v>
      </c>
      <c r="BR77" t="s">
        <v>84</v>
      </c>
      <c r="BS77" s="3">
        <v>43773</v>
      </c>
      <c r="BT77" s="5">
        <v>0.4597222222222222</v>
      </c>
      <c r="BU77" t="s">
        <v>315</v>
      </c>
      <c r="BV77" t="s">
        <v>86</v>
      </c>
      <c r="BY77">
        <v>8031.36</v>
      </c>
      <c r="CA77" t="s">
        <v>217</v>
      </c>
      <c r="CC77" t="s">
        <v>214</v>
      </c>
      <c r="CD77">
        <v>7646</v>
      </c>
      <c r="CE77" t="s">
        <v>147</v>
      </c>
      <c r="CF77" s="3">
        <v>43774</v>
      </c>
      <c r="CI77">
        <v>1</v>
      </c>
      <c r="CJ77">
        <v>1</v>
      </c>
      <c r="CK77">
        <v>23</v>
      </c>
      <c r="CL77" t="s">
        <v>89</v>
      </c>
    </row>
    <row r="78" spans="1:90">
      <c r="A78" t="s">
        <v>72</v>
      </c>
      <c r="B78" t="s">
        <v>73</v>
      </c>
      <c r="C78" t="s">
        <v>74</v>
      </c>
      <c r="E78" t="str">
        <f>"FES1162720681"</f>
        <v>FES1162720681</v>
      </c>
      <c r="F78" s="3">
        <v>43770</v>
      </c>
      <c r="G78">
        <v>202005</v>
      </c>
      <c r="H78" t="s">
        <v>75</v>
      </c>
      <c r="I78" t="s">
        <v>76</v>
      </c>
      <c r="J78" t="s">
        <v>77</v>
      </c>
      <c r="K78" t="s">
        <v>78</v>
      </c>
      <c r="L78" t="s">
        <v>251</v>
      </c>
      <c r="M78" t="s">
        <v>252</v>
      </c>
      <c r="N78" t="s">
        <v>330</v>
      </c>
      <c r="O78" t="s">
        <v>82</v>
      </c>
      <c r="P78" t="str">
        <f>"217074690                     "</f>
        <v xml:space="preserve">217074690 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8.7899999999999991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0.6</v>
      </c>
      <c r="BJ78">
        <v>1.9</v>
      </c>
      <c r="BK78">
        <v>2</v>
      </c>
      <c r="BL78" s="4">
        <v>50.66</v>
      </c>
      <c r="BM78" s="4">
        <v>7.6</v>
      </c>
      <c r="BN78" s="4">
        <v>58.26</v>
      </c>
      <c r="BO78" s="4">
        <v>58.26</v>
      </c>
      <c r="BQ78" t="s">
        <v>109</v>
      </c>
      <c r="BR78" t="s">
        <v>84</v>
      </c>
      <c r="BS78" s="3">
        <v>43773</v>
      </c>
      <c r="BT78" s="5">
        <v>0.42430555555555555</v>
      </c>
      <c r="BU78" t="s">
        <v>331</v>
      </c>
      <c r="BV78" t="s">
        <v>86</v>
      </c>
      <c r="BY78">
        <v>9688.4699999999993</v>
      </c>
      <c r="CA78" t="s">
        <v>255</v>
      </c>
      <c r="CC78" t="s">
        <v>252</v>
      </c>
      <c r="CD78">
        <v>4133</v>
      </c>
      <c r="CE78" t="s">
        <v>147</v>
      </c>
      <c r="CF78" s="3">
        <v>43774</v>
      </c>
      <c r="CI78">
        <v>1</v>
      </c>
      <c r="CJ78">
        <v>1</v>
      </c>
      <c r="CK78">
        <v>21</v>
      </c>
      <c r="CL78" t="s">
        <v>89</v>
      </c>
    </row>
    <row r="79" spans="1:90">
      <c r="A79" t="s">
        <v>72</v>
      </c>
      <c r="B79" t="s">
        <v>73</v>
      </c>
      <c r="C79" t="s">
        <v>74</v>
      </c>
      <c r="E79" t="str">
        <f>"FES1162720644"</f>
        <v>FES1162720644</v>
      </c>
      <c r="F79" s="3">
        <v>43770</v>
      </c>
      <c r="G79">
        <v>202005</v>
      </c>
      <c r="H79" t="s">
        <v>75</v>
      </c>
      <c r="I79" t="s">
        <v>76</v>
      </c>
      <c r="J79" t="s">
        <v>77</v>
      </c>
      <c r="K79" t="s">
        <v>78</v>
      </c>
      <c r="L79" t="s">
        <v>112</v>
      </c>
      <c r="M79" t="s">
        <v>113</v>
      </c>
      <c r="N79" t="s">
        <v>332</v>
      </c>
      <c r="O79" t="s">
        <v>82</v>
      </c>
      <c r="P79" t="str">
        <f>"2170712036                    "</f>
        <v xml:space="preserve">2170712036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8.7899999999999991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1.2</v>
      </c>
      <c r="BK79">
        <v>1.5</v>
      </c>
      <c r="BL79" s="4">
        <v>50.66</v>
      </c>
      <c r="BM79" s="4">
        <v>7.6</v>
      </c>
      <c r="BN79" s="4">
        <v>58.26</v>
      </c>
      <c r="BO79" s="4">
        <v>58.26</v>
      </c>
      <c r="BQ79" t="s">
        <v>109</v>
      </c>
      <c r="BR79" t="s">
        <v>84</v>
      </c>
      <c r="BS79" s="3">
        <v>43773</v>
      </c>
      <c r="BT79" s="5">
        <v>0.34652777777777777</v>
      </c>
      <c r="BU79" t="s">
        <v>333</v>
      </c>
      <c r="BV79" t="s">
        <v>86</v>
      </c>
      <c r="BY79">
        <v>6078.8</v>
      </c>
      <c r="BZ79" t="s">
        <v>27</v>
      </c>
      <c r="CA79" t="s">
        <v>117</v>
      </c>
      <c r="CC79" t="s">
        <v>113</v>
      </c>
      <c r="CD79">
        <v>4001</v>
      </c>
      <c r="CE79" t="s">
        <v>147</v>
      </c>
      <c r="CF79" s="3">
        <v>43774</v>
      </c>
      <c r="CI79">
        <v>1</v>
      </c>
      <c r="CJ79">
        <v>1</v>
      </c>
      <c r="CK79">
        <v>21</v>
      </c>
      <c r="CL79" t="s">
        <v>89</v>
      </c>
    </row>
    <row r="80" spans="1:90">
      <c r="A80" t="s">
        <v>72</v>
      </c>
      <c r="B80" t="s">
        <v>73</v>
      </c>
      <c r="C80" t="s">
        <v>74</v>
      </c>
      <c r="E80" t="str">
        <f>"FES1162720671"</f>
        <v>FES1162720671</v>
      </c>
      <c r="F80" s="3">
        <v>43770</v>
      </c>
      <c r="G80">
        <v>202005</v>
      </c>
      <c r="H80" t="s">
        <v>75</v>
      </c>
      <c r="I80" t="s">
        <v>76</v>
      </c>
      <c r="J80" t="s">
        <v>77</v>
      </c>
      <c r="K80" t="s">
        <v>78</v>
      </c>
      <c r="L80" t="s">
        <v>176</v>
      </c>
      <c r="M80" t="s">
        <v>177</v>
      </c>
      <c r="N80" t="s">
        <v>334</v>
      </c>
      <c r="O80" t="s">
        <v>82</v>
      </c>
      <c r="P80" t="str">
        <f>"2170713357                    "</f>
        <v xml:space="preserve">2170713357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8.7899999999999991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1.2</v>
      </c>
      <c r="BK80">
        <v>1.5</v>
      </c>
      <c r="BL80" s="4">
        <v>50.66</v>
      </c>
      <c r="BM80" s="4">
        <v>7.6</v>
      </c>
      <c r="BN80" s="4">
        <v>58.26</v>
      </c>
      <c r="BO80" s="4">
        <v>58.26</v>
      </c>
      <c r="BQ80" t="s">
        <v>121</v>
      </c>
      <c r="BR80" t="s">
        <v>84</v>
      </c>
      <c r="BS80" s="3">
        <v>43773</v>
      </c>
      <c r="BT80" s="5">
        <v>0.30972222222222223</v>
      </c>
      <c r="BU80" t="s">
        <v>335</v>
      </c>
      <c r="BV80" t="s">
        <v>86</v>
      </c>
      <c r="BY80">
        <v>6141.83</v>
      </c>
      <c r="BZ80" t="s">
        <v>27</v>
      </c>
      <c r="CA80" t="s">
        <v>180</v>
      </c>
      <c r="CC80" t="s">
        <v>177</v>
      </c>
      <c r="CD80">
        <v>3610</v>
      </c>
      <c r="CE80" t="s">
        <v>147</v>
      </c>
      <c r="CF80" s="3">
        <v>43774</v>
      </c>
      <c r="CI80">
        <v>1</v>
      </c>
      <c r="CJ80">
        <v>1</v>
      </c>
      <c r="CK80">
        <v>21</v>
      </c>
      <c r="CL80" t="s">
        <v>89</v>
      </c>
    </row>
    <row r="81" spans="1:90">
      <c r="A81" t="s">
        <v>72</v>
      </c>
      <c r="B81" t="s">
        <v>73</v>
      </c>
      <c r="C81" t="s">
        <v>74</v>
      </c>
      <c r="E81" t="str">
        <f>"FES1162720647"</f>
        <v>FES1162720647</v>
      </c>
      <c r="F81" s="3">
        <v>43770</v>
      </c>
      <c r="G81">
        <v>202005</v>
      </c>
      <c r="H81" t="s">
        <v>75</v>
      </c>
      <c r="I81" t="s">
        <v>76</v>
      </c>
      <c r="J81" t="s">
        <v>77</v>
      </c>
      <c r="K81" t="s">
        <v>78</v>
      </c>
      <c r="L81" t="s">
        <v>112</v>
      </c>
      <c r="M81" t="s">
        <v>113</v>
      </c>
      <c r="N81" t="s">
        <v>336</v>
      </c>
      <c r="O81" t="s">
        <v>82</v>
      </c>
      <c r="P81" t="str">
        <f>"21707127085                   "</f>
        <v xml:space="preserve">21707127085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8.7899999999999991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0.2</v>
      </c>
      <c r="BJ81">
        <v>1.2</v>
      </c>
      <c r="BK81">
        <v>1.5</v>
      </c>
      <c r="BL81" s="4">
        <v>50.66</v>
      </c>
      <c r="BM81" s="4">
        <v>7.6</v>
      </c>
      <c r="BN81" s="4">
        <v>58.26</v>
      </c>
      <c r="BO81" s="4">
        <v>58.26</v>
      </c>
      <c r="BQ81" t="s">
        <v>337</v>
      </c>
      <c r="BR81" t="s">
        <v>84</v>
      </c>
      <c r="BS81" s="3">
        <v>43773</v>
      </c>
      <c r="BT81" s="5">
        <v>0.4375</v>
      </c>
      <c r="BU81" t="s">
        <v>338</v>
      </c>
      <c r="BV81" t="s">
        <v>86</v>
      </c>
      <c r="BY81">
        <v>6000.75</v>
      </c>
      <c r="CA81" t="s">
        <v>146</v>
      </c>
      <c r="CC81" t="s">
        <v>113</v>
      </c>
      <c r="CD81">
        <v>4052</v>
      </c>
      <c r="CE81" t="s">
        <v>147</v>
      </c>
      <c r="CF81" s="3">
        <v>43774</v>
      </c>
      <c r="CI81">
        <v>1</v>
      </c>
      <c r="CJ81">
        <v>1</v>
      </c>
      <c r="CK81">
        <v>21</v>
      </c>
      <c r="CL81" t="s">
        <v>89</v>
      </c>
    </row>
    <row r="82" spans="1:90">
      <c r="A82" t="s">
        <v>72</v>
      </c>
      <c r="B82" t="s">
        <v>73</v>
      </c>
      <c r="C82" t="s">
        <v>74</v>
      </c>
      <c r="E82" t="str">
        <f>"FES1162720811"</f>
        <v>FES1162720811</v>
      </c>
      <c r="F82" s="3">
        <v>43770</v>
      </c>
      <c r="G82">
        <v>202005</v>
      </c>
      <c r="H82" t="s">
        <v>75</v>
      </c>
      <c r="I82" t="s">
        <v>76</v>
      </c>
      <c r="J82" t="s">
        <v>77</v>
      </c>
      <c r="K82" t="s">
        <v>78</v>
      </c>
      <c r="L82" t="s">
        <v>339</v>
      </c>
      <c r="M82" t="s">
        <v>340</v>
      </c>
      <c r="N82" t="s">
        <v>341</v>
      </c>
      <c r="O82" t="s">
        <v>82</v>
      </c>
      <c r="P82" t="str">
        <f>"2170715194                    "</f>
        <v xml:space="preserve">2170715194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10.99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2.2000000000000002</v>
      </c>
      <c r="BJ82">
        <v>0.9</v>
      </c>
      <c r="BK82">
        <v>2.5</v>
      </c>
      <c r="BL82" s="4">
        <v>63.32</v>
      </c>
      <c r="BM82" s="4">
        <v>9.5</v>
      </c>
      <c r="BN82" s="4">
        <v>72.819999999999993</v>
      </c>
      <c r="BO82" s="4">
        <v>72.819999999999993</v>
      </c>
      <c r="BQ82" t="s">
        <v>109</v>
      </c>
      <c r="BR82" t="s">
        <v>84</v>
      </c>
      <c r="BS82" s="3">
        <v>43773</v>
      </c>
      <c r="BT82" s="5">
        <v>0.3888888888888889</v>
      </c>
      <c r="BU82" t="s">
        <v>342</v>
      </c>
      <c r="BV82" t="s">
        <v>86</v>
      </c>
      <c r="BY82">
        <v>4287.3999999999996</v>
      </c>
      <c r="CA82" t="s">
        <v>343</v>
      </c>
      <c r="CC82" t="s">
        <v>340</v>
      </c>
      <c r="CD82">
        <v>157</v>
      </c>
      <c r="CE82" t="s">
        <v>88</v>
      </c>
      <c r="CF82" s="3">
        <v>43774</v>
      </c>
      <c r="CI82">
        <v>1</v>
      </c>
      <c r="CJ82">
        <v>1</v>
      </c>
      <c r="CK82">
        <v>21</v>
      </c>
      <c r="CL82" t="s">
        <v>89</v>
      </c>
    </row>
    <row r="83" spans="1:90">
      <c r="A83" t="s">
        <v>72</v>
      </c>
      <c r="B83" t="s">
        <v>73</v>
      </c>
      <c r="C83" t="s">
        <v>74</v>
      </c>
      <c r="E83" t="str">
        <f>"FES1162720771"</f>
        <v>FES1162720771</v>
      </c>
      <c r="F83" s="3">
        <v>43770</v>
      </c>
      <c r="G83">
        <v>202005</v>
      </c>
      <c r="H83" t="s">
        <v>75</v>
      </c>
      <c r="I83" t="s">
        <v>76</v>
      </c>
      <c r="J83" t="s">
        <v>77</v>
      </c>
      <c r="K83" t="s">
        <v>78</v>
      </c>
      <c r="L83" t="s">
        <v>124</v>
      </c>
      <c r="M83" t="s">
        <v>125</v>
      </c>
      <c r="N83" t="s">
        <v>126</v>
      </c>
      <c r="O83" t="s">
        <v>82</v>
      </c>
      <c r="P83" t="str">
        <f>"2170715150                    "</f>
        <v xml:space="preserve">2170715150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10.16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4</v>
      </c>
      <c r="BJ83">
        <v>3.6</v>
      </c>
      <c r="BK83">
        <v>4</v>
      </c>
      <c r="BL83" s="4">
        <v>58.55</v>
      </c>
      <c r="BM83" s="4">
        <v>8.7799999999999994</v>
      </c>
      <c r="BN83" s="4">
        <v>67.33</v>
      </c>
      <c r="BO83" s="4">
        <v>67.33</v>
      </c>
      <c r="BQ83" t="s">
        <v>109</v>
      </c>
      <c r="BR83" t="s">
        <v>84</v>
      </c>
      <c r="BS83" s="3">
        <v>43773</v>
      </c>
      <c r="BT83" s="5">
        <v>0.39166666666666666</v>
      </c>
      <c r="BU83" t="s">
        <v>127</v>
      </c>
      <c r="BV83" t="s">
        <v>86</v>
      </c>
      <c r="BY83">
        <v>17984.849999999999</v>
      </c>
      <c r="CA83" t="s">
        <v>123</v>
      </c>
      <c r="CC83" t="s">
        <v>125</v>
      </c>
      <c r="CD83">
        <v>2197</v>
      </c>
      <c r="CE83" t="s">
        <v>88</v>
      </c>
      <c r="CF83" s="3">
        <v>43774</v>
      </c>
      <c r="CI83">
        <v>1</v>
      </c>
      <c r="CJ83">
        <v>1</v>
      </c>
      <c r="CK83">
        <v>22</v>
      </c>
      <c r="CL83" t="s">
        <v>89</v>
      </c>
    </row>
    <row r="84" spans="1:90">
      <c r="A84" t="s">
        <v>72</v>
      </c>
      <c r="B84" t="s">
        <v>73</v>
      </c>
      <c r="C84" t="s">
        <v>74</v>
      </c>
      <c r="E84" t="str">
        <f>"FES1162720712"</f>
        <v>FES1162720712</v>
      </c>
      <c r="F84" s="3">
        <v>43770</v>
      </c>
      <c r="G84">
        <v>202005</v>
      </c>
      <c r="H84" t="s">
        <v>75</v>
      </c>
      <c r="I84" t="s">
        <v>76</v>
      </c>
      <c r="J84" t="s">
        <v>77</v>
      </c>
      <c r="K84" t="s">
        <v>78</v>
      </c>
      <c r="L84" t="s">
        <v>112</v>
      </c>
      <c r="M84" t="s">
        <v>113</v>
      </c>
      <c r="N84" t="s">
        <v>206</v>
      </c>
      <c r="O84" t="s">
        <v>82</v>
      </c>
      <c r="P84" t="str">
        <f>"2170715088                    "</f>
        <v xml:space="preserve">2170715088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8.7899999999999991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0.4</v>
      </c>
      <c r="BK84">
        <v>1</v>
      </c>
      <c r="BL84" s="4">
        <v>50.66</v>
      </c>
      <c r="BM84" s="4">
        <v>7.6</v>
      </c>
      <c r="BN84" s="4">
        <v>58.26</v>
      </c>
      <c r="BO84" s="4">
        <v>58.26</v>
      </c>
      <c r="BQ84" t="s">
        <v>109</v>
      </c>
      <c r="BR84" t="s">
        <v>84</v>
      </c>
      <c r="BS84" s="3">
        <v>43773</v>
      </c>
      <c r="BT84" s="5">
        <v>0.36944444444444446</v>
      </c>
      <c r="BU84" t="s">
        <v>207</v>
      </c>
      <c r="BV84" t="s">
        <v>86</v>
      </c>
      <c r="BY84">
        <v>2090.5500000000002</v>
      </c>
      <c r="BZ84" t="s">
        <v>27</v>
      </c>
      <c r="CA84" t="s">
        <v>117</v>
      </c>
      <c r="CC84" t="s">
        <v>113</v>
      </c>
      <c r="CD84">
        <v>4001</v>
      </c>
      <c r="CE84" t="s">
        <v>88</v>
      </c>
      <c r="CF84" s="3">
        <v>43774</v>
      </c>
      <c r="CI84">
        <v>1</v>
      </c>
      <c r="CJ84">
        <v>1</v>
      </c>
      <c r="CK84">
        <v>21</v>
      </c>
      <c r="CL84" t="s">
        <v>89</v>
      </c>
    </row>
    <row r="85" spans="1:90">
      <c r="A85" t="s">
        <v>72</v>
      </c>
      <c r="B85" t="s">
        <v>73</v>
      </c>
      <c r="C85" t="s">
        <v>74</v>
      </c>
      <c r="E85" t="str">
        <f>"FES1162720768"</f>
        <v>FES1162720768</v>
      </c>
      <c r="F85" s="3">
        <v>43770</v>
      </c>
      <c r="G85">
        <v>202005</v>
      </c>
      <c r="H85" t="s">
        <v>75</v>
      </c>
      <c r="I85" t="s">
        <v>76</v>
      </c>
      <c r="J85" t="s">
        <v>77</v>
      </c>
      <c r="K85" t="s">
        <v>78</v>
      </c>
      <c r="L85" t="s">
        <v>106</v>
      </c>
      <c r="M85" t="s">
        <v>107</v>
      </c>
      <c r="N85" t="s">
        <v>242</v>
      </c>
      <c r="O85" t="s">
        <v>82</v>
      </c>
      <c r="P85" t="str">
        <f>"2170715146                    "</f>
        <v xml:space="preserve">2170715146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8.7899999999999991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0.2</v>
      </c>
      <c r="BJ85">
        <v>1.6</v>
      </c>
      <c r="BK85">
        <v>2</v>
      </c>
      <c r="BL85" s="4">
        <v>50.66</v>
      </c>
      <c r="BM85" s="4">
        <v>7.6</v>
      </c>
      <c r="BN85" s="4">
        <v>58.26</v>
      </c>
      <c r="BO85" s="4">
        <v>58.26</v>
      </c>
      <c r="BQ85" t="s">
        <v>109</v>
      </c>
      <c r="BR85" t="s">
        <v>84</v>
      </c>
      <c r="BS85" s="3">
        <v>43773</v>
      </c>
      <c r="BT85" s="5">
        <v>0.39583333333333331</v>
      </c>
      <c r="BU85" t="s">
        <v>243</v>
      </c>
      <c r="BV85" t="s">
        <v>86</v>
      </c>
      <c r="BY85">
        <v>8108.1</v>
      </c>
      <c r="CA85" t="s">
        <v>244</v>
      </c>
      <c r="CC85" t="s">
        <v>107</v>
      </c>
      <c r="CD85">
        <v>6001</v>
      </c>
      <c r="CE85" t="s">
        <v>88</v>
      </c>
      <c r="CF85" s="3">
        <v>43774</v>
      </c>
      <c r="CI85">
        <v>1</v>
      </c>
      <c r="CJ85">
        <v>1</v>
      </c>
      <c r="CK85">
        <v>21</v>
      </c>
      <c r="CL85" t="s">
        <v>89</v>
      </c>
    </row>
    <row r="86" spans="1:90">
      <c r="A86" t="s">
        <v>72</v>
      </c>
      <c r="B86" t="s">
        <v>73</v>
      </c>
      <c r="C86" t="s">
        <v>74</v>
      </c>
      <c r="E86" t="str">
        <f>"FES1162720780"</f>
        <v>FES1162720780</v>
      </c>
      <c r="F86" s="3">
        <v>43770</v>
      </c>
      <c r="G86">
        <v>202005</v>
      </c>
      <c r="H86" t="s">
        <v>75</v>
      </c>
      <c r="I86" t="s">
        <v>76</v>
      </c>
      <c r="J86" t="s">
        <v>77</v>
      </c>
      <c r="K86" t="s">
        <v>78</v>
      </c>
      <c r="L86" t="s">
        <v>344</v>
      </c>
      <c r="M86" t="s">
        <v>345</v>
      </c>
      <c r="N86" t="s">
        <v>346</v>
      </c>
      <c r="O86" t="s">
        <v>82</v>
      </c>
      <c r="P86" t="str">
        <f>"2170714347                    "</f>
        <v xml:space="preserve">2170714347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6.87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0.2</v>
      </c>
      <c r="BJ86">
        <v>1.1000000000000001</v>
      </c>
      <c r="BK86">
        <v>1.5</v>
      </c>
      <c r="BL86" s="4">
        <v>39.58</v>
      </c>
      <c r="BM86" s="4">
        <v>5.94</v>
      </c>
      <c r="BN86" s="4">
        <v>45.52</v>
      </c>
      <c r="BO86" s="4">
        <v>45.52</v>
      </c>
      <c r="BQ86" t="s">
        <v>121</v>
      </c>
      <c r="BR86" t="s">
        <v>84</v>
      </c>
      <c r="BS86" s="3">
        <v>43773</v>
      </c>
      <c r="BT86" s="5">
        <v>0.3576388888888889</v>
      </c>
      <c r="BU86" t="s">
        <v>347</v>
      </c>
      <c r="BV86" t="s">
        <v>86</v>
      </c>
      <c r="BY86">
        <v>5556.71</v>
      </c>
      <c r="CA86" t="s">
        <v>348</v>
      </c>
      <c r="CC86" t="s">
        <v>345</v>
      </c>
      <c r="CD86">
        <v>2163</v>
      </c>
      <c r="CE86" t="s">
        <v>88</v>
      </c>
      <c r="CF86" s="3">
        <v>43774</v>
      </c>
      <c r="CI86">
        <v>1</v>
      </c>
      <c r="CJ86">
        <v>1</v>
      </c>
      <c r="CK86">
        <v>22</v>
      </c>
      <c r="CL86" t="s">
        <v>89</v>
      </c>
    </row>
    <row r="87" spans="1:90">
      <c r="A87" t="s">
        <v>72</v>
      </c>
      <c r="B87" t="s">
        <v>73</v>
      </c>
      <c r="C87" t="s">
        <v>74</v>
      </c>
      <c r="E87" t="str">
        <f>"FES1162720750"</f>
        <v>FES1162720750</v>
      </c>
      <c r="F87" s="3">
        <v>43770</v>
      </c>
      <c r="G87">
        <v>202005</v>
      </c>
      <c r="H87" t="s">
        <v>75</v>
      </c>
      <c r="I87" t="s">
        <v>76</v>
      </c>
      <c r="J87" t="s">
        <v>77</v>
      </c>
      <c r="K87" t="s">
        <v>78</v>
      </c>
      <c r="L87" t="s">
        <v>349</v>
      </c>
      <c r="M87" t="s">
        <v>350</v>
      </c>
      <c r="N87" t="s">
        <v>351</v>
      </c>
      <c r="O87" t="s">
        <v>82</v>
      </c>
      <c r="P87" t="str">
        <f>"2170715127                    "</f>
        <v xml:space="preserve">2170715127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10.99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0.2</v>
      </c>
      <c r="BJ87">
        <v>2.4</v>
      </c>
      <c r="BK87">
        <v>2.5</v>
      </c>
      <c r="BL87" s="4">
        <v>63.32</v>
      </c>
      <c r="BM87" s="4">
        <v>9.5</v>
      </c>
      <c r="BN87" s="4">
        <v>72.819999999999993</v>
      </c>
      <c r="BO87" s="4">
        <v>72.819999999999993</v>
      </c>
      <c r="BQ87" t="s">
        <v>109</v>
      </c>
      <c r="BR87" t="s">
        <v>84</v>
      </c>
      <c r="BS87" s="3">
        <v>43773</v>
      </c>
      <c r="BT87" s="5">
        <v>0.41319444444444442</v>
      </c>
      <c r="BU87" t="s">
        <v>352</v>
      </c>
      <c r="BV87" t="s">
        <v>86</v>
      </c>
      <c r="BY87">
        <v>11885.44</v>
      </c>
      <c r="CC87" t="s">
        <v>350</v>
      </c>
      <c r="CD87">
        <v>6536</v>
      </c>
      <c r="CE87" t="s">
        <v>88</v>
      </c>
      <c r="CF87" s="3">
        <v>43775</v>
      </c>
      <c r="CI87">
        <v>1</v>
      </c>
      <c r="CJ87">
        <v>1</v>
      </c>
      <c r="CK87">
        <v>21</v>
      </c>
      <c r="CL87" t="s">
        <v>89</v>
      </c>
    </row>
    <row r="88" spans="1:90">
      <c r="A88" t="s">
        <v>72</v>
      </c>
      <c r="B88" t="s">
        <v>73</v>
      </c>
      <c r="C88" t="s">
        <v>74</v>
      </c>
      <c r="E88" t="str">
        <f>"FES1162720715"</f>
        <v>FES1162720715</v>
      </c>
      <c r="F88" s="3">
        <v>43770</v>
      </c>
      <c r="G88">
        <v>202005</v>
      </c>
      <c r="H88" t="s">
        <v>75</v>
      </c>
      <c r="I88" t="s">
        <v>76</v>
      </c>
      <c r="J88" t="s">
        <v>77</v>
      </c>
      <c r="K88" t="s">
        <v>78</v>
      </c>
      <c r="L88" t="s">
        <v>106</v>
      </c>
      <c r="M88" t="s">
        <v>107</v>
      </c>
      <c r="N88" t="s">
        <v>353</v>
      </c>
      <c r="O88" t="s">
        <v>82</v>
      </c>
      <c r="P88" t="str">
        <f>"2170715091                    "</f>
        <v xml:space="preserve">2170715091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15.38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1.5</v>
      </c>
      <c r="BJ88">
        <v>3.1</v>
      </c>
      <c r="BK88">
        <v>3.5</v>
      </c>
      <c r="BL88" s="4">
        <v>88.63</v>
      </c>
      <c r="BM88" s="4">
        <v>13.29</v>
      </c>
      <c r="BN88" s="4">
        <v>101.92</v>
      </c>
      <c r="BO88" s="4">
        <v>101.92</v>
      </c>
      <c r="BQ88" t="s">
        <v>354</v>
      </c>
      <c r="BR88" t="s">
        <v>84</v>
      </c>
      <c r="BS88" s="3">
        <v>43773</v>
      </c>
      <c r="BT88" s="5">
        <v>0.35833333333333334</v>
      </c>
      <c r="BU88" t="s">
        <v>355</v>
      </c>
      <c r="BV88" t="s">
        <v>86</v>
      </c>
      <c r="BY88">
        <v>15445.63</v>
      </c>
      <c r="CA88" t="s">
        <v>111</v>
      </c>
      <c r="CC88" t="s">
        <v>107</v>
      </c>
      <c r="CD88">
        <v>6001</v>
      </c>
      <c r="CE88" t="s">
        <v>88</v>
      </c>
      <c r="CF88" s="3">
        <v>43774</v>
      </c>
      <c r="CI88">
        <v>1</v>
      </c>
      <c r="CJ88">
        <v>1</v>
      </c>
      <c r="CK88">
        <v>21</v>
      </c>
      <c r="CL88" t="s">
        <v>89</v>
      </c>
    </row>
    <row r="89" spans="1:90">
      <c r="A89" t="s">
        <v>72</v>
      </c>
      <c r="B89" t="s">
        <v>73</v>
      </c>
      <c r="C89" t="s">
        <v>74</v>
      </c>
      <c r="E89" t="str">
        <f>"FES1162720590"</f>
        <v>FES1162720590</v>
      </c>
      <c r="F89" s="3">
        <v>43770</v>
      </c>
      <c r="G89">
        <v>202005</v>
      </c>
      <c r="H89" t="s">
        <v>75</v>
      </c>
      <c r="I89" t="s">
        <v>76</v>
      </c>
      <c r="J89" t="s">
        <v>77</v>
      </c>
      <c r="K89" t="s">
        <v>78</v>
      </c>
      <c r="L89" t="s">
        <v>101</v>
      </c>
      <c r="M89" t="s">
        <v>102</v>
      </c>
      <c r="N89" t="s">
        <v>356</v>
      </c>
      <c r="O89" t="s">
        <v>82</v>
      </c>
      <c r="P89" t="str">
        <f>"2170713079                    "</f>
        <v xml:space="preserve">2170713079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15.38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0.2</v>
      </c>
      <c r="BJ89">
        <v>3.2</v>
      </c>
      <c r="BK89">
        <v>3.5</v>
      </c>
      <c r="BL89" s="4">
        <v>88.63</v>
      </c>
      <c r="BM89" s="4">
        <v>13.29</v>
      </c>
      <c r="BN89" s="4">
        <v>101.92</v>
      </c>
      <c r="BO89" s="4">
        <v>101.92</v>
      </c>
      <c r="BQ89" t="s">
        <v>357</v>
      </c>
      <c r="BR89" t="s">
        <v>84</v>
      </c>
      <c r="BS89" s="3">
        <v>43773</v>
      </c>
      <c r="BT89" s="5">
        <v>0.40277777777777773</v>
      </c>
      <c r="BU89" t="s">
        <v>358</v>
      </c>
      <c r="BV89" t="s">
        <v>86</v>
      </c>
      <c r="BY89">
        <v>16238.48</v>
      </c>
      <c r="CA89" t="s">
        <v>359</v>
      </c>
      <c r="CC89" t="s">
        <v>102</v>
      </c>
      <c r="CD89">
        <v>186</v>
      </c>
      <c r="CE89" t="s">
        <v>88</v>
      </c>
      <c r="CF89" s="3">
        <v>43774</v>
      </c>
      <c r="CI89">
        <v>1</v>
      </c>
      <c r="CJ89">
        <v>1</v>
      </c>
      <c r="CK89">
        <v>21</v>
      </c>
      <c r="CL89" t="s">
        <v>89</v>
      </c>
    </row>
    <row r="90" spans="1:90">
      <c r="A90" t="s">
        <v>72</v>
      </c>
      <c r="B90" t="s">
        <v>73</v>
      </c>
      <c r="C90" t="s">
        <v>74</v>
      </c>
      <c r="E90" t="str">
        <f>"FES1162720658"</f>
        <v>FES1162720658</v>
      </c>
      <c r="F90" s="3">
        <v>43770</v>
      </c>
      <c r="G90">
        <v>202005</v>
      </c>
      <c r="H90" t="s">
        <v>75</v>
      </c>
      <c r="I90" t="s">
        <v>76</v>
      </c>
      <c r="J90" t="s">
        <v>77</v>
      </c>
      <c r="K90" t="s">
        <v>78</v>
      </c>
      <c r="L90" t="s">
        <v>75</v>
      </c>
      <c r="M90" t="s">
        <v>76</v>
      </c>
      <c r="N90" t="s">
        <v>360</v>
      </c>
      <c r="O90" t="s">
        <v>82</v>
      </c>
      <c r="P90" t="str">
        <f>"2170713100                    "</f>
        <v xml:space="preserve">2170713100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6.87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0.2</v>
      </c>
      <c r="BJ90">
        <v>1.3</v>
      </c>
      <c r="BK90">
        <v>1.5</v>
      </c>
      <c r="BL90" s="4">
        <v>39.58</v>
      </c>
      <c r="BM90" s="4">
        <v>5.94</v>
      </c>
      <c r="BN90" s="4">
        <v>45.52</v>
      </c>
      <c r="BO90" s="4">
        <v>45.52</v>
      </c>
      <c r="BQ90" t="s">
        <v>109</v>
      </c>
      <c r="BR90" t="s">
        <v>84</v>
      </c>
      <c r="BS90" s="3">
        <v>43773</v>
      </c>
      <c r="BT90" s="5">
        <v>0.33333333333333331</v>
      </c>
      <c r="BU90" t="s">
        <v>361</v>
      </c>
      <c r="BV90" t="s">
        <v>86</v>
      </c>
      <c r="BY90">
        <v>6685.56</v>
      </c>
      <c r="CA90" t="s">
        <v>362</v>
      </c>
      <c r="CC90" t="s">
        <v>76</v>
      </c>
      <c r="CD90">
        <v>1645</v>
      </c>
      <c r="CE90" t="s">
        <v>88</v>
      </c>
      <c r="CF90" s="3">
        <v>43774</v>
      </c>
      <c r="CI90">
        <v>1</v>
      </c>
      <c r="CJ90">
        <v>1</v>
      </c>
      <c r="CK90">
        <v>22</v>
      </c>
      <c r="CL90" t="s">
        <v>89</v>
      </c>
    </row>
    <row r="91" spans="1:90">
      <c r="A91" t="s">
        <v>72</v>
      </c>
      <c r="B91" t="s">
        <v>73</v>
      </c>
      <c r="C91" t="s">
        <v>74</v>
      </c>
      <c r="E91" t="str">
        <f>"FES1162720662"</f>
        <v>FES1162720662</v>
      </c>
      <c r="F91" s="3">
        <v>43770</v>
      </c>
      <c r="G91">
        <v>202005</v>
      </c>
      <c r="H91" t="s">
        <v>75</v>
      </c>
      <c r="I91" t="s">
        <v>76</v>
      </c>
      <c r="J91" t="s">
        <v>77</v>
      </c>
      <c r="K91" t="s">
        <v>78</v>
      </c>
      <c r="L91" t="s">
        <v>106</v>
      </c>
      <c r="M91" t="s">
        <v>107</v>
      </c>
      <c r="N91" t="s">
        <v>260</v>
      </c>
      <c r="O91" t="s">
        <v>82</v>
      </c>
      <c r="P91" t="str">
        <f>"2170713199                    "</f>
        <v xml:space="preserve">2170713199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13.19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3</v>
      </c>
      <c r="BJ91">
        <v>0.8</v>
      </c>
      <c r="BK91">
        <v>3</v>
      </c>
      <c r="BL91" s="4">
        <v>75.98</v>
      </c>
      <c r="BM91" s="4">
        <v>11.4</v>
      </c>
      <c r="BN91" s="4">
        <v>87.38</v>
      </c>
      <c r="BO91" s="4">
        <v>87.38</v>
      </c>
      <c r="BQ91" t="s">
        <v>121</v>
      </c>
      <c r="BR91" t="s">
        <v>84</v>
      </c>
      <c r="BS91" s="3">
        <v>43773</v>
      </c>
      <c r="BT91" s="5">
        <v>0.4375</v>
      </c>
      <c r="BU91" t="s">
        <v>261</v>
      </c>
      <c r="BV91" t="s">
        <v>86</v>
      </c>
      <c r="BY91">
        <v>4194.26</v>
      </c>
      <c r="CA91" t="s">
        <v>111</v>
      </c>
      <c r="CC91" t="s">
        <v>107</v>
      </c>
      <c r="CD91">
        <v>6001</v>
      </c>
      <c r="CE91" t="s">
        <v>88</v>
      </c>
      <c r="CF91" s="3">
        <v>43774</v>
      </c>
      <c r="CI91">
        <v>1</v>
      </c>
      <c r="CJ91">
        <v>1</v>
      </c>
      <c r="CK91">
        <v>21</v>
      </c>
      <c r="CL91" t="s">
        <v>89</v>
      </c>
    </row>
    <row r="92" spans="1:90">
      <c r="A92" t="s">
        <v>72</v>
      </c>
      <c r="B92" t="s">
        <v>73</v>
      </c>
      <c r="C92" t="s">
        <v>74</v>
      </c>
      <c r="E92" t="str">
        <f>"FES1162720680"</f>
        <v>FES1162720680</v>
      </c>
      <c r="F92" s="3">
        <v>43770</v>
      </c>
      <c r="G92">
        <v>202005</v>
      </c>
      <c r="H92" t="s">
        <v>75</v>
      </c>
      <c r="I92" t="s">
        <v>76</v>
      </c>
      <c r="J92" t="s">
        <v>77</v>
      </c>
      <c r="K92" t="s">
        <v>78</v>
      </c>
      <c r="L92" t="s">
        <v>106</v>
      </c>
      <c r="M92" t="s">
        <v>107</v>
      </c>
      <c r="N92" t="s">
        <v>108</v>
      </c>
      <c r="O92" t="s">
        <v>82</v>
      </c>
      <c r="P92" t="str">
        <f>"2170714689                    "</f>
        <v xml:space="preserve">2170714689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8.7899999999999991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0.2</v>
      </c>
      <c r="BJ92">
        <v>0.9</v>
      </c>
      <c r="BK92">
        <v>1</v>
      </c>
      <c r="BL92" s="4">
        <v>50.66</v>
      </c>
      <c r="BM92" s="4">
        <v>7.6</v>
      </c>
      <c r="BN92" s="4">
        <v>58.26</v>
      </c>
      <c r="BO92" s="4">
        <v>58.26</v>
      </c>
      <c r="BQ92" t="s">
        <v>109</v>
      </c>
      <c r="BR92" t="s">
        <v>84</v>
      </c>
      <c r="BS92" s="3">
        <v>43775</v>
      </c>
      <c r="BT92" s="5">
        <v>0.41666666666666669</v>
      </c>
      <c r="BU92" t="s">
        <v>363</v>
      </c>
      <c r="BV92" t="s">
        <v>89</v>
      </c>
      <c r="BW92" t="s">
        <v>364</v>
      </c>
      <c r="BX92" t="s">
        <v>365</v>
      </c>
      <c r="BY92">
        <v>4514.09</v>
      </c>
      <c r="CC92" t="s">
        <v>107</v>
      </c>
      <c r="CD92">
        <v>6001</v>
      </c>
      <c r="CE92" t="s">
        <v>88</v>
      </c>
      <c r="CF92" s="3">
        <v>43776</v>
      </c>
      <c r="CI92">
        <v>1</v>
      </c>
      <c r="CJ92">
        <v>3</v>
      </c>
      <c r="CK92">
        <v>21</v>
      </c>
      <c r="CL92" t="s">
        <v>89</v>
      </c>
    </row>
    <row r="93" spans="1:90">
      <c r="A93" t="s">
        <v>72</v>
      </c>
      <c r="B93" t="s">
        <v>73</v>
      </c>
      <c r="C93" t="s">
        <v>74</v>
      </c>
      <c r="E93" t="str">
        <f>"FES1162720645"</f>
        <v>FES1162720645</v>
      </c>
      <c r="F93" s="3">
        <v>43770</v>
      </c>
      <c r="G93">
        <v>202005</v>
      </c>
      <c r="H93" t="s">
        <v>75</v>
      </c>
      <c r="I93" t="s">
        <v>76</v>
      </c>
      <c r="J93" t="s">
        <v>77</v>
      </c>
      <c r="K93" t="s">
        <v>78</v>
      </c>
      <c r="L93" t="s">
        <v>75</v>
      </c>
      <c r="M93" t="s">
        <v>76</v>
      </c>
      <c r="N93" t="s">
        <v>366</v>
      </c>
      <c r="O93" t="s">
        <v>82</v>
      </c>
      <c r="P93" t="str">
        <f>"2170712185                    "</f>
        <v xml:space="preserve">2170712185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6.87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0.2</v>
      </c>
      <c r="BJ93">
        <v>1.2</v>
      </c>
      <c r="BK93">
        <v>1.5</v>
      </c>
      <c r="BL93" s="4">
        <v>39.58</v>
      </c>
      <c r="BM93" s="4">
        <v>5.94</v>
      </c>
      <c r="BN93" s="4">
        <v>45.52</v>
      </c>
      <c r="BO93" s="4">
        <v>45.52</v>
      </c>
      <c r="BR93" t="s">
        <v>84</v>
      </c>
      <c r="BS93" s="3">
        <v>43773</v>
      </c>
      <c r="BT93" s="5">
        <v>0.39444444444444443</v>
      </c>
      <c r="BU93" t="s">
        <v>367</v>
      </c>
      <c r="BV93" t="s">
        <v>86</v>
      </c>
      <c r="BY93">
        <v>5963.22</v>
      </c>
      <c r="CA93" t="s">
        <v>368</v>
      </c>
      <c r="CC93" t="s">
        <v>76</v>
      </c>
      <c r="CD93">
        <v>1624</v>
      </c>
      <c r="CE93" t="s">
        <v>88</v>
      </c>
      <c r="CF93" s="3">
        <v>43774</v>
      </c>
      <c r="CI93">
        <v>1</v>
      </c>
      <c r="CJ93">
        <v>1</v>
      </c>
      <c r="CK93">
        <v>22</v>
      </c>
      <c r="CL93" t="s">
        <v>89</v>
      </c>
    </row>
    <row r="94" spans="1:90">
      <c r="A94" t="s">
        <v>72</v>
      </c>
      <c r="B94" t="s">
        <v>73</v>
      </c>
      <c r="C94" t="s">
        <v>74</v>
      </c>
      <c r="E94" t="str">
        <f>"FES1162720714"</f>
        <v>FES1162720714</v>
      </c>
      <c r="F94" s="3">
        <v>43770</v>
      </c>
      <c r="G94">
        <v>202005</v>
      </c>
      <c r="H94" t="s">
        <v>75</v>
      </c>
      <c r="I94" t="s">
        <v>76</v>
      </c>
      <c r="J94" t="s">
        <v>77</v>
      </c>
      <c r="K94" t="s">
        <v>78</v>
      </c>
      <c r="L94" t="s">
        <v>112</v>
      </c>
      <c r="M94" t="s">
        <v>113</v>
      </c>
      <c r="N94" t="s">
        <v>160</v>
      </c>
      <c r="O94" t="s">
        <v>82</v>
      </c>
      <c r="P94" t="str">
        <f>"2170715090                    "</f>
        <v xml:space="preserve">2170715090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8.7899999999999991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</v>
      </c>
      <c r="BJ94">
        <v>0.9</v>
      </c>
      <c r="BK94">
        <v>2</v>
      </c>
      <c r="BL94" s="4">
        <v>50.66</v>
      </c>
      <c r="BM94" s="4">
        <v>7.6</v>
      </c>
      <c r="BN94" s="4">
        <v>58.26</v>
      </c>
      <c r="BO94" s="4">
        <v>58.26</v>
      </c>
      <c r="BQ94" t="s">
        <v>161</v>
      </c>
      <c r="BR94" t="s">
        <v>84</v>
      </c>
      <c r="BS94" s="3">
        <v>43773</v>
      </c>
      <c r="BT94" s="5">
        <v>0.39444444444444443</v>
      </c>
      <c r="BU94" t="s">
        <v>162</v>
      </c>
      <c r="BV94" t="s">
        <v>86</v>
      </c>
      <c r="BY94">
        <v>4253.9399999999996</v>
      </c>
      <c r="BZ94" t="s">
        <v>27</v>
      </c>
      <c r="CA94" t="s">
        <v>163</v>
      </c>
      <c r="CC94" t="s">
        <v>113</v>
      </c>
      <c r="CD94">
        <v>4000</v>
      </c>
      <c r="CE94" t="s">
        <v>88</v>
      </c>
      <c r="CF94" s="3">
        <v>43774</v>
      </c>
      <c r="CI94">
        <v>1</v>
      </c>
      <c r="CJ94">
        <v>1</v>
      </c>
      <c r="CK94">
        <v>21</v>
      </c>
      <c r="CL94" t="s">
        <v>89</v>
      </c>
    </row>
    <row r="95" spans="1:90">
      <c r="A95" t="s">
        <v>72</v>
      </c>
      <c r="B95" t="s">
        <v>73</v>
      </c>
      <c r="C95" t="s">
        <v>74</v>
      </c>
      <c r="E95" t="str">
        <f>"FES1162720839"</f>
        <v>FES1162720839</v>
      </c>
      <c r="F95" s="3">
        <v>43770</v>
      </c>
      <c r="G95">
        <v>202005</v>
      </c>
      <c r="H95" t="s">
        <v>75</v>
      </c>
      <c r="I95" t="s">
        <v>76</v>
      </c>
      <c r="J95" t="s">
        <v>77</v>
      </c>
      <c r="K95" t="s">
        <v>78</v>
      </c>
      <c r="L95" t="s">
        <v>112</v>
      </c>
      <c r="M95" t="s">
        <v>113</v>
      </c>
      <c r="N95" t="s">
        <v>369</v>
      </c>
      <c r="O95" t="s">
        <v>82</v>
      </c>
      <c r="P95" t="str">
        <f>"21707151213                   "</f>
        <v xml:space="preserve">21707151213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8.7899999999999991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0.2</v>
      </c>
      <c r="BJ95">
        <v>1.6</v>
      </c>
      <c r="BK95">
        <v>2</v>
      </c>
      <c r="BL95" s="4">
        <v>50.66</v>
      </c>
      <c r="BM95" s="4">
        <v>7.6</v>
      </c>
      <c r="BN95" s="4">
        <v>58.26</v>
      </c>
      <c r="BO95" s="4">
        <v>58.26</v>
      </c>
      <c r="BR95" t="s">
        <v>84</v>
      </c>
      <c r="BS95" s="3">
        <v>43774</v>
      </c>
      <c r="BT95" s="5">
        <v>0.54513888888888895</v>
      </c>
      <c r="BU95" t="s">
        <v>370</v>
      </c>
      <c r="BV95" t="s">
        <v>89</v>
      </c>
      <c r="BW95" t="s">
        <v>371</v>
      </c>
      <c r="BX95" t="s">
        <v>372</v>
      </c>
      <c r="BY95">
        <v>8233.68</v>
      </c>
      <c r="CC95" t="s">
        <v>113</v>
      </c>
      <c r="CD95">
        <v>4001</v>
      </c>
      <c r="CE95" t="s">
        <v>88</v>
      </c>
      <c r="CF95" s="3">
        <v>43777</v>
      </c>
      <c r="CI95">
        <v>1</v>
      </c>
      <c r="CJ95">
        <v>2</v>
      </c>
      <c r="CK95">
        <v>21</v>
      </c>
      <c r="CL95" t="s">
        <v>89</v>
      </c>
    </row>
    <row r="96" spans="1:90">
      <c r="A96" t="s">
        <v>72</v>
      </c>
      <c r="B96" t="s">
        <v>73</v>
      </c>
      <c r="C96" t="s">
        <v>74</v>
      </c>
      <c r="E96" t="str">
        <f>"FES1162720841"</f>
        <v>FES1162720841</v>
      </c>
      <c r="F96" s="3">
        <v>43770</v>
      </c>
      <c r="G96">
        <v>202005</v>
      </c>
      <c r="H96" t="s">
        <v>75</v>
      </c>
      <c r="I96" t="s">
        <v>76</v>
      </c>
      <c r="J96" t="s">
        <v>77</v>
      </c>
      <c r="K96" t="s">
        <v>78</v>
      </c>
      <c r="L96" t="s">
        <v>112</v>
      </c>
      <c r="M96" t="s">
        <v>113</v>
      </c>
      <c r="N96" t="s">
        <v>373</v>
      </c>
      <c r="O96" t="s">
        <v>82</v>
      </c>
      <c r="P96" t="str">
        <f>"2170715218                    "</f>
        <v xml:space="preserve">2170715218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8.7899999999999991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0.2</v>
      </c>
      <c r="BJ96">
        <v>0.8</v>
      </c>
      <c r="BK96">
        <v>1</v>
      </c>
      <c r="BL96" s="4">
        <v>50.66</v>
      </c>
      <c r="BM96" s="4">
        <v>7.6</v>
      </c>
      <c r="BN96" s="4">
        <v>58.26</v>
      </c>
      <c r="BO96" s="4">
        <v>58.26</v>
      </c>
      <c r="BQ96" t="s">
        <v>121</v>
      </c>
      <c r="BR96" t="s">
        <v>84</v>
      </c>
      <c r="BS96" s="3">
        <v>43773</v>
      </c>
      <c r="BT96" s="5">
        <v>0.36944444444444446</v>
      </c>
      <c r="BU96" t="s">
        <v>374</v>
      </c>
      <c r="BV96" t="s">
        <v>86</v>
      </c>
      <c r="BY96">
        <v>3808.8</v>
      </c>
      <c r="CA96" t="s">
        <v>255</v>
      </c>
      <c r="CC96" t="s">
        <v>113</v>
      </c>
      <c r="CD96">
        <v>4052</v>
      </c>
      <c r="CE96" t="s">
        <v>88</v>
      </c>
      <c r="CF96" s="3">
        <v>43774</v>
      </c>
      <c r="CI96">
        <v>1</v>
      </c>
      <c r="CJ96">
        <v>1</v>
      </c>
      <c r="CK96">
        <v>21</v>
      </c>
      <c r="CL96" t="s">
        <v>89</v>
      </c>
    </row>
    <row r="97" spans="1:90">
      <c r="A97" t="s">
        <v>72</v>
      </c>
      <c r="B97" t="s">
        <v>73</v>
      </c>
      <c r="C97" t="s">
        <v>74</v>
      </c>
      <c r="E97" t="str">
        <f>"FES1162720822"</f>
        <v>FES1162720822</v>
      </c>
      <c r="F97" s="3">
        <v>43770</v>
      </c>
      <c r="G97">
        <v>202005</v>
      </c>
      <c r="H97" t="s">
        <v>75</v>
      </c>
      <c r="I97" t="s">
        <v>76</v>
      </c>
      <c r="J97" t="s">
        <v>77</v>
      </c>
      <c r="K97" t="s">
        <v>78</v>
      </c>
      <c r="L97" t="s">
        <v>124</v>
      </c>
      <c r="M97" t="s">
        <v>125</v>
      </c>
      <c r="N97" t="s">
        <v>375</v>
      </c>
      <c r="O97" t="s">
        <v>82</v>
      </c>
      <c r="P97" t="str">
        <f>"2170715199                    "</f>
        <v xml:space="preserve">2170715199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6.87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0.2</v>
      </c>
      <c r="BJ97">
        <v>1.7</v>
      </c>
      <c r="BK97">
        <v>2</v>
      </c>
      <c r="BL97" s="4">
        <v>39.58</v>
      </c>
      <c r="BM97" s="4">
        <v>5.94</v>
      </c>
      <c r="BN97" s="4">
        <v>45.52</v>
      </c>
      <c r="BO97" s="4">
        <v>45.52</v>
      </c>
      <c r="BQ97" t="s">
        <v>109</v>
      </c>
      <c r="BR97" t="s">
        <v>84</v>
      </c>
      <c r="BS97" s="3">
        <v>43773</v>
      </c>
      <c r="BT97" s="5">
        <v>0.34027777777777773</v>
      </c>
      <c r="BU97" t="s">
        <v>376</v>
      </c>
      <c r="BV97" t="s">
        <v>86</v>
      </c>
      <c r="BY97">
        <v>8507.06</v>
      </c>
      <c r="CC97" t="s">
        <v>125</v>
      </c>
      <c r="CD97">
        <v>2013</v>
      </c>
      <c r="CE97" t="s">
        <v>88</v>
      </c>
      <c r="CF97" s="3">
        <v>43774</v>
      </c>
      <c r="CI97">
        <v>1</v>
      </c>
      <c r="CJ97">
        <v>1</v>
      </c>
      <c r="CK97">
        <v>22</v>
      </c>
      <c r="CL97" t="s">
        <v>89</v>
      </c>
    </row>
    <row r="98" spans="1:90">
      <c r="A98" t="s">
        <v>72</v>
      </c>
      <c r="B98" t="s">
        <v>73</v>
      </c>
      <c r="C98" t="s">
        <v>74</v>
      </c>
      <c r="E98" t="str">
        <f>"FES1162720080"</f>
        <v>FES1162720080</v>
      </c>
      <c r="F98" s="3">
        <v>43768</v>
      </c>
      <c r="G98">
        <v>202005</v>
      </c>
      <c r="H98" t="s">
        <v>75</v>
      </c>
      <c r="I98" t="s">
        <v>76</v>
      </c>
      <c r="J98" t="s">
        <v>211</v>
      </c>
      <c r="K98" t="s">
        <v>78</v>
      </c>
      <c r="L98" t="s">
        <v>184</v>
      </c>
      <c r="M98" t="s">
        <v>185</v>
      </c>
      <c r="N98" t="s">
        <v>377</v>
      </c>
      <c r="O98" t="s">
        <v>282</v>
      </c>
      <c r="P98" t="str">
        <f>"2170709288                    "</f>
        <v xml:space="preserve">2170709288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14.43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19.399999999999999</v>
      </c>
      <c r="BJ98">
        <v>8.6999999999999993</v>
      </c>
      <c r="BK98">
        <v>20</v>
      </c>
      <c r="BL98" s="4">
        <v>88.16</v>
      </c>
      <c r="BM98" s="4">
        <v>13.22</v>
      </c>
      <c r="BN98" s="4">
        <v>101.38</v>
      </c>
      <c r="BO98" s="4">
        <v>101.38</v>
      </c>
      <c r="BQ98" t="s">
        <v>121</v>
      </c>
      <c r="BR98" t="s">
        <v>212</v>
      </c>
      <c r="BS98" s="3">
        <v>43769</v>
      </c>
      <c r="BT98" s="5">
        <v>0.33333333333333331</v>
      </c>
      <c r="BU98" t="s">
        <v>378</v>
      </c>
      <c r="BV98" t="s">
        <v>86</v>
      </c>
      <c r="BY98">
        <v>43326</v>
      </c>
      <c r="CC98" t="s">
        <v>185</v>
      </c>
      <c r="CD98">
        <v>1500</v>
      </c>
      <c r="CE98" t="s">
        <v>88</v>
      </c>
      <c r="CF98" s="3">
        <v>43770</v>
      </c>
      <c r="CI98">
        <v>1</v>
      </c>
      <c r="CJ98">
        <v>1</v>
      </c>
      <c r="CK98" t="s">
        <v>379</v>
      </c>
      <c r="CL98" t="s">
        <v>89</v>
      </c>
    </row>
    <row r="99" spans="1:90">
      <c r="A99" t="s">
        <v>72</v>
      </c>
      <c r="B99" t="s">
        <v>73</v>
      </c>
      <c r="C99" t="s">
        <v>74</v>
      </c>
      <c r="E99" t="str">
        <f>"FES1162720082"</f>
        <v>FES1162720082</v>
      </c>
      <c r="F99" s="3">
        <v>43768</v>
      </c>
      <c r="G99">
        <v>202005</v>
      </c>
      <c r="H99" t="s">
        <v>75</v>
      </c>
      <c r="I99" t="s">
        <v>76</v>
      </c>
      <c r="J99" t="s">
        <v>211</v>
      </c>
      <c r="K99" t="s">
        <v>78</v>
      </c>
      <c r="L99" t="s">
        <v>280</v>
      </c>
      <c r="M99" t="s">
        <v>102</v>
      </c>
      <c r="N99" t="s">
        <v>380</v>
      </c>
      <c r="O99" t="s">
        <v>282</v>
      </c>
      <c r="P99" t="str">
        <f>"2170711419                    "</f>
        <v xml:space="preserve">2170711419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15.11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5.0999999999999996</v>
      </c>
      <c r="BJ99">
        <v>3.2</v>
      </c>
      <c r="BK99">
        <v>6</v>
      </c>
      <c r="BL99" s="4">
        <v>92.07</v>
      </c>
      <c r="BM99" s="4">
        <v>13.81</v>
      </c>
      <c r="BN99" s="4">
        <v>105.88</v>
      </c>
      <c r="BO99" s="4">
        <v>105.88</v>
      </c>
      <c r="BQ99" t="s">
        <v>121</v>
      </c>
      <c r="BR99" t="s">
        <v>212</v>
      </c>
      <c r="BS99" s="3">
        <v>43769</v>
      </c>
      <c r="BT99" s="5">
        <v>0.33333333333333331</v>
      </c>
      <c r="BU99" t="s">
        <v>381</v>
      </c>
      <c r="BV99" t="s">
        <v>86</v>
      </c>
      <c r="BY99">
        <v>16087.68</v>
      </c>
      <c r="CA99" t="s">
        <v>359</v>
      </c>
      <c r="CC99" t="s">
        <v>102</v>
      </c>
      <c r="CD99">
        <v>184</v>
      </c>
      <c r="CE99" t="s">
        <v>88</v>
      </c>
      <c r="CF99" s="3">
        <v>43770</v>
      </c>
      <c r="CI99">
        <v>0</v>
      </c>
      <c r="CJ99">
        <v>0</v>
      </c>
      <c r="CK99" t="s">
        <v>285</v>
      </c>
      <c r="CL99" t="s">
        <v>89</v>
      </c>
    </row>
    <row r="100" spans="1:90">
      <c r="A100" t="s">
        <v>72</v>
      </c>
      <c r="B100" t="s">
        <v>73</v>
      </c>
      <c r="C100" t="s">
        <v>74</v>
      </c>
      <c r="E100" t="str">
        <f>"FES1162720698"</f>
        <v>FES1162720698</v>
      </c>
      <c r="F100" s="3">
        <v>43770</v>
      </c>
      <c r="G100">
        <v>202005</v>
      </c>
      <c r="H100" t="s">
        <v>75</v>
      </c>
      <c r="I100" t="s">
        <v>76</v>
      </c>
      <c r="J100" t="s">
        <v>77</v>
      </c>
      <c r="K100" t="s">
        <v>78</v>
      </c>
      <c r="L100" t="s">
        <v>118</v>
      </c>
      <c r="M100" t="s">
        <v>119</v>
      </c>
      <c r="N100" t="s">
        <v>130</v>
      </c>
      <c r="O100" t="s">
        <v>82</v>
      </c>
      <c r="P100" t="str">
        <f>"21707136249                   "</f>
        <v xml:space="preserve">21707136249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8.7899999999999991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0.2</v>
      </c>
      <c r="BJ100">
        <v>1.4</v>
      </c>
      <c r="BK100">
        <v>1.5</v>
      </c>
      <c r="BL100" s="4">
        <v>50.66</v>
      </c>
      <c r="BM100" s="4">
        <v>7.6</v>
      </c>
      <c r="BN100" s="4">
        <v>58.26</v>
      </c>
      <c r="BO100" s="4">
        <v>58.26</v>
      </c>
      <c r="BQ100" t="s">
        <v>109</v>
      </c>
      <c r="BR100" t="s">
        <v>84</v>
      </c>
      <c r="BS100" s="3">
        <v>43773</v>
      </c>
      <c r="BT100" s="5">
        <v>0.43055555555555558</v>
      </c>
      <c r="BU100" t="s">
        <v>131</v>
      </c>
      <c r="BV100" t="s">
        <v>86</v>
      </c>
      <c r="BY100">
        <v>6874.2</v>
      </c>
      <c r="CA100" t="s">
        <v>132</v>
      </c>
      <c r="CC100" t="s">
        <v>119</v>
      </c>
      <c r="CD100">
        <v>3201</v>
      </c>
      <c r="CE100" t="s">
        <v>88</v>
      </c>
      <c r="CF100" s="3">
        <v>43774</v>
      </c>
      <c r="CI100">
        <v>1</v>
      </c>
      <c r="CJ100">
        <v>1</v>
      </c>
      <c r="CK100">
        <v>21</v>
      </c>
      <c r="CL100" t="s">
        <v>89</v>
      </c>
    </row>
    <row r="101" spans="1:90">
      <c r="A101" t="s">
        <v>72</v>
      </c>
      <c r="B101" t="s">
        <v>73</v>
      </c>
      <c r="C101" t="s">
        <v>74</v>
      </c>
      <c r="E101" t="str">
        <f>"FES1162720807"</f>
        <v>FES1162720807</v>
      </c>
      <c r="F101" s="3">
        <v>43770</v>
      </c>
      <c r="G101">
        <v>202005</v>
      </c>
      <c r="H101" t="s">
        <v>75</v>
      </c>
      <c r="I101" t="s">
        <v>76</v>
      </c>
      <c r="J101" t="s">
        <v>77</v>
      </c>
      <c r="K101" t="s">
        <v>78</v>
      </c>
      <c r="L101" t="s">
        <v>133</v>
      </c>
      <c r="M101" t="s">
        <v>134</v>
      </c>
      <c r="N101" t="s">
        <v>310</v>
      </c>
      <c r="O101" t="s">
        <v>82</v>
      </c>
      <c r="P101" t="str">
        <f>"2170715189                    "</f>
        <v xml:space="preserve">2170715189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8.7899999999999991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1.8</v>
      </c>
      <c r="BJ101">
        <v>0.8</v>
      </c>
      <c r="BK101">
        <v>2</v>
      </c>
      <c r="BL101" s="4">
        <v>50.66</v>
      </c>
      <c r="BM101" s="4">
        <v>7.6</v>
      </c>
      <c r="BN101" s="4">
        <v>58.26</v>
      </c>
      <c r="BO101" s="4">
        <v>58.26</v>
      </c>
      <c r="BQ101" t="s">
        <v>121</v>
      </c>
      <c r="BR101" t="s">
        <v>84</v>
      </c>
      <c r="BS101" s="3">
        <v>43773</v>
      </c>
      <c r="BT101" s="5">
        <v>0.43402777777777773</v>
      </c>
      <c r="BU101" t="s">
        <v>311</v>
      </c>
      <c r="BV101" t="s">
        <v>86</v>
      </c>
      <c r="BY101">
        <v>3896.74</v>
      </c>
      <c r="CA101" t="s">
        <v>137</v>
      </c>
      <c r="CC101" t="s">
        <v>134</v>
      </c>
      <c r="CD101">
        <v>5201</v>
      </c>
      <c r="CE101" t="s">
        <v>88</v>
      </c>
      <c r="CF101" s="3">
        <v>43775</v>
      </c>
      <c r="CI101">
        <v>1</v>
      </c>
      <c r="CJ101">
        <v>1</v>
      </c>
      <c r="CK101">
        <v>21</v>
      </c>
      <c r="CL101" t="s">
        <v>89</v>
      </c>
    </row>
    <row r="102" spans="1:90">
      <c r="A102" t="s">
        <v>72</v>
      </c>
      <c r="B102" t="s">
        <v>73</v>
      </c>
      <c r="C102" t="s">
        <v>74</v>
      </c>
      <c r="E102" t="str">
        <f>"FES1162720808"</f>
        <v>FES1162720808</v>
      </c>
      <c r="F102" s="3">
        <v>43770</v>
      </c>
      <c r="G102">
        <v>202005</v>
      </c>
      <c r="H102" t="s">
        <v>75</v>
      </c>
      <c r="I102" t="s">
        <v>76</v>
      </c>
      <c r="J102" t="s">
        <v>77</v>
      </c>
      <c r="K102" t="s">
        <v>78</v>
      </c>
      <c r="L102" t="s">
        <v>133</v>
      </c>
      <c r="M102" t="s">
        <v>134</v>
      </c>
      <c r="N102" t="s">
        <v>310</v>
      </c>
      <c r="O102" t="s">
        <v>82</v>
      </c>
      <c r="P102" t="str">
        <f>"2170715191                    "</f>
        <v xml:space="preserve">2170715191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8.7899999999999991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0.2</v>
      </c>
      <c r="BJ102">
        <v>1</v>
      </c>
      <c r="BK102">
        <v>1</v>
      </c>
      <c r="BL102" s="4">
        <v>50.66</v>
      </c>
      <c r="BM102" s="4">
        <v>7.6</v>
      </c>
      <c r="BN102" s="4">
        <v>58.26</v>
      </c>
      <c r="BO102" s="4">
        <v>58.26</v>
      </c>
      <c r="BQ102" t="s">
        <v>121</v>
      </c>
      <c r="BR102" t="s">
        <v>84</v>
      </c>
      <c r="BS102" s="3">
        <v>43773</v>
      </c>
      <c r="BT102" s="5">
        <v>0.43402777777777773</v>
      </c>
      <c r="BU102" t="s">
        <v>311</v>
      </c>
      <c r="BV102" t="s">
        <v>86</v>
      </c>
      <c r="BY102">
        <v>5210.28</v>
      </c>
      <c r="CA102" t="s">
        <v>137</v>
      </c>
      <c r="CC102" t="s">
        <v>134</v>
      </c>
      <c r="CD102">
        <v>5201</v>
      </c>
      <c r="CE102" t="s">
        <v>88</v>
      </c>
      <c r="CF102" s="3">
        <v>43775</v>
      </c>
      <c r="CI102">
        <v>1</v>
      </c>
      <c r="CJ102">
        <v>1</v>
      </c>
      <c r="CK102">
        <v>21</v>
      </c>
      <c r="CL102" t="s">
        <v>89</v>
      </c>
    </row>
    <row r="103" spans="1:90">
      <c r="A103" t="s">
        <v>72</v>
      </c>
      <c r="B103" t="s">
        <v>73</v>
      </c>
      <c r="C103" t="s">
        <v>74</v>
      </c>
      <c r="E103" t="str">
        <f>"FES1162720798"</f>
        <v>FES1162720798</v>
      </c>
      <c r="F103" s="3">
        <v>43770</v>
      </c>
      <c r="G103">
        <v>202005</v>
      </c>
      <c r="H103" t="s">
        <v>75</v>
      </c>
      <c r="I103" t="s">
        <v>76</v>
      </c>
      <c r="J103" t="s">
        <v>77</v>
      </c>
      <c r="K103" t="s">
        <v>78</v>
      </c>
      <c r="L103" t="s">
        <v>106</v>
      </c>
      <c r="M103" t="s">
        <v>107</v>
      </c>
      <c r="N103" t="s">
        <v>242</v>
      </c>
      <c r="O103" t="s">
        <v>82</v>
      </c>
      <c r="P103" t="str">
        <f>"2170715180                    "</f>
        <v xml:space="preserve">2170715180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8.7899999999999991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0.2</v>
      </c>
      <c r="BJ103">
        <v>1.2</v>
      </c>
      <c r="BK103">
        <v>1.5</v>
      </c>
      <c r="BL103" s="4">
        <v>50.66</v>
      </c>
      <c r="BM103" s="4">
        <v>7.6</v>
      </c>
      <c r="BN103" s="4">
        <v>58.26</v>
      </c>
      <c r="BO103" s="4">
        <v>58.26</v>
      </c>
      <c r="BQ103" t="s">
        <v>109</v>
      </c>
      <c r="BR103" t="s">
        <v>84</v>
      </c>
      <c r="BS103" s="3">
        <v>43773</v>
      </c>
      <c r="BT103" s="5">
        <v>0.39583333333333331</v>
      </c>
      <c r="BU103" t="s">
        <v>382</v>
      </c>
      <c r="BV103" t="s">
        <v>86</v>
      </c>
      <c r="BY103">
        <v>6111</v>
      </c>
      <c r="CA103" t="s">
        <v>244</v>
      </c>
      <c r="CC103" t="s">
        <v>107</v>
      </c>
      <c r="CD103">
        <v>6001</v>
      </c>
      <c r="CE103" t="s">
        <v>88</v>
      </c>
      <c r="CF103" s="3">
        <v>43774</v>
      </c>
      <c r="CI103">
        <v>1</v>
      </c>
      <c r="CJ103">
        <v>1</v>
      </c>
      <c r="CK103">
        <v>21</v>
      </c>
      <c r="CL103" t="s">
        <v>89</v>
      </c>
    </row>
    <row r="104" spans="1:90">
      <c r="A104" t="s">
        <v>72</v>
      </c>
      <c r="B104" t="s">
        <v>73</v>
      </c>
      <c r="C104" t="s">
        <v>74</v>
      </c>
      <c r="E104" t="str">
        <f>"FES1162720713"</f>
        <v>FES1162720713</v>
      </c>
      <c r="F104" s="3">
        <v>43770</v>
      </c>
      <c r="G104">
        <v>202005</v>
      </c>
      <c r="H104" t="s">
        <v>75</v>
      </c>
      <c r="I104" t="s">
        <v>76</v>
      </c>
      <c r="J104" t="s">
        <v>77</v>
      </c>
      <c r="K104" t="s">
        <v>78</v>
      </c>
      <c r="L104" t="s">
        <v>112</v>
      </c>
      <c r="M104" t="s">
        <v>113</v>
      </c>
      <c r="N104" t="s">
        <v>383</v>
      </c>
      <c r="O104" t="s">
        <v>82</v>
      </c>
      <c r="P104" t="str">
        <f>"2170715089                    "</f>
        <v xml:space="preserve">2170715089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8.7899999999999991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1.1000000000000001</v>
      </c>
      <c r="BJ104">
        <v>0.9</v>
      </c>
      <c r="BK104">
        <v>1.5</v>
      </c>
      <c r="BL104" s="4">
        <v>50.66</v>
      </c>
      <c r="BM104" s="4">
        <v>7.6</v>
      </c>
      <c r="BN104" s="4">
        <v>58.26</v>
      </c>
      <c r="BO104" s="4">
        <v>58.26</v>
      </c>
      <c r="BQ104" t="s">
        <v>121</v>
      </c>
      <c r="BR104" t="s">
        <v>84</v>
      </c>
      <c r="BS104" s="3">
        <v>43773</v>
      </c>
      <c r="BT104" s="5">
        <v>0.37152777777777773</v>
      </c>
      <c r="BU104" t="s">
        <v>384</v>
      </c>
      <c r="BV104" t="s">
        <v>86</v>
      </c>
      <c r="BY104">
        <v>4434.84</v>
      </c>
      <c r="CA104" t="s">
        <v>385</v>
      </c>
      <c r="CC104" t="s">
        <v>113</v>
      </c>
      <c r="CD104">
        <v>4051</v>
      </c>
      <c r="CE104" t="s">
        <v>88</v>
      </c>
      <c r="CF104" s="3">
        <v>43774</v>
      </c>
      <c r="CI104">
        <v>1</v>
      </c>
      <c r="CJ104">
        <v>1</v>
      </c>
      <c r="CK104">
        <v>21</v>
      </c>
      <c r="CL104" t="s">
        <v>89</v>
      </c>
    </row>
    <row r="105" spans="1:90">
      <c r="A105" t="s">
        <v>72</v>
      </c>
      <c r="B105" t="s">
        <v>73</v>
      </c>
      <c r="C105" t="s">
        <v>74</v>
      </c>
      <c r="E105" t="str">
        <f>"FES1162720737"</f>
        <v>FES1162720737</v>
      </c>
      <c r="F105" s="3">
        <v>43770</v>
      </c>
      <c r="G105">
        <v>202005</v>
      </c>
      <c r="H105" t="s">
        <v>75</v>
      </c>
      <c r="I105" t="s">
        <v>76</v>
      </c>
      <c r="J105" t="s">
        <v>77</v>
      </c>
      <c r="K105" t="s">
        <v>78</v>
      </c>
      <c r="L105" t="s">
        <v>106</v>
      </c>
      <c r="M105" t="s">
        <v>107</v>
      </c>
      <c r="N105" t="s">
        <v>386</v>
      </c>
      <c r="O105" t="s">
        <v>82</v>
      </c>
      <c r="P105" t="str">
        <f>"2170715113                    "</f>
        <v xml:space="preserve">2170715113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8.7899999999999991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0.2</v>
      </c>
      <c r="BJ105">
        <v>0.8</v>
      </c>
      <c r="BK105">
        <v>1</v>
      </c>
      <c r="BL105" s="4">
        <v>50.66</v>
      </c>
      <c r="BM105" s="4">
        <v>7.6</v>
      </c>
      <c r="BN105" s="4">
        <v>58.26</v>
      </c>
      <c r="BO105" s="4">
        <v>58.26</v>
      </c>
      <c r="BQ105" t="s">
        <v>387</v>
      </c>
      <c r="BR105" t="s">
        <v>84</v>
      </c>
      <c r="BS105" s="3">
        <v>43773</v>
      </c>
      <c r="BT105" s="5">
        <v>0.38611111111111113</v>
      </c>
      <c r="BU105" t="s">
        <v>388</v>
      </c>
      <c r="BV105" t="s">
        <v>86</v>
      </c>
      <c r="BY105">
        <v>3929.64</v>
      </c>
      <c r="CA105" t="s">
        <v>111</v>
      </c>
      <c r="CC105" t="s">
        <v>107</v>
      </c>
      <c r="CD105">
        <v>6001</v>
      </c>
      <c r="CE105" t="s">
        <v>88</v>
      </c>
      <c r="CF105" s="3">
        <v>43774</v>
      </c>
      <c r="CI105">
        <v>1</v>
      </c>
      <c r="CJ105">
        <v>1</v>
      </c>
      <c r="CK105">
        <v>21</v>
      </c>
      <c r="CL105" t="s">
        <v>89</v>
      </c>
    </row>
    <row r="106" spans="1:90">
      <c r="A106" t="s">
        <v>72</v>
      </c>
      <c r="B106" t="s">
        <v>73</v>
      </c>
      <c r="C106" t="s">
        <v>74</v>
      </c>
      <c r="E106" t="str">
        <f>"FES1162720684"</f>
        <v>FES1162720684</v>
      </c>
      <c r="F106" s="3">
        <v>43770</v>
      </c>
      <c r="G106">
        <v>202005</v>
      </c>
      <c r="H106" t="s">
        <v>75</v>
      </c>
      <c r="I106" t="s">
        <v>76</v>
      </c>
      <c r="J106" t="s">
        <v>77</v>
      </c>
      <c r="K106" t="s">
        <v>78</v>
      </c>
      <c r="L106" t="s">
        <v>118</v>
      </c>
      <c r="M106" t="s">
        <v>119</v>
      </c>
      <c r="N106" t="s">
        <v>120</v>
      </c>
      <c r="O106" t="s">
        <v>82</v>
      </c>
      <c r="P106" t="str">
        <f>"2170715059                    "</f>
        <v xml:space="preserve">2170715059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32.96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7.3</v>
      </c>
      <c r="BJ106">
        <v>3</v>
      </c>
      <c r="BK106">
        <v>7.5</v>
      </c>
      <c r="BL106" s="4">
        <v>189.89</v>
      </c>
      <c r="BM106" s="4">
        <v>28.48</v>
      </c>
      <c r="BN106" s="4">
        <v>218.37</v>
      </c>
      <c r="BO106" s="4">
        <v>218.37</v>
      </c>
      <c r="BQ106" t="s">
        <v>121</v>
      </c>
      <c r="BR106" t="s">
        <v>84</v>
      </c>
      <c r="BS106" s="3">
        <v>43773</v>
      </c>
      <c r="BT106" s="5">
        <v>0.40972222222222227</v>
      </c>
      <c r="BU106" t="s">
        <v>122</v>
      </c>
      <c r="BV106" t="s">
        <v>86</v>
      </c>
      <c r="BY106">
        <v>15117.22</v>
      </c>
      <c r="CA106" t="s">
        <v>123</v>
      </c>
      <c r="CC106" t="s">
        <v>119</v>
      </c>
      <c r="CD106">
        <v>3201</v>
      </c>
      <c r="CE106" t="s">
        <v>88</v>
      </c>
      <c r="CF106" s="3">
        <v>43774</v>
      </c>
      <c r="CI106">
        <v>1</v>
      </c>
      <c r="CJ106">
        <v>1</v>
      </c>
      <c r="CK106">
        <v>21</v>
      </c>
      <c r="CL106" t="s">
        <v>89</v>
      </c>
    </row>
    <row r="107" spans="1:90">
      <c r="A107" t="s">
        <v>72</v>
      </c>
      <c r="B107" t="s">
        <v>73</v>
      </c>
      <c r="C107" t="s">
        <v>74</v>
      </c>
      <c r="E107" t="str">
        <f>"FES1162720745"</f>
        <v>FES1162720745</v>
      </c>
      <c r="F107" s="3">
        <v>43770</v>
      </c>
      <c r="G107">
        <v>202005</v>
      </c>
      <c r="H107" t="s">
        <v>75</v>
      </c>
      <c r="I107" t="s">
        <v>76</v>
      </c>
      <c r="J107" t="s">
        <v>77</v>
      </c>
      <c r="K107" t="s">
        <v>78</v>
      </c>
      <c r="L107" t="s">
        <v>90</v>
      </c>
      <c r="M107" t="s">
        <v>91</v>
      </c>
      <c r="N107" t="s">
        <v>190</v>
      </c>
      <c r="O107" t="s">
        <v>82</v>
      </c>
      <c r="P107" t="str">
        <f>"2170715122                    "</f>
        <v xml:space="preserve">2170715122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35.15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7.6</v>
      </c>
      <c r="BJ107">
        <v>3.4</v>
      </c>
      <c r="BK107">
        <v>8</v>
      </c>
      <c r="BL107" s="4">
        <v>202.54</v>
      </c>
      <c r="BM107" s="4">
        <v>30.38</v>
      </c>
      <c r="BN107" s="4">
        <v>232.92</v>
      </c>
      <c r="BO107" s="4">
        <v>232.92</v>
      </c>
      <c r="BQ107" t="s">
        <v>109</v>
      </c>
      <c r="BR107" t="s">
        <v>84</v>
      </c>
      <c r="BS107" s="3">
        <v>43773</v>
      </c>
      <c r="BT107" s="5">
        <v>0.39374999999999999</v>
      </c>
      <c r="BU107" t="s">
        <v>191</v>
      </c>
      <c r="BV107" t="s">
        <v>86</v>
      </c>
      <c r="BY107">
        <v>17100.13</v>
      </c>
      <c r="CA107" t="s">
        <v>213</v>
      </c>
      <c r="CC107" t="s">
        <v>91</v>
      </c>
      <c r="CD107">
        <v>7441</v>
      </c>
      <c r="CE107" t="s">
        <v>88</v>
      </c>
      <c r="CF107" s="3">
        <v>43774</v>
      </c>
      <c r="CI107">
        <v>1</v>
      </c>
      <c r="CJ107">
        <v>1</v>
      </c>
      <c r="CK107">
        <v>21</v>
      </c>
      <c r="CL107" t="s">
        <v>89</v>
      </c>
    </row>
    <row r="108" spans="1:90">
      <c r="A108" t="s">
        <v>72</v>
      </c>
      <c r="B108" t="s">
        <v>73</v>
      </c>
      <c r="C108" t="s">
        <v>74</v>
      </c>
      <c r="E108" t="str">
        <f>"FES1162720635"</f>
        <v>FES1162720635</v>
      </c>
      <c r="F108" s="3">
        <v>43770</v>
      </c>
      <c r="G108">
        <v>202005</v>
      </c>
      <c r="H108" t="s">
        <v>75</v>
      </c>
      <c r="I108" t="s">
        <v>76</v>
      </c>
      <c r="J108" t="s">
        <v>77</v>
      </c>
      <c r="K108" t="s">
        <v>78</v>
      </c>
      <c r="L108" t="s">
        <v>202</v>
      </c>
      <c r="M108" t="s">
        <v>203</v>
      </c>
      <c r="N108" t="s">
        <v>389</v>
      </c>
      <c r="O108" t="s">
        <v>82</v>
      </c>
      <c r="P108" t="str">
        <f>"2170713451                    "</f>
        <v xml:space="preserve">2170713451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12.63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5.4</v>
      </c>
      <c r="BJ108">
        <v>3</v>
      </c>
      <c r="BK108">
        <v>5.5</v>
      </c>
      <c r="BL108" s="4">
        <v>72.78</v>
      </c>
      <c r="BM108" s="4">
        <v>10.92</v>
      </c>
      <c r="BN108" s="4">
        <v>83.7</v>
      </c>
      <c r="BO108" s="4">
        <v>83.7</v>
      </c>
      <c r="BQ108" t="s">
        <v>121</v>
      </c>
      <c r="BR108" t="s">
        <v>84</v>
      </c>
      <c r="BS108" s="3">
        <v>43773</v>
      </c>
      <c r="BT108" s="5">
        <v>0.33333333333333331</v>
      </c>
      <c r="BU108" t="s">
        <v>390</v>
      </c>
      <c r="BV108" t="s">
        <v>86</v>
      </c>
      <c r="BY108">
        <v>14883.75</v>
      </c>
      <c r="CC108" t="s">
        <v>203</v>
      </c>
      <c r="CD108">
        <v>1401</v>
      </c>
      <c r="CE108" t="s">
        <v>88</v>
      </c>
      <c r="CF108" s="3">
        <v>43774</v>
      </c>
      <c r="CI108">
        <v>1</v>
      </c>
      <c r="CJ108">
        <v>1</v>
      </c>
      <c r="CK108">
        <v>22</v>
      </c>
      <c r="CL108" t="s">
        <v>89</v>
      </c>
    </row>
    <row r="109" spans="1:90">
      <c r="A109" t="s">
        <v>72</v>
      </c>
      <c r="B109" t="s">
        <v>73</v>
      </c>
      <c r="C109" t="s">
        <v>74</v>
      </c>
      <c r="E109" t="str">
        <f>"FES1162720814"</f>
        <v>FES1162720814</v>
      </c>
      <c r="F109" s="3">
        <v>43770</v>
      </c>
      <c r="G109">
        <v>202005</v>
      </c>
      <c r="H109" t="s">
        <v>75</v>
      </c>
      <c r="I109" t="s">
        <v>76</v>
      </c>
      <c r="J109" t="s">
        <v>77</v>
      </c>
      <c r="K109" t="s">
        <v>78</v>
      </c>
      <c r="L109" t="s">
        <v>251</v>
      </c>
      <c r="M109" t="s">
        <v>252</v>
      </c>
      <c r="N109" t="s">
        <v>330</v>
      </c>
      <c r="O109" t="s">
        <v>82</v>
      </c>
      <c r="P109" t="str">
        <f>"2170714690                    "</f>
        <v xml:space="preserve">2170714690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8.7899999999999991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1.7</v>
      </c>
      <c r="BJ109">
        <v>0.9</v>
      </c>
      <c r="BK109">
        <v>2</v>
      </c>
      <c r="BL109" s="4">
        <v>50.66</v>
      </c>
      <c r="BM109" s="4">
        <v>7.6</v>
      </c>
      <c r="BN109" s="4">
        <v>58.26</v>
      </c>
      <c r="BO109" s="4">
        <v>58.26</v>
      </c>
      <c r="BQ109" t="s">
        <v>109</v>
      </c>
      <c r="BR109" t="s">
        <v>84</v>
      </c>
      <c r="BS109" s="3">
        <v>43773</v>
      </c>
      <c r="BT109" s="5">
        <v>0.42430555555555555</v>
      </c>
      <c r="BU109" t="s">
        <v>331</v>
      </c>
      <c r="BV109" t="s">
        <v>86</v>
      </c>
      <c r="BY109">
        <v>4662.79</v>
      </c>
      <c r="CA109" t="s">
        <v>255</v>
      </c>
      <c r="CC109" t="s">
        <v>252</v>
      </c>
      <c r="CD109">
        <v>4133</v>
      </c>
      <c r="CE109" t="s">
        <v>88</v>
      </c>
      <c r="CF109" s="3">
        <v>43774</v>
      </c>
      <c r="CI109">
        <v>1</v>
      </c>
      <c r="CJ109">
        <v>1</v>
      </c>
      <c r="CK109">
        <v>21</v>
      </c>
      <c r="CL109" t="s">
        <v>89</v>
      </c>
    </row>
    <row r="110" spans="1:90">
      <c r="A110" t="s">
        <v>72</v>
      </c>
      <c r="B110" t="s">
        <v>73</v>
      </c>
      <c r="C110" t="s">
        <v>74</v>
      </c>
      <c r="E110" t="str">
        <f>"FES1162720639"</f>
        <v>FES1162720639</v>
      </c>
      <c r="F110" s="3">
        <v>43770</v>
      </c>
      <c r="G110">
        <v>202005</v>
      </c>
      <c r="H110" t="s">
        <v>75</v>
      </c>
      <c r="I110" t="s">
        <v>76</v>
      </c>
      <c r="J110" t="s">
        <v>77</v>
      </c>
      <c r="K110" t="s">
        <v>78</v>
      </c>
      <c r="L110" t="s">
        <v>75</v>
      </c>
      <c r="M110" t="s">
        <v>76</v>
      </c>
      <c r="N110" t="s">
        <v>391</v>
      </c>
      <c r="O110" t="s">
        <v>82</v>
      </c>
      <c r="P110" t="str">
        <f>"2170715054                    "</f>
        <v xml:space="preserve">2170715054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6.87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0.9</v>
      </c>
      <c r="BJ110">
        <v>1.6</v>
      </c>
      <c r="BK110">
        <v>2</v>
      </c>
      <c r="BL110" s="4">
        <v>39.58</v>
      </c>
      <c r="BM110" s="4">
        <v>5.94</v>
      </c>
      <c r="BN110" s="4">
        <v>45.52</v>
      </c>
      <c r="BO110" s="4">
        <v>45.52</v>
      </c>
      <c r="BQ110" t="s">
        <v>109</v>
      </c>
      <c r="BR110" t="s">
        <v>84</v>
      </c>
      <c r="BS110" s="3">
        <v>43773</v>
      </c>
      <c r="BT110" s="5">
        <v>0.30972222222222223</v>
      </c>
      <c r="BU110" t="s">
        <v>392</v>
      </c>
      <c r="BV110" t="s">
        <v>86</v>
      </c>
      <c r="BY110">
        <v>8047.8</v>
      </c>
      <c r="CA110" t="s">
        <v>368</v>
      </c>
      <c r="CC110" t="s">
        <v>76</v>
      </c>
      <c r="CD110">
        <v>1600</v>
      </c>
      <c r="CE110" t="s">
        <v>88</v>
      </c>
      <c r="CF110" s="3">
        <v>43774</v>
      </c>
      <c r="CI110">
        <v>1</v>
      </c>
      <c r="CJ110">
        <v>1</v>
      </c>
      <c r="CK110">
        <v>22</v>
      </c>
      <c r="CL110" t="s">
        <v>89</v>
      </c>
    </row>
    <row r="111" spans="1:90">
      <c r="A111" t="s">
        <v>72</v>
      </c>
      <c r="B111" t="s">
        <v>73</v>
      </c>
      <c r="C111" t="s">
        <v>74</v>
      </c>
      <c r="E111" t="str">
        <f>"FES1162720791"</f>
        <v>FES1162720791</v>
      </c>
      <c r="F111" s="3">
        <v>43770</v>
      </c>
      <c r="G111">
        <v>202005</v>
      </c>
      <c r="H111" t="s">
        <v>75</v>
      </c>
      <c r="I111" t="s">
        <v>76</v>
      </c>
      <c r="J111" t="s">
        <v>77</v>
      </c>
      <c r="K111" t="s">
        <v>78</v>
      </c>
      <c r="L111" t="s">
        <v>112</v>
      </c>
      <c r="M111" t="s">
        <v>113</v>
      </c>
      <c r="N111" t="s">
        <v>160</v>
      </c>
      <c r="O111" t="s">
        <v>82</v>
      </c>
      <c r="P111" t="str">
        <f>"2170715172                    "</f>
        <v xml:space="preserve">2170715172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21.97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5</v>
      </c>
      <c r="BJ111">
        <v>3</v>
      </c>
      <c r="BK111">
        <v>5</v>
      </c>
      <c r="BL111" s="4">
        <v>126.6</v>
      </c>
      <c r="BM111" s="4">
        <v>18.989999999999998</v>
      </c>
      <c r="BN111" s="4">
        <v>145.59</v>
      </c>
      <c r="BO111" s="4">
        <v>145.59</v>
      </c>
      <c r="BQ111" t="s">
        <v>161</v>
      </c>
      <c r="BR111" t="s">
        <v>84</v>
      </c>
      <c r="BS111" s="3">
        <v>43773</v>
      </c>
      <c r="BT111" s="5">
        <v>0.32916666666666666</v>
      </c>
      <c r="BU111" t="s">
        <v>162</v>
      </c>
      <c r="BV111" t="s">
        <v>86</v>
      </c>
      <c r="BY111">
        <v>15153.79</v>
      </c>
      <c r="BZ111" t="s">
        <v>27</v>
      </c>
      <c r="CA111" t="s">
        <v>163</v>
      </c>
      <c r="CC111" t="s">
        <v>113</v>
      </c>
      <c r="CD111">
        <v>4000</v>
      </c>
      <c r="CE111" t="s">
        <v>88</v>
      </c>
      <c r="CF111" s="3">
        <v>43774</v>
      </c>
      <c r="CI111">
        <v>1</v>
      </c>
      <c r="CJ111">
        <v>1</v>
      </c>
      <c r="CK111">
        <v>21</v>
      </c>
      <c r="CL111" t="s">
        <v>89</v>
      </c>
    </row>
    <row r="112" spans="1:90">
      <c r="A112" t="s">
        <v>72</v>
      </c>
      <c r="B112" t="s">
        <v>73</v>
      </c>
      <c r="C112" t="s">
        <v>74</v>
      </c>
      <c r="E112" t="str">
        <f>"FES1162720767"</f>
        <v>FES1162720767</v>
      </c>
      <c r="F112" s="3">
        <v>43770</v>
      </c>
      <c r="G112">
        <v>202005</v>
      </c>
      <c r="H112" t="s">
        <v>75</v>
      </c>
      <c r="I112" t="s">
        <v>76</v>
      </c>
      <c r="J112" t="s">
        <v>77</v>
      </c>
      <c r="K112" t="s">
        <v>78</v>
      </c>
      <c r="L112" t="s">
        <v>106</v>
      </c>
      <c r="M112" t="s">
        <v>107</v>
      </c>
      <c r="N112" t="s">
        <v>128</v>
      </c>
      <c r="O112" t="s">
        <v>82</v>
      </c>
      <c r="P112" t="str">
        <f>"2170714918                    "</f>
        <v xml:space="preserve">2170714918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8.7899999999999991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1.8</v>
      </c>
      <c r="BJ112">
        <v>1.8</v>
      </c>
      <c r="BK112">
        <v>2</v>
      </c>
      <c r="BL112" s="4">
        <v>50.66</v>
      </c>
      <c r="BM112" s="4">
        <v>7.6</v>
      </c>
      <c r="BN112" s="4">
        <v>58.26</v>
      </c>
      <c r="BO112" s="4">
        <v>58.26</v>
      </c>
      <c r="BQ112" t="s">
        <v>121</v>
      </c>
      <c r="BR112" t="s">
        <v>84</v>
      </c>
      <c r="BS112" s="3">
        <v>43773</v>
      </c>
      <c r="BT112" s="5">
        <v>0.33333333333333331</v>
      </c>
      <c r="BU112" t="s">
        <v>129</v>
      </c>
      <c r="BV112" t="s">
        <v>86</v>
      </c>
      <c r="BY112">
        <v>9084.24</v>
      </c>
      <c r="CA112" t="s">
        <v>87</v>
      </c>
      <c r="CC112" t="s">
        <v>107</v>
      </c>
      <c r="CD112">
        <v>6001</v>
      </c>
      <c r="CE112" t="s">
        <v>88</v>
      </c>
      <c r="CF112" s="3">
        <v>43774</v>
      </c>
      <c r="CI112">
        <v>1</v>
      </c>
      <c r="CJ112">
        <v>1</v>
      </c>
      <c r="CK112">
        <v>21</v>
      </c>
      <c r="CL112" t="s">
        <v>89</v>
      </c>
    </row>
    <row r="113" spans="1:90">
      <c r="A113" t="s">
        <v>72</v>
      </c>
      <c r="B113" t="s">
        <v>73</v>
      </c>
      <c r="C113" t="s">
        <v>74</v>
      </c>
      <c r="E113" t="str">
        <f>"FES1162720838"</f>
        <v>FES1162720838</v>
      </c>
      <c r="F113" s="3">
        <v>43770</v>
      </c>
      <c r="G113">
        <v>202005</v>
      </c>
      <c r="H113" t="s">
        <v>75</v>
      </c>
      <c r="I113" t="s">
        <v>76</v>
      </c>
      <c r="J113" t="s">
        <v>77</v>
      </c>
      <c r="K113" t="s">
        <v>78</v>
      </c>
      <c r="L113" t="s">
        <v>90</v>
      </c>
      <c r="M113" t="s">
        <v>91</v>
      </c>
      <c r="N113" t="s">
        <v>393</v>
      </c>
      <c r="O113" t="s">
        <v>82</v>
      </c>
      <c r="P113" t="str">
        <f>"2170715217                    "</f>
        <v xml:space="preserve">2170715217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15.38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3.1</v>
      </c>
      <c r="BJ113">
        <v>3</v>
      </c>
      <c r="BK113">
        <v>3.5</v>
      </c>
      <c r="BL113" s="4">
        <v>88.63</v>
      </c>
      <c r="BM113" s="4">
        <v>13.29</v>
      </c>
      <c r="BN113" s="4">
        <v>101.92</v>
      </c>
      <c r="BO113" s="4">
        <v>101.92</v>
      </c>
      <c r="BQ113" t="s">
        <v>121</v>
      </c>
      <c r="BR113" t="s">
        <v>84</v>
      </c>
      <c r="BS113" s="3">
        <v>43773</v>
      </c>
      <c r="BT113" s="5">
        <v>0.41736111111111113</v>
      </c>
      <c r="BU113" t="s">
        <v>394</v>
      </c>
      <c r="BV113" t="s">
        <v>86</v>
      </c>
      <c r="BY113">
        <v>15108.8</v>
      </c>
      <c r="CA113" t="s">
        <v>221</v>
      </c>
      <c r="CC113" t="s">
        <v>91</v>
      </c>
      <c r="CD113">
        <v>7405</v>
      </c>
      <c r="CE113" t="s">
        <v>88</v>
      </c>
      <c r="CF113" s="3">
        <v>43774</v>
      </c>
      <c r="CI113">
        <v>1</v>
      </c>
      <c r="CJ113">
        <v>1</v>
      </c>
      <c r="CK113">
        <v>21</v>
      </c>
      <c r="CL113" t="s">
        <v>89</v>
      </c>
    </row>
    <row r="114" spans="1:90">
      <c r="A114" t="s">
        <v>72</v>
      </c>
      <c r="B114" t="s">
        <v>73</v>
      </c>
      <c r="C114" t="s">
        <v>74</v>
      </c>
      <c r="E114" t="str">
        <f>"FES1162720833"</f>
        <v>FES1162720833</v>
      </c>
      <c r="F114" s="3">
        <v>43770</v>
      </c>
      <c r="G114">
        <v>202005</v>
      </c>
      <c r="H114" t="s">
        <v>75</v>
      </c>
      <c r="I114" t="s">
        <v>76</v>
      </c>
      <c r="J114" t="s">
        <v>77</v>
      </c>
      <c r="K114" t="s">
        <v>78</v>
      </c>
      <c r="L114" t="s">
        <v>106</v>
      </c>
      <c r="M114" t="s">
        <v>107</v>
      </c>
      <c r="N114" t="s">
        <v>395</v>
      </c>
      <c r="O114" t="s">
        <v>82</v>
      </c>
      <c r="P114" t="str">
        <f>"2170715209                    "</f>
        <v xml:space="preserve">2170715209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10.99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2.2000000000000002</v>
      </c>
      <c r="BJ114">
        <v>1.3</v>
      </c>
      <c r="BK114">
        <v>2.5</v>
      </c>
      <c r="BL114" s="4">
        <v>63.32</v>
      </c>
      <c r="BM114" s="4">
        <v>9.5</v>
      </c>
      <c r="BN114" s="4">
        <v>72.819999999999993</v>
      </c>
      <c r="BO114" s="4">
        <v>72.819999999999993</v>
      </c>
      <c r="BQ114" t="s">
        <v>121</v>
      </c>
      <c r="BR114" t="s">
        <v>84</v>
      </c>
      <c r="BS114" s="3">
        <v>43773</v>
      </c>
      <c r="BT114" s="5">
        <v>0.40277777777777773</v>
      </c>
      <c r="BU114" t="s">
        <v>396</v>
      </c>
      <c r="BV114" t="s">
        <v>86</v>
      </c>
      <c r="BY114">
        <v>6709.76</v>
      </c>
      <c r="CA114" t="s">
        <v>244</v>
      </c>
      <c r="CC114" t="s">
        <v>107</v>
      </c>
      <c r="CD114">
        <v>6001</v>
      </c>
      <c r="CE114" t="s">
        <v>88</v>
      </c>
      <c r="CF114" s="3">
        <v>43774</v>
      </c>
      <c r="CI114">
        <v>1</v>
      </c>
      <c r="CJ114">
        <v>1</v>
      </c>
      <c r="CK114">
        <v>21</v>
      </c>
      <c r="CL114" t="s">
        <v>89</v>
      </c>
    </row>
    <row r="115" spans="1:90">
      <c r="A115" t="s">
        <v>72</v>
      </c>
      <c r="B115" t="s">
        <v>73</v>
      </c>
      <c r="C115" t="s">
        <v>74</v>
      </c>
      <c r="E115" t="str">
        <f>"FES1162720837"</f>
        <v>FES1162720837</v>
      </c>
      <c r="F115" s="3">
        <v>43770</v>
      </c>
      <c r="G115">
        <v>202005</v>
      </c>
      <c r="H115" t="s">
        <v>75</v>
      </c>
      <c r="I115" t="s">
        <v>76</v>
      </c>
      <c r="J115" t="s">
        <v>77</v>
      </c>
      <c r="K115" t="s">
        <v>78</v>
      </c>
      <c r="L115" t="s">
        <v>112</v>
      </c>
      <c r="M115" t="s">
        <v>113</v>
      </c>
      <c r="N115" t="s">
        <v>397</v>
      </c>
      <c r="O115" t="s">
        <v>82</v>
      </c>
      <c r="P115" t="str">
        <f>"2170715214                    "</f>
        <v xml:space="preserve">2170715214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13.19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2</v>
      </c>
      <c r="BJ115">
        <v>2.8</v>
      </c>
      <c r="BK115">
        <v>3</v>
      </c>
      <c r="BL115" s="4">
        <v>75.98</v>
      </c>
      <c r="BM115" s="4">
        <v>11.4</v>
      </c>
      <c r="BN115" s="4">
        <v>87.38</v>
      </c>
      <c r="BO115" s="4">
        <v>87.38</v>
      </c>
      <c r="BQ115" t="s">
        <v>121</v>
      </c>
      <c r="BR115" t="s">
        <v>84</v>
      </c>
      <c r="BS115" s="3">
        <v>43773</v>
      </c>
      <c r="BT115" s="5">
        <v>0.33888888888888885</v>
      </c>
      <c r="BU115" t="s">
        <v>398</v>
      </c>
      <c r="BV115" t="s">
        <v>86</v>
      </c>
      <c r="BY115">
        <v>13866.3</v>
      </c>
      <c r="BZ115" t="s">
        <v>27</v>
      </c>
      <c r="CA115" t="s">
        <v>163</v>
      </c>
      <c r="CC115" t="s">
        <v>113</v>
      </c>
      <c r="CD115">
        <v>4051</v>
      </c>
      <c r="CE115" t="s">
        <v>88</v>
      </c>
      <c r="CF115" s="3">
        <v>43774</v>
      </c>
      <c r="CI115">
        <v>1</v>
      </c>
      <c r="CJ115">
        <v>1</v>
      </c>
      <c r="CK115">
        <v>21</v>
      </c>
      <c r="CL115" t="s">
        <v>89</v>
      </c>
    </row>
    <row r="116" spans="1:90">
      <c r="A116" t="s">
        <v>72</v>
      </c>
      <c r="B116" t="s">
        <v>73</v>
      </c>
      <c r="C116" t="s">
        <v>74</v>
      </c>
      <c r="E116" t="str">
        <f>"FES1162720828"</f>
        <v>FES1162720828</v>
      </c>
      <c r="F116" s="3">
        <v>43770</v>
      </c>
      <c r="G116">
        <v>202005</v>
      </c>
      <c r="H116" t="s">
        <v>75</v>
      </c>
      <c r="I116" t="s">
        <v>76</v>
      </c>
      <c r="J116" t="s">
        <v>77</v>
      </c>
      <c r="K116" t="s">
        <v>78</v>
      </c>
      <c r="L116" t="s">
        <v>101</v>
      </c>
      <c r="M116" t="s">
        <v>102</v>
      </c>
      <c r="N116" t="s">
        <v>208</v>
      </c>
      <c r="O116" t="s">
        <v>82</v>
      </c>
      <c r="P116" t="str">
        <f>"2170715203                    "</f>
        <v xml:space="preserve">2170715203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8.7899999999999991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0.2</v>
      </c>
      <c r="BJ116">
        <v>1.2</v>
      </c>
      <c r="BK116">
        <v>1.5</v>
      </c>
      <c r="BL116" s="4">
        <v>50.66</v>
      </c>
      <c r="BM116" s="4">
        <v>7.6</v>
      </c>
      <c r="BN116" s="4">
        <v>58.26</v>
      </c>
      <c r="BO116" s="4">
        <v>58.26</v>
      </c>
      <c r="BQ116" t="s">
        <v>209</v>
      </c>
      <c r="BR116" t="s">
        <v>84</v>
      </c>
      <c r="BS116" s="3">
        <v>43773</v>
      </c>
      <c r="BT116" s="5">
        <v>0.39583333333333331</v>
      </c>
      <c r="BU116" t="s">
        <v>399</v>
      </c>
      <c r="BV116" t="s">
        <v>86</v>
      </c>
      <c r="BY116">
        <v>6234.87</v>
      </c>
      <c r="CA116" t="s">
        <v>123</v>
      </c>
      <c r="CC116" t="s">
        <v>102</v>
      </c>
      <c r="CD116">
        <v>200</v>
      </c>
      <c r="CE116" t="s">
        <v>88</v>
      </c>
      <c r="CF116" s="3">
        <v>43774</v>
      </c>
      <c r="CI116">
        <v>1</v>
      </c>
      <c r="CJ116">
        <v>1</v>
      </c>
      <c r="CK116">
        <v>21</v>
      </c>
      <c r="CL116" t="s">
        <v>89</v>
      </c>
    </row>
    <row r="117" spans="1:90">
      <c r="A117" t="s">
        <v>72</v>
      </c>
      <c r="B117" t="s">
        <v>73</v>
      </c>
      <c r="C117" t="s">
        <v>74</v>
      </c>
      <c r="E117" t="str">
        <f>"FES1162720823"</f>
        <v>FES1162720823</v>
      </c>
      <c r="F117" s="3">
        <v>43770</v>
      </c>
      <c r="G117">
        <v>202005</v>
      </c>
      <c r="H117" t="s">
        <v>75</v>
      </c>
      <c r="I117" t="s">
        <v>76</v>
      </c>
      <c r="J117" t="s">
        <v>77</v>
      </c>
      <c r="K117" t="s">
        <v>78</v>
      </c>
      <c r="L117" t="s">
        <v>101</v>
      </c>
      <c r="M117" t="s">
        <v>102</v>
      </c>
      <c r="N117" t="s">
        <v>208</v>
      </c>
      <c r="O117" t="s">
        <v>82</v>
      </c>
      <c r="P117" t="str">
        <f>"2170715200                    "</f>
        <v xml:space="preserve">2170715200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8.7899999999999991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0.2</v>
      </c>
      <c r="BJ117">
        <v>1.4</v>
      </c>
      <c r="BK117">
        <v>1.5</v>
      </c>
      <c r="BL117" s="4">
        <v>50.66</v>
      </c>
      <c r="BM117" s="4">
        <v>7.6</v>
      </c>
      <c r="BN117" s="4">
        <v>58.26</v>
      </c>
      <c r="BO117" s="4">
        <v>58.26</v>
      </c>
      <c r="BQ117" t="s">
        <v>209</v>
      </c>
      <c r="BR117" t="s">
        <v>84</v>
      </c>
      <c r="BS117" s="3">
        <v>43773</v>
      </c>
      <c r="BT117" s="5">
        <v>0.39583333333333331</v>
      </c>
      <c r="BU117" t="s">
        <v>399</v>
      </c>
      <c r="BV117" t="s">
        <v>86</v>
      </c>
      <c r="BY117">
        <v>7006.86</v>
      </c>
      <c r="CA117" t="s">
        <v>123</v>
      </c>
      <c r="CC117" t="s">
        <v>102</v>
      </c>
      <c r="CD117">
        <v>200</v>
      </c>
      <c r="CE117" t="s">
        <v>88</v>
      </c>
      <c r="CF117" s="3">
        <v>43774</v>
      </c>
      <c r="CI117">
        <v>1</v>
      </c>
      <c r="CJ117">
        <v>1</v>
      </c>
      <c r="CK117">
        <v>21</v>
      </c>
      <c r="CL117" t="s">
        <v>89</v>
      </c>
    </row>
    <row r="118" spans="1:90">
      <c r="A118" t="s">
        <v>72</v>
      </c>
      <c r="B118" t="s">
        <v>73</v>
      </c>
      <c r="C118" t="s">
        <v>74</v>
      </c>
      <c r="E118" t="str">
        <f>"FES1162720821"</f>
        <v>FES1162720821</v>
      </c>
      <c r="F118" s="3">
        <v>43770</v>
      </c>
      <c r="G118">
        <v>202005</v>
      </c>
      <c r="H118" t="s">
        <v>75</v>
      </c>
      <c r="I118" t="s">
        <v>76</v>
      </c>
      <c r="J118" t="s">
        <v>77</v>
      </c>
      <c r="K118" t="s">
        <v>78</v>
      </c>
      <c r="L118" t="s">
        <v>101</v>
      </c>
      <c r="M118" t="s">
        <v>102</v>
      </c>
      <c r="N118" t="s">
        <v>208</v>
      </c>
      <c r="O118" t="s">
        <v>82</v>
      </c>
      <c r="P118" t="str">
        <f>"2170715198                    "</f>
        <v xml:space="preserve">2170715198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8.7899999999999991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0.2</v>
      </c>
      <c r="BJ118">
        <v>1.7</v>
      </c>
      <c r="BK118">
        <v>2</v>
      </c>
      <c r="BL118" s="4">
        <v>50.66</v>
      </c>
      <c r="BM118" s="4">
        <v>7.6</v>
      </c>
      <c r="BN118" s="4">
        <v>58.26</v>
      </c>
      <c r="BO118" s="4">
        <v>58.26</v>
      </c>
      <c r="BQ118" t="s">
        <v>209</v>
      </c>
      <c r="BR118" t="s">
        <v>84</v>
      </c>
      <c r="BS118" s="3">
        <v>43773</v>
      </c>
      <c r="BT118" s="5">
        <v>0.39583333333333331</v>
      </c>
      <c r="BU118" t="s">
        <v>210</v>
      </c>
      <c r="BV118" t="s">
        <v>86</v>
      </c>
      <c r="BY118">
        <v>8564.4</v>
      </c>
      <c r="CC118" t="s">
        <v>102</v>
      </c>
      <c r="CD118">
        <v>200</v>
      </c>
      <c r="CE118" t="s">
        <v>88</v>
      </c>
      <c r="CF118" s="3">
        <v>43774</v>
      </c>
      <c r="CI118">
        <v>1</v>
      </c>
      <c r="CJ118">
        <v>1</v>
      </c>
      <c r="CK118">
        <v>21</v>
      </c>
      <c r="CL118" t="s">
        <v>89</v>
      </c>
    </row>
    <row r="119" spans="1:90">
      <c r="A119" t="s">
        <v>72</v>
      </c>
      <c r="B119" t="s">
        <v>73</v>
      </c>
      <c r="C119" t="s">
        <v>74</v>
      </c>
      <c r="E119" t="str">
        <f>"FES1162720832"</f>
        <v>FES1162720832</v>
      </c>
      <c r="F119" s="3">
        <v>43770</v>
      </c>
      <c r="G119">
        <v>202005</v>
      </c>
      <c r="H119" t="s">
        <v>75</v>
      </c>
      <c r="I119" t="s">
        <v>76</v>
      </c>
      <c r="J119" t="s">
        <v>77</v>
      </c>
      <c r="K119" t="s">
        <v>78</v>
      </c>
      <c r="L119" t="s">
        <v>124</v>
      </c>
      <c r="M119" t="s">
        <v>125</v>
      </c>
      <c r="N119" t="s">
        <v>218</v>
      </c>
      <c r="O119" t="s">
        <v>82</v>
      </c>
      <c r="P119" t="str">
        <f>"2170715207                    "</f>
        <v xml:space="preserve">2170715207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6.87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0.2</v>
      </c>
      <c r="BJ119">
        <v>1.4</v>
      </c>
      <c r="BK119">
        <v>1.5</v>
      </c>
      <c r="BL119" s="4">
        <v>39.58</v>
      </c>
      <c r="BM119" s="4">
        <v>5.94</v>
      </c>
      <c r="BN119" s="4">
        <v>45.52</v>
      </c>
      <c r="BO119" s="4">
        <v>45.52</v>
      </c>
      <c r="BQ119" t="s">
        <v>121</v>
      </c>
      <c r="BR119" t="s">
        <v>84</v>
      </c>
      <c r="BS119" s="3">
        <v>43773</v>
      </c>
      <c r="BT119" s="5">
        <v>0.36944444444444446</v>
      </c>
      <c r="BU119" t="s">
        <v>400</v>
      </c>
      <c r="BV119" t="s">
        <v>86</v>
      </c>
      <c r="BY119">
        <v>6872.78</v>
      </c>
      <c r="CA119" t="s">
        <v>123</v>
      </c>
      <c r="CC119" t="s">
        <v>125</v>
      </c>
      <c r="CD119">
        <v>2094</v>
      </c>
      <c r="CE119" t="s">
        <v>88</v>
      </c>
      <c r="CF119" s="3">
        <v>43774</v>
      </c>
      <c r="CI119">
        <v>1</v>
      </c>
      <c r="CJ119">
        <v>1</v>
      </c>
      <c r="CK119">
        <v>22</v>
      </c>
      <c r="CL119" t="s">
        <v>89</v>
      </c>
    </row>
    <row r="120" spans="1:90">
      <c r="A120" t="s">
        <v>72</v>
      </c>
      <c r="B120" t="s">
        <v>73</v>
      </c>
      <c r="C120" t="s">
        <v>74</v>
      </c>
      <c r="E120" t="str">
        <f>"FES1162720806"</f>
        <v>FES1162720806</v>
      </c>
      <c r="F120" s="3">
        <v>43770</v>
      </c>
      <c r="G120">
        <v>202005</v>
      </c>
      <c r="H120" t="s">
        <v>75</v>
      </c>
      <c r="I120" t="s">
        <v>76</v>
      </c>
      <c r="J120" t="s">
        <v>77</v>
      </c>
      <c r="K120" t="s">
        <v>78</v>
      </c>
      <c r="L120" t="s">
        <v>90</v>
      </c>
      <c r="M120" t="s">
        <v>91</v>
      </c>
      <c r="N120" t="s">
        <v>401</v>
      </c>
      <c r="O120" t="s">
        <v>82</v>
      </c>
      <c r="P120" t="str">
        <f>"2170715188                    "</f>
        <v xml:space="preserve">2170715188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8.7899999999999991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0.2</v>
      </c>
      <c r="BJ120">
        <v>1.1000000000000001</v>
      </c>
      <c r="BK120">
        <v>1.5</v>
      </c>
      <c r="BL120" s="4">
        <v>50.66</v>
      </c>
      <c r="BM120" s="4">
        <v>7.6</v>
      </c>
      <c r="BN120" s="4">
        <v>58.26</v>
      </c>
      <c r="BO120" s="4">
        <v>58.26</v>
      </c>
      <c r="BQ120" t="s">
        <v>109</v>
      </c>
      <c r="BR120" t="s">
        <v>84</v>
      </c>
      <c r="BS120" s="3">
        <v>43773</v>
      </c>
      <c r="BT120" s="5">
        <v>0.32847222222222222</v>
      </c>
      <c r="BU120" t="s">
        <v>402</v>
      </c>
      <c r="BV120" t="s">
        <v>86</v>
      </c>
      <c r="BY120">
        <v>5477.6</v>
      </c>
      <c r="CA120" t="s">
        <v>221</v>
      </c>
      <c r="CC120" t="s">
        <v>91</v>
      </c>
      <c r="CD120">
        <v>7441</v>
      </c>
      <c r="CE120" t="s">
        <v>88</v>
      </c>
      <c r="CF120" s="3">
        <v>43774</v>
      </c>
      <c r="CI120">
        <v>1</v>
      </c>
      <c r="CJ120">
        <v>1</v>
      </c>
      <c r="CK120">
        <v>21</v>
      </c>
      <c r="CL120" t="s">
        <v>89</v>
      </c>
    </row>
    <row r="121" spans="1:90">
      <c r="A121" t="s">
        <v>72</v>
      </c>
      <c r="B121" t="s">
        <v>73</v>
      </c>
      <c r="C121" t="s">
        <v>74</v>
      </c>
      <c r="E121" t="str">
        <f>"FES1162720802"</f>
        <v>FES1162720802</v>
      </c>
      <c r="F121" s="3">
        <v>43770</v>
      </c>
      <c r="G121">
        <v>202005</v>
      </c>
      <c r="H121" t="s">
        <v>75</v>
      </c>
      <c r="I121" t="s">
        <v>76</v>
      </c>
      <c r="J121" t="s">
        <v>77</v>
      </c>
      <c r="K121" t="s">
        <v>78</v>
      </c>
      <c r="L121" t="s">
        <v>214</v>
      </c>
      <c r="M121" t="s">
        <v>214</v>
      </c>
      <c r="N121" t="s">
        <v>403</v>
      </c>
      <c r="O121" t="s">
        <v>82</v>
      </c>
      <c r="P121" t="str">
        <f>"2170707184                    "</f>
        <v xml:space="preserve">2170707184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67.05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8.5</v>
      </c>
      <c r="BJ121">
        <v>5</v>
      </c>
      <c r="BK121">
        <v>8.5</v>
      </c>
      <c r="BL121" s="4">
        <v>386.33</v>
      </c>
      <c r="BM121" s="4">
        <v>57.95</v>
      </c>
      <c r="BN121" s="4">
        <v>444.28</v>
      </c>
      <c r="BO121" s="4">
        <v>444.28</v>
      </c>
      <c r="BQ121" t="s">
        <v>121</v>
      </c>
      <c r="BR121" t="s">
        <v>84</v>
      </c>
      <c r="BS121" s="3">
        <v>43773</v>
      </c>
      <c r="BT121" s="5">
        <v>0.4375</v>
      </c>
      <c r="BU121" t="s">
        <v>404</v>
      </c>
      <c r="BV121" t="s">
        <v>86</v>
      </c>
      <c r="BY121">
        <v>24783.24</v>
      </c>
      <c r="CA121" t="s">
        <v>217</v>
      </c>
      <c r="CC121" t="s">
        <v>214</v>
      </c>
      <c r="CD121">
        <v>7646</v>
      </c>
      <c r="CE121" t="s">
        <v>88</v>
      </c>
      <c r="CF121" s="3">
        <v>43774</v>
      </c>
      <c r="CI121">
        <v>1</v>
      </c>
      <c r="CJ121">
        <v>1</v>
      </c>
      <c r="CK121">
        <v>23</v>
      </c>
      <c r="CL121" t="s">
        <v>89</v>
      </c>
    </row>
    <row r="122" spans="1:90">
      <c r="A122" t="s">
        <v>72</v>
      </c>
      <c r="B122" t="s">
        <v>73</v>
      </c>
      <c r="C122" t="s">
        <v>74</v>
      </c>
      <c r="E122" t="str">
        <f>"FES1162721801"</f>
        <v>FES1162721801</v>
      </c>
      <c r="F122" s="3">
        <v>43776</v>
      </c>
      <c r="G122">
        <v>202005</v>
      </c>
      <c r="H122" t="s">
        <v>75</v>
      </c>
      <c r="I122" t="s">
        <v>76</v>
      </c>
      <c r="J122" t="s">
        <v>77</v>
      </c>
      <c r="K122" t="s">
        <v>78</v>
      </c>
      <c r="L122" t="s">
        <v>405</v>
      </c>
      <c r="M122" t="s">
        <v>406</v>
      </c>
      <c r="N122" t="s">
        <v>407</v>
      </c>
      <c r="O122" t="s">
        <v>82</v>
      </c>
      <c r="P122" t="str">
        <f>"2170716000                    "</f>
        <v xml:space="preserve">2170716000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12.07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 s="4">
        <v>70.95</v>
      </c>
      <c r="BM122" s="4">
        <v>10.64</v>
      </c>
      <c r="BN122" s="4">
        <v>81.59</v>
      </c>
      <c r="BO122" s="4">
        <v>81.59</v>
      </c>
      <c r="BQ122" t="s">
        <v>121</v>
      </c>
      <c r="BR122" t="s">
        <v>84</v>
      </c>
      <c r="BS122" s="3">
        <v>43777</v>
      </c>
      <c r="BT122" s="5">
        <v>0.4201388888888889</v>
      </c>
      <c r="BU122" t="s">
        <v>408</v>
      </c>
      <c r="BV122" t="s">
        <v>86</v>
      </c>
      <c r="BY122">
        <v>1200</v>
      </c>
      <c r="CA122" t="s">
        <v>409</v>
      </c>
      <c r="CC122" t="s">
        <v>406</v>
      </c>
      <c r="CD122">
        <v>250</v>
      </c>
      <c r="CE122" t="s">
        <v>147</v>
      </c>
      <c r="CF122" s="3">
        <v>43781</v>
      </c>
      <c r="CI122">
        <v>1</v>
      </c>
      <c r="CJ122">
        <v>1</v>
      </c>
      <c r="CK122">
        <v>24</v>
      </c>
      <c r="CL122" t="s">
        <v>89</v>
      </c>
    </row>
    <row r="123" spans="1:90">
      <c r="A123" t="s">
        <v>72</v>
      </c>
      <c r="B123" t="s">
        <v>73</v>
      </c>
      <c r="C123" t="s">
        <v>74</v>
      </c>
      <c r="E123" t="str">
        <f>"FES1162720928"</f>
        <v>FES1162720928</v>
      </c>
      <c r="F123" s="3">
        <v>43773</v>
      </c>
      <c r="G123">
        <v>202005</v>
      </c>
      <c r="H123" t="s">
        <v>75</v>
      </c>
      <c r="I123" t="s">
        <v>76</v>
      </c>
      <c r="J123" t="s">
        <v>77</v>
      </c>
      <c r="K123" t="s">
        <v>78</v>
      </c>
      <c r="L123" t="s">
        <v>101</v>
      </c>
      <c r="M123" t="s">
        <v>102</v>
      </c>
      <c r="N123" t="s">
        <v>410</v>
      </c>
      <c r="O123" t="s">
        <v>82</v>
      </c>
      <c r="P123" t="str">
        <f>"2170714801                    "</f>
        <v xml:space="preserve">2170714801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8.7899999999999991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0.7</v>
      </c>
      <c r="BJ123">
        <v>1</v>
      </c>
      <c r="BK123">
        <v>1</v>
      </c>
      <c r="BL123" s="4">
        <v>50.66</v>
      </c>
      <c r="BM123" s="4">
        <v>7.6</v>
      </c>
      <c r="BN123" s="4">
        <v>58.26</v>
      </c>
      <c r="BO123" s="4">
        <v>58.26</v>
      </c>
      <c r="BQ123" t="s">
        <v>109</v>
      </c>
      <c r="BR123" t="s">
        <v>84</v>
      </c>
      <c r="BS123" s="3">
        <v>43774</v>
      </c>
      <c r="BT123" s="5">
        <v>0.32291666666666669</v>
      </c>
      <c r="BU123" t="s">
        <v>411</v>
      </c>
      <c r="BV123" t="s">
        <v>86</v>
      </c>
      <c r="BY123">
        <v>4900.13</v>
      </c>
      <c r="CA123" t="s">
        <v>359</v>
      </c>
      <c r="CC123" t="s">
        <v>102</v>
      </c>
      <c r="CD123">
        <v>184</v>
      </c>
      <c r="CE123" t="s">
        <v>147</v>
      </c>
      <c r="CF123" s="3">
        <v>43775</v>
      </c>
      <c r="CI123">
        <v>1</v>
      </c>
      <c r="CJ123">
        <v>1</v>
      </c>
      <c r="CK123">
        <v>21</v>
      </c>
      <c r="CL123" t="s">
        <v>89</v>
      </c>
    </row>
    <row r="124" spans="1:90">
      <c r="A124" t="s">
        <v>72</v>
      </c>
      <c r="B124" t="s">
        <v>73</v>
      </c>
      <c r="C124" t="s">
        <v>74</v>
      </c>
      <c r="E124" t="str">
        <f>"FES1162720951"</f>
        <v>FES1162720951</v>
      </c>
      <c r="F124" s="3">
        <v>43773</v>
      </c>
      <c r="G124">
        <v>202005</v>
      </c>
      <c r="H124" t="s">
        <v>75</v>
      </c>
      <c r="I124" t="s">
        <v>76</v>
      </c>
      <c r="J124" t="s">
        <v>77</v>
      </c>
      <c r="K124" t="s">
        <v>78</v>
      </c>
      <c r="L124" t="s">
        <v>112</v>
      </c>
      <c r="M124" t="s">
        <v>113</v>
      </c>
      <c r="N124" t="s">
        <v>412</v>
      </c>
      <c r="O124" t="s">
        <v>82</v>
      </c>
      <c r="P124" t="str">
        <f>"2170715007                    "</f>
        <v xml:space="preserve">2170715007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8.7899999999999991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0.2</v>
      </c>
      <c r="BJ124">
        <v>1.5</v>
      </c>
      <c r="BK124">
        <v>1.5</v>
      </c>
      <c r="BL124" s="4">
        <v>50.66</v>
      </c>
      <c r="BM124" s="4">
        <v>7.6</v>
      </c>
      <c r="BN124" s="4">
        <v>58.26</v>
      </c>
      <c r="BO124" s="4">
        <v>58.26</v>
      </c>
      <c r="BQ124" t="s">
        <v>246</v>
      </c>
      <c r="BR124" t="s">
        <v>84</v>
      </c>
      <c r="BS124" s="3">
        <v>43774</v>
      </c>
      <c r="BT124" s="5">
        <v>0.4375</v>
      </c>
      <c r="BU124" t="s">
        <v>413</v>
      </c>
      <c r="BV124" t="s">
        <v>86</v>
      </c>
      <c r="BY124">
        <v>7441.98</v>
      </c>
      <c r="CC124" t="s">
        <v>113</v>
      </c>
      <c r="CD124">
        <v>4068</v>
      </c>
      <c r="CE124" t="s">
        <v>147</v>
      </c>
      <c r="CF124" s="3">
        <v>43776</v>
      </c>
      <c r="CI124">
        <v>1</v>
      </c>
      <c r="CJ124">
        <v>1</v>
      </c>
      <c r="CK124">
        <v>21</v>
      </c>
      <c r="CL124" t="s">
        <v>89</v>
      </c>
    </row>
    <row r="125" spans="1:90">
      <c r="A125" t="s">
        <v>72</v>
      </c>
      <c r="B125" t="s">
        <v>73</v>
      </c>
      <c r="C125" t="s">
        <v>74</v>
      </c>
      <c r="E125" t="str">
        <f>"FES1162721107"</f>
        <v>FES1162721107</v>
      </c>
      <c r="F125" s="3">
        <v>43773</v>
      </c>
      <c r="G125">
        <v>202005</v>
      </c>
      <c r="H125" t="s">
        <v>75</v>
      </c>
      <c r="I125" t="s">
        <v>76</v>
      </c>
      <c r="J125" t="s">
        <v>77</v>
      </c>
      <c r="K125" t="s">
        <v>78</v>
      </c>
      <c r="L125" t="s">
        <v>124</v>
      </c>
      <c r="M125" t="s">
        <v>125</v>
      </c>
      <c r="N125" t="s">
        <v>218</v>
      </c>
      <c r="O125" t="s">
        <v>82</v>
      </c>
      <c r="P125" t="str">
        <f>"2170715379                    "</f>
        <v xml:space="preserve">2170715379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6.87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0.2</v>
      </c>
      <c r="BJ125">
        <v>1.3</v>
      </c>
      <c r="BK125">
        <v>1.5</v>
      </c>
      <c r="BL125" s="4">
        <v>39.58</v>
      </c>
      <c r="BM125" s="4">
        <v>5.94</v>
      </c>
      <c r="BN125" s="4">
        <v>45.52</v>
      </c>
      <c r="BO125" s="4">
        <v>45.52</v>
      </c>
      <c r="BQ125" t="s">
        <v>121</v>
      </c>
      <c r="BR125" t="s">
        <v>84</v>
      </c>
      <c r="BS125" s="3">
        <v>43774</v>
      </c>
      <c r="BT125" s="5">
        <v>0.3666666666666667</v>
      </c>
      <c r="BU125" t="s">
        <v>414</v>
      </c>
      <c r="BV125" t="s">
        <v>86</v>
      </c>
      <c r="BY125">
        <v>6307</v>
      </c>
      <c r="CA125" t="s">
        <v>415</v>
      </c>
      <c r="CC125" t="s">
        <v>125</v>
      </c>
      <c r="CD125">
        <v>2094</v>
      </c>
      <c r="CE125" t="s">
        <v>147</v>
      </c>
      <c r="CF125" s="3">
        <v>43775</v>
      </c>
      <c r="CI125">
        <v>1</v>
      </c>
      <c r="CJ125">
        <v>1</v>
      </c>
      <c r="CK125">
        <v>22</v>
      </c>
      <c r="CL125" t="s">
        <v>89</v>
      </c>
    </row>
    <row r="126" spans="1:90">
      <c r="A126" t="s">
        <v>72</v>
      </c>
      <c r="B126" t="s">
        <v>73</v>
      </c>
      <c r="C126" t="s">
        <v>74</v>
      </c>
      <c r="E126" t="str">
        <f>"FES1162721085"</f>
        <v>FES1162721085</v>
      </c>
      <c r="F126" s="3">
        <v>43773</v>
      </c>
      <c r="G126">
        <v>202005</v>
      </c>
      <c r="H126" t="s">
        <v>75</v>
      </c>
      <c r="I126" t="s">
        <v>76</v>
      </c>
      <c r="J126" t="s">
        <v>77</v>
      </c>
      <c r="K126" t="s">
        <v>78</v>
      </c>
      <c r="L126" t="s">
        <v>164</v>
      </c>
      <c r="M126" t="s">
        <v>165</v>
      </c>
      <c r="N126" t="s">
        <v>166</v>
      </c>
      <c r="O126" t="s">
        <v>82</v>
      </c>
      <c r="P126" t="str">
        <f>"2170715355                    "</f>
        <v xml:space="preserve">2170715355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17.04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0.2</v>
      </c>
      <c r="BJ126">
        <v>1.6</v>
      </c>
      <c r="BK126">
        <v>2</v>
      </c>
      <c r="BL126" s="4">
        <v>98.16</v>
      </c>
      <c r="BM126" s="4">
        <v>14.72</v>
      </c>
      <c r="BN126" s="4">
        <v>112.88</v>
      </c>
      <c r="BO126" s="4">
        <v>112.88</v>
      </c>
      <c r="BQ126" t="s">
        <v>121</v>
      </c>
      <c r="BR126" t="s">
        <v>84</v>
      </c>
      <c r="BS126" s="3">
        <v>43774</v>
      </c>
      <c r="BT126" s="5">
        <v>0.53055555555555556</v>
      </c>
      <c r="BU126" t="s">
        <v>416</v>
      </c>
      <c r="BV126" t="s">
        <v>86</v>
      </c>
      <c r="BY126">
        <v>7837.56</v>
      </c>
      <c r="CA126" t="s">
        <v>168</v>
      </c>
      <c r="CC126" t="s">
        <v>165</v>
      </c>
      <c r="CD126">
        <v>3370</v>
      </c>
      <c r="CE126" t="s">
        <v>147</v>
      </c>
      <c r="CF126" s="3">
        <v>43776</v>
      </c>
      <c r="CI126">
        <v>3</v>
      </c>
      <c r="CJ126">
        <v>1</v>
      </c>
      <c r="CK126">
        <v>23</v>
      </c>
      <c r="CL126" t="s">
        <v>89</v>
      </c>
    </row>
    <row r="127" spans="1:90">
      <c r="A127" t="s">
        <v>72</v>
      </c>
      <c r="B127" t="s">
        <v>73</v>
      </c>
      <c r="C127" t="s">
        <v>74</v>
      </c>
      <c r="E127" t="str">
        <f>"FES1162720995"</f>
        <v>FES1162720995</v>
      </c>
      <c r="F127" s="3">
        <v>43773</v>
      </c>
      <c r="G127">
        <v>202005</v>
      </c>
      <c r="H127" t="s">
        <v>75</v>
      </c>
      <c r="I127" t="s">
        <v>76</v>
      </c>
      <c r="J127" t="s">
        <v>77</v>
      </c>
      <c r="K127" t="s">
        <v>78</v>
      </c>
      <c r="L127" t="s">
        <v>106</v>
      </c>
      <c r="M127" t="s">
        <v>107</v>
      </c>
      <c r="N127" t="s">
        <v>150</v>
      </c>
      <c r="O127" t="s">
        <v>82</v>
      </c>
      <c r="P127" t="str">
        <f>"2170715266                    "</f>
        <v xml:space="preserve">2170715266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19.78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4.2</v>
      </c>
      <c r="BJ127">
        <v>3</v>
      </c>
      <c r="BK127">
        <v>4.5</v>
      </c>
      <c r="BL127" s="4">
        <v>113.95</v>
      </c>
      <c r="BM127" s="4">
        <v>17.09</v>
      </c>
      <c r="BN127" s="4">
        <v>131.04</v>
      </c>
      <c r="BO127" s="4">
        <v>131.04</v>
      </c>
      <c r="BQ127" t="s">
        <v>109</v>
      </c>
      <c r="BR127" t="s">
        <v>84</v>
      </c>
      <c r="BS127" s="3">
        <v>43774</v>
      </c>
      <c r="BT127" s="5">
        <v>0.39513888888888887</v>
      </c>
      <c r="BU127" t="s">
        <v>151</v>
      </c>
      <c r="BV127" t="s">
        <v>86</v>
      </c>
      <c r="BY127">
        <v>15146.73</v>
      </c>
      <c r="CA127" t="s">
        <v>111</v>
      </c>
      <c r="CC127" t="s">
        <v>107</v>
      </c>
      <c r="CD127">
        <v>6001</v>
      </c>
      <c r="CE127" t="s">
        <v>88</v>
      </c>
      <c r="CF127" s="3">
        <v>43775</v>
      </c>
      <c r="CI127">
        <v>1</v>
      </c>
      <c r="CJ127">
        <v>1</v>
      </c>
      <c r="CK127">
        <v>21</v>
      </c>
      <c r="CL127" t="s">
        <v>89</v>
      </c>
    </row>
    <row r="128" spans="1:90">
      <c r="A128" t="s">
        <v>72</v>
      </c>
      <c r="B128" t="s">
        <v>73</v>
      </c>
      <c r="C128" t="s">
        <v>74</v>
      </c>
      <c r="E128" t="str">
        <f>"FES1162720968"</f>
        <v>FES1162720968</v>
      </c>
      <c r="F128" s="3">
        <v>43773</v>
      </c>
      <c r="G128">
        <v>202005</v>
      </c>
      <c r="H128" t="s">
        <v>75</v>
      </c>
      <c r="I128" t="s">
        <v>76</v>
      </c>
      <c r="J128" t="s">
        <v>77</v>
      </c>
      <c r="K128" t="s">
        <v>78</v>
      </c>
      <c r="L128" t="s">
        <v>176</v>
      </c>
      <c r="M128" t="s">
        <v>177</v>
      </c>
      <c r="N128" t="s">
        <v>417</v>
      </c>
      <c r="O128" t="s">
        <v>82</v>
      </c>
      <c r="P128" t="str">
        <f>"2170715145                    "</f>
        <v xml:space="preserve">2170715145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8.7899999999999991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0.6</v>
      </c>
      <c r="BJ128">
        <v>1.8</v>
      </c>
      <c r="BK128">
        <v>2</v>
      </c>
      <c r="BL128" s="4">
        <v>50.66</v>
      </c>
      <c r="BM128" s="4">
        <v>7.6</v>
      </c>
      <c r="BN128" s="4">
        <v>58.26</v>
      </c>
      <c r="BO128" s="4">
        <v>58.26</v>
      </c>
      <c r="BQ128" t="s">
        <v>121</v>
      </c>
      <c r="BR128" t="s">
        <v>84</v>
      </c>
      <c r="BS128" s="3">
        <v>43774</v>
      </c>
      <c r="BT128" s="5">
        <v>0.36249999999999999</v>
      </c>
      <c r="BU128" t="s">
        <v>418</v>
      </c>
      <c r="BV128" t="s">
        <v>86</v>
      </c>
      <c r="BY128">
        <v>9123.25</v>
      </c>
      <c r="CA128" t="s">
        <v>224</v>
      </c>
      <c r="CC128" t="s">
        <v>177</v>
      </c>
      <c r="CD128">
        <v>3600</v>
      </c>
      <c r="CE128" t="s">
        <v>88</v>
      </c>
      <c r="CF128" s="3">
        <v>43776</v>
      </c>
      <c r="CI128">
        <v>1</v>
      </c>
      <c r="CJ128">
        <v>1</v>
      </c>
      <c r="CK128">
        <v>21</v>
      </c>
      <c r="CL128" t="s">
        <v>89</v>
      </c>
    </row>
    <row r="129" spans="1:90">
      <c r="A129" t="s">
        <v>72</v>
      </c>
      <c r="B129" t="s">
        <v>73</v>
      </c>
      <c r="C129" t="s">
        <v>74</v>
      </c>
      <c r="E129" t="str">
        <f>"FES1162720866"</f>
        <v>FES1162720866</v>
      </c>
      <c r="F129" s="3">
        <v>43773</v>
      </c>
      <c r="G129">
        <v>202005</v>
      </c>
      <c r="H129" t="s">
        <v>75</v>
      </c>
      <c r="I129" t="s">
        <v>76</v>
      </c>
      <c r="J129" t="s">
        <v>77</v>
      </c>
      <c r="K129" t="s">
        <v>78</v>
      </c>
      <c r="L129" t="s">
        <v>106</v>
      </c>
      <c r="M129" t="s">
        <v>107</v>
      </c>
      <c r="N129" t="s">
        <v>128</v>
      </c>
      <c r="O129" t="s">
        <v>82</v>
      </c>
      <c r="P129" t="str">
        <f>"2170712350                    "</f>
        <v xml:space="preserve">2170712350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15.38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2</v>
      </c>
      <c r="BJ129">
        <v>3.3</v>
      </c>
      <c r="BK129">
        <v>3.5</v>
      </c>
      <c r="BL129" s="4">
        <v>88.63</v>
      </c>
      <c r="BM129" s="4">
        <v>13.29</v>
      </c>
      <c r="BN129" s="4">
        <v>101.92</v>
      </c>
      <c r="BO129" s="4">
        <v>101.92</v>
      </c>
      <c r="BQ129" t="s">
        <v>121</v>
      </c>
      <c r="BR129" t="s">
        <v>84</v>
      </c>
      <c r="BS129" s="3">
        <v>43774</v>
      </c>
      <c r="BT129" s="5">
        <v>0.34027777777777773</v>
      </c>
      <c r="BU129" t="s">
        <v>129</v>
      </c>
      <c r="BV129" t="s">
        <v>86</v>
      </c>
      <c r="BY129">
        <v>16518.14</v>
      </c>
      <c r="CA129" t="s">
        <v>87</v>
      </c>
      <c r="CC129" t="s">
        <v>107</v>
      </c>
      <c r="CD129">
        <v>6001</v>
      </c>
      <c r="CE129" t="s">
        <v>88</v>
      </c>
      <c r="CF129" s="3">
        <v>43775</v>
      </c>
      <c r="CI129">
        <v>1</v>
      </c>
      <c r="CJ129">
        <v>1</v>
      </c>
      <c r="CK129">
        <v>21</v>
      </c>
      <c r="CL129" t="s">
        <v>89</v>
      </c>
    </row>
    <row r="130" spans="1:90">
      <c r="A130" t="s">
        <v>72</v>
      </c>
      <c r="B130" t="s">
        <v>73</v>
      </c>
      <c r="C130" t="s">
        <v>74</v>
      </c>
      <c r="E130" t="str">
        <f>"FES1162720946"</f>
        <v>FES1162720946</v>
      </c>
      <c r="F130" s="3">
        <v>43773</v>
      </c>
      <c r="G130">
        <v>202005</v>
      </c>
      <c r="H130" t="s">
        <v>75</v>
      </c>
      <c r="I130" t="s">
        <v>76</v>
      </c>
      <c r="J130" t="s">
        <v>77</v>
      </c>
      <c r="K130" t="s">
        <v>78</v>
      </c>
      <c r="L130" t="s">
        <v>176</v>
      </c>
      <c r="M130" t="s">
        <v>177</v>
      </c>
      <c r="N130" t="s">
        <v>419</v>
      </c>
      <c r="O130" t="s">
        <v>82</v>
      </c>
      <c r="P130" t="str">
        <f>"2170714932                    "</f>
        <v xml:space="preserve">2170714932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10.99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1.2</v>
      </c>
      <c r="BJ130">
        <v>2.2999999999999998</v>
      </c>
      <c r="BK130">
        <v>2.5</v>
      </c>
      <c r="BL130" s="4">
        <v>63.32</v>
      </c>
      <c r="BM130" s="4">
        <v>9.5</v>
      </c>
      <c r="BN130" s="4">
        <v>72.819999999999993</v>
      </c>
      <c r="BO130" s="4">
        <v>72.819999999999993</v>
      </c>
      <c r="BQ130" t="s">
        <v>109</v>
      </c>
      <c r="BR130" t="s">
        <v>84</v>
      </c>
      <c r="BS130" s="3">
        <v>43774</v>
      </c>
      <c r="BT130" s="5">
        <v>0.43472222222222223</v>
      </c>
      <c r="BU130" t="s">
        <v>420</v>
      </c>
      <c r="BV130" t="s">
        <v>86</v>
      </c>
      <c r="BY130">
        <v>11461.15</v>
      </c>
      <c r="CA130" t="s">
        <v>224</v>
      </c>
      <c r="CC130" t="s">
        <v>177</v>
      </c>
      <c r="CD130">
        <v>3620</v>
      </c>
      <c r="CE130" t="s">
        <v>88</v>
      </c>
      <c r="CF130" s="3">
        <v>43776</v>
      </c>
      <c r="CI130">
        <v>1</v>
      </c>
      <c r="CJ130">
        <v>1</v>
      </c>
      <c r="CK130">
        <v>21</v>
      </c>
      <c r="CL130" t="s">
        <v>89</v>
      </c>
    </row>
    <row r="131" spans="1:90">
      <c r="A131" t="s">
        <v>72</v>
      </c>
      <c r="B131" t="s">
        <v>73</v>
      </c>
      <c r="C131" t="s">
        <v>74</v>
      </c>
      <c r="E131" t="str">
        <f>"FES1162720893"</f>
        <v>FES1162720893</v>
      </c>
      <c r="F131" s="3">
        <v>43773</v>
      </c>
      <c r="G131">
        <v>202005</v>
      </c>
      <c r="H131" t="s">
        <v>75</v>
      </c>
      <c r="I131" t="s">
        <v>76</v>
      </c>
      <c r="J131" t="s">
        <v>77</v>
      </c>
      <c r="K131" t="s">
        <v>78</v>
      </c>
      <c r="L131" t="s">
        <v>106</v>
      </c>
      <c r="M131" t="s">
        <v>107</v>
      </c>
      <c r="N131" t="s">
        <v>421</v>
      </c>
      <c r="O131" t="s">
        <v>82</v>
      </c>
      <c r="P131" t="str">
        <f>"2170714093                    "</f>
        <v xml:space="preserve">2170714093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13.19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2</v>
      </c>
      <c r="BI131">
        <v>2.9</v>
      </c>
      <c r="BJ131">
        <v>2</v>
      </c>
      <c r="BK131">
        <v>3</v>
      </c>
      <c r="BL131" s="4">
        <v>75.98</v>
      </c>
      <c r="BM131" s="4">
        <v>11.4</v>
      </c>
      <c r="BN131" s="4">
        <v>87.38</v>
      </c>
      <c r="BO131" s="4">
        <v>87.38</v>
      </c>
      <c r="BQ131" t="s">
        <v>121</v>
      </c>
      <c r="BR131" t="s">
        <v>84</v>
      </c>
      <c r="BS131" s="3">
        <v>43774</v>
      </c>
      <c r="BT131" s="5">
        <v>0.35972222222222222</v>
      </c>
      <c r="BU131" t="s">
        <v>422</v>
      </c>
      <c r="BV131" t="s">
        <v>86</v>
      </c>
      <c r="BY131">
        <v>10123.92</v>
      </c>
      <c r="CA131" t="s">
        <v>111</v>
      </c>
      <c r="CC131" t="s">
        <v>107</v>
      </c>
      <c r="CD131">
        <v>6014</v>
      </c>
      <c r="CE131" t="s">
        <v>88</v>
      </c>
      <c r="CF131" s="3">
        <v>43775</v>
      </c>
      <c r="CI131">
        <v>1</v>
      </c>
      <c r="CJ131">
        <v>1</v>
      </c>
      <c r="CK131">
        <v>21</v>
      </c>
      <c r="CL131" t="s">
        <v>89</v>
      </c>
    </row>
    <row r="132" spans="1:90">
      <c r="A132" t="s">
        <v>72</v>
      </c>
      <c r="B132" t="s">
        <v>73</v>
      </c>
      <c r="C132" t="s">
        <v>74</v>
      </c>
      <c r="E132" t="str">
        <f>"FES1162720913"</f>
        <v>FES1162720913</v>
      </c>
      <c r="F132" s="3">
        <v>43773</v>
      </c>
      <c r="G132">
        <v>202005</v>
      </c>
      <c r="H132" t="s">
        <v>75</v>
      </c>
      <c r="I132" t="s">
        <v>76</v>
      </c>
      <c r="J132" t="s">
        <v>77</v>
      </c>
      <c r="K132" t="s">
        <v>78</v>
      </c>
      <c r="L132" t="s">
        <v>112</v>
      </c>
      <c r="M132" t="s">
        <v>113</v>
      </c>
      <c r="N132" t="s">
        <v>423</v>
      </c>
      <c r="O132" t="s">
        <v>82</v>
      </c>
      <c r="P132" t="str">
        <f>"2170714623                    "</f>
        <v xml:space="preserve">2170714623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8.7899999999999991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0.2</v>
      </c>
      <c r="BJ132">
        <v>0.6</v>
      </c>
      <c r="BK132">
        <v>1</v>
      </c>
      <c r="BL132" s="4">
        <v>50.66</v>
      </c>
      <c r="BM132" s="4">
        <v>7.6</v>
      </c>
      <c r="BN132" s="4">
        <v>58.26</v>
      </c>
      <c r="BO132" s="4">
        <v>58.26</v>
      </c>
      <c r="BQ132" t="s">
        <v>424</v>
      </c>
      <c r="BR132" t="s">
        <v>84</v>
      </c>
      <c r="BS132" s="3">
        <v>43774</v>
      </c>
      <c r="BT132" s="5">
        <v>0.34583333333333338</v>
      </c>
      <c r="BU132" t="s">
        <v>425</v>
      </c>
      <c r="BV132" t="s">
        <v>86</v>
      </c>
      <c r="BY132">
        <v>2988.7</v>
      </c>
      <c r="CA132" t="s">
        <v>426</v>
      </c>
      <c r="CC132" t="s">
        <v>113</v>
      </c>
      <c r="CD132">
        <v>4001</v>
      </c>
      <c r="CE132" t="s">
        <v>147</v>
      </c>
      <c r="CF132" s="3">
        <v>43776</v>
      </c>
      <c r="CI132">
        <v>1</v>
      </c>
      <c r="CJ132">
        <v>1</v>
      </c>
      <c r="CK132">
        <v>21</v>
      </c>
      <c r="CL132" t="s">
        <v>89</v>
      </c>
    </row>
    <row r="133" spans="1:90">
      <c r="A133" t="s">
        <v>72</v>
      </c>
      <c r="B133" t="s">
        <v>73</v>
      </c>
      <c r="C133" t="s">
        <v>74</v>
      </c>
      <c r="E133" t="str">
        <f>"FES1162720917"</f>
        <v>FES1162720917</v>
      </c>
      <c r="F133" s="3">
        <v>43773</v>
      </c>
      <c r="G133">
        <v>202005</v>
      </c>
      <c r="H133" t="s">
        <v>75</v>
      </c>
      <c r="I133" t="s">
        <v>76</v>
      </c>
      <c r="J133" t="s">
        <v>77</v>
      </c>
      <c r="K133" t="s">
        <v>78</v>
      </c>
      <c r="L133" t="s">
        <v>112</v>
      </c>
      <c r="M133" t="s">
        <v>113</v>
      </c>
      <c r="N133" t="s">
        <v>423</v>
      </c>
      <c r="O133" t="s">
        <v>82</v>
      </c>
      <c r="P133" t="str">
        <f>"2170714628                    "</f>
        <v xml:space="preserve">2170714628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8.7899999999999991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0.2</v>
      </c>
      <c r="BJ133">
        <v>1.6</v>
      </c>
      <c r="BK133">
        <v>2</v>
      </c>
      <c r="BL133" s="4">
        <v>50.66</v>
      </c>
      <c r="BM133" s="4">
        <v>7.6</v>
      </c>
      <c r="BN133" s="4">
        <v>58.26</v>
      </c>
      <c r="BO133" s="4">
        <v>58.26</v>
      </c>
      <c r="BQ133" t="s">
        <v>424</v>
      </c>
      <c r="BR133" t="s">
        <v>84</v>
      </c>
      <c r="BS133" s="3">
        <v>43774</v>
      </c>
      <c r="BT133" s="5">
        <v>0.34583333333333338</v>
      </c>
      <c r="BU133" t="s">
        <v>425</v>
      </c>
      <c r="BV133" t="s">
        <v>86</v>
      </c>
      <c r="BY133">
        <v>8092.8</v>
      </c>
      <c r="CA133" t="s">
        <v>426</v>
      </c>
      <c r="CC133" t="s">
        <v>113</v>
      </c>
      <c r="CD133">
        <v>4001</v>
      </c>
      <c r="CE133" t="s">
        <v>147</v>
      </c>
      <c r="CF133" s="3">
        <v>43776</v>
      </c>
      <c r="CI133">
        <v>1</v>
      </c>
      <c r="CJ133">
        <v>1</v>
      </c>
      <c r="CK133">
        <v>21</v>
      </c>
      <c r="CL133" t="s">
        <v>89</v>
      </c>
    </row>
    <row r="134" spans="1:90">
      <c r="A134" t="s">
        <v>72</v>
      </c>
      <c r="B134" t="s">
        <v>73</v>
      </c>
      <c r="C134" t="s">
        <v>74</v>
      </c>
      <c r="E134" t="str">
        <f>"FES1162720915"</f>
        <v>FES1162720915</v>
      </c>
      <c r="F134" s="3">
        <v>43773</v>
      </c>
      <c r="G134">
        <v>202005</v>
      </c>
      <c r="H134" t="s">
        <v>75</v>
      </c>
      <c r="I134" t="s">
        <v>76</v>
      </c>
      <c r="J134" t="s">
        <v>77</v>
      </c>
      <c r="K134" t="s">
        <v>78</v>
      </c>
      <c r="L134" t="s">
        <v>112</v>
      </c>
      <c r="M134" t="s">
        <v>113</v>
      </c>
      <c r="N134" t="s">
        <v>423</v>
      </c>
      <c r="O134" t="s">
        <v>82</v>
      </c>
      <c r="P134" t="str">
        <f>"2170714625                    "</f>
        <v xml:space="preserve">2170714625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8.7899999999999991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0.2</v>
      </c>
      <c r="BJ134">
        <v>1.8</v>
      </c>
      <c r="BK134">
        <v>2</v>
      </c>
      <c r="BL134" s="4">
        <v>50.66</v>
      </c>
      <c r="BM134" s="4">
        <v>7.6</v>
      </c>
      <c r="BN134" s="4">
        <v>58.26</v>
      </c>
      <c r="BO134" s="4">
        <v>58.26</v>
      </c>
      <c r="BQ134" t="s">
        <v>424</v>
      </c>
      <c r="BR134" t="s">
        <v>84</v>
      </c>
      <c r="BS134" s="3">
        <v>43774</v>
      </c>
      <c r="BT134" s="5">
        <v>0.34583333333333338</v>
      </c>
      <c r="BU134" t="s">
        <v>425</v>
      </c>
      <c r="BV134" t="s">
        <v>86</v>
      </c>
      <c r="BY134">
        <v>9180.34</v>
      </c>
      <c r="CA134" t="s">
        <v>426</v>
      </c>
      <c r="CC134" t="s">
        <v>113</v>
      </c>
      <c r="CD134">
        <v>4001</v>
      </c>
      <c r="CE134" t="s">
        <v>147</v>
      </c>
      <c r="CF134" s="3">
        <v>43776</v>
      </c>
      <c r="CI134">
        <v>1</v>
      </c>
      <c r="CJ134">
        <v>1</v>
      </c>
      <c r="CK134">
        <v>21</v>
      </c>
      <c r="CL134" t="s">
        <v>89</v>
      </c>
    </row>
    <row r="135" spans="1:90">
      <c r="A135" t="s">
        <v>72</v>
      </c>
      <c r="B135" t="s">
        <v>73</v>
      </c>
      <c r="C135" t="s">
        <v>74</v>
      </c>
      <c r="E135" t="str">
        <f>"FES1162720918"</f>
        <v>FES1162720918</v>
      </c>
      <c r="F135" s="3">
        <v>43773</v>
      </c>
      <c r="G135">
        <v>202005</v>
      </c>
      <c r="H135" t="s">
        <v>75</v>
      </c>
      <c r="I135" t="s">
        <v>76</v>
      </c>
      <c r="J135" t="s">
        <v>77</v>
      </c>
      <c r="K135" t="s">
        <v>78</v>
      </c>
      <c r="L135" t="s">
        <v>112</v>
      </c>
      <c r="M135" t="s">
        <v>113</v>
      </c>
      <c r="N135" t="s">
        <v>423</v>
      </c>
      <c r="O135" t="s">
        <v>82</v>
      </c>
      <c r="P135" t="str">
        <f>"2170714630                    "</f>
        <v xml:space="preserve">2170714630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8.7899999999999991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0.2</v>
      </c>
      <c r="BJ135">
        <v>0.6</v>
      </c>
      <c r="BK135">
        <v>1</v>
      </c>
      <c r="BL135" s="4">
        <v>50.66</v>
      </c>
      <c r="BM135" s="4">
        <v>7.6</v>
      </c>
      <c r="BN135" s="4">
        <v>58.26</v>
      </c>
      <c r="BO135" s="4">
        <v>58.26</v>
      </c>
      <c r="BQ135" t="s">
        <v>424</v>
      </c>
      <c r="BR135" t="s">
        <v>84</v>
      </c>
      <c r="BS135" s="3">
        <v>43774</v>
      </c>
      <c r="BT135" s="5">
        <v>0.34583333333333338</v>
      </c>
      <c r="BU135" t="s">
        <v>425</v>
      </c>
      <c r="BV135" t="s">
        <v>86</v>
      </c>
      <c r="BY135">
        <v>3145.7</v>
      </c>
      <c r="CA135" t="s">
        <v>426</v>
      </c>
      <c r="CC135" t="s">
        <v>113</v>
      </c>
      <c r="CD135">
        <v>4001</v>
      </c>
      <c r="CE135" t="s">
        <v>147</v>
      </c>
      <c r="CF135" s="3">
        <v>43776</v>
      </c>
      <c r="CI135">
        <v>1</v>
      </c>
      <c r="CJ135">
        <v>1</v>
      </c>
      <c r="CK135">
        <v>21</v>
      </c>
      <c r="CL135" t="s">
        <v>89</v>
      </c>
    </row>
    <row r="136" spans="1:90">
      <c r="A136" t="s">
        <v>72</v>
      </c>
      <c r="B136" t="s">
        <v>73</v>
      </c>
      <c r="C136" t="s">
        <v>74</v>
      </c>
      <c r="E136" t="str">
        <f>"FES1162720887"</f>
        <v>FES1162720887</v>
      </c>
      <c r="F136" s="3">
        <v>43773</v>
      </c>
      <c r="G136">
        <v>202005</v>
      </c>
      <c r="H136" t="s">
        <v>75</v>
      </c>
      <c r="I136" t="s">
        <v>76</v>
      </c>
      <c r="J136" t="s">
        <v>77</v>
      </c>
      <c r="K136" t="s">
        <v>78</v>
      </c>
      <c r="L136" t="s">
        <v>112</v>
      </c>
      <c r="M136" t="s">
        <v>113</v>
      </c>
      <c r="N136" t="s">
        <v>427</v>
      </c>
      <c r="O136" t="s">
        <v>82</v>
      </c>
      <c r="P136" t="str">
        <f>"2170713885                    "</f>
        <v xml:space="preserve">2170713885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8.7899999999999991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0.2</v>
      </c>
      <c r="BJ136">
        <v>1.5</v>
      </c>
      <c r="BK136">
        <v>1.5</v>
      </c>
      <c r="BL136" s="4">
        <v>50.66</v>
      </c>
      <c r="BM136" s="4">
        <v>7.6</v>
      </c>
      <c r="BN136" s="4">
        <v>58.26</v>
      </c>
      <c r="BO136" s="4">
        <v>58.26</v>
      </c>
      <c r="BQ136" t="s">
        <v>121</v>
      </c>
      <c r="BR136" t="s">
        <v>84</v>
      </c>
      <c r="BS136" s="3">
        <v>43774</v>
      </c>
      <c r="BT136" s="5">
        <v>0.3923611111111111</v>
      </c>
      <c r="BU136" t="s">
        <v>151</v>
      </c>
      <c r="BV136" t="s">
        <v>86</v>
      </c>
      <c r="BY136">
        <v>7701.92</v>
      </c>
      <c r="CA136" t="s">
        <v>428</v>
      </c>
      <c r="CC136" t="s">
        <v>113</v>
      </c>
      <c r="CD136">
        <v>4052</v>
      </c>
      <c r="CE136" t="s">
        <v>147</v>
      </c>
      <c r="CF136" s="3">
        <v>43776</v>
      </c>
      <c r="CI136">
        <v>1</v>
      </c>
      <c r="CJ136">
        <v>1</v>
      </c>
      <c r="CK136">
        <v>21</v>
      </c>
      <c r="CL136" t="s">
        <v>89</v>
      </c>
    </row>
    <row r="137" spans="1:90">
      <c r="A137" t="s">
        <v>72</v>
      </c>
      <c r="B137" t="s">
        <v>73</v>
      </c>
      <c r="C137" t="s">
        <v>74</v>
      </c>
      <c r="E137" t="str">
        <f>"FES1162720955"</f>
        <v>FES1162720955</v>
      </c>
      <c r="F137" s="3">
        <v>43773</v>
      </c>
      <c r="G137">
        <v>202005</v>
      </c>
      <c r="H137" t="s">
        <v>75</v>
      </c>
      <c r="I137" t="s">
        <v>76</v>
      </c>
      <c r="J137" t="s">
        <v>77</v>
      </c>
      <c r="K137" t="s">
        <v>78</v>
      </c>
      <c r="L137" t="s">
        <v>176</v>
      </c>
      <c r="M137" t="s">
        <v>177</v>
      </c>
      <c r="N137" t="s">
        <v>429</v>
      </c>
      <c r="O137" t="s">
        <v>82</v>
      </c>
      <c r="P137" t="str">
        <f>"2170715035                    "</f>
        <v xml:space="preserve">2170715035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8.7899999999999991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0.2</v>
      </c>
      <c r="BJ137">
        <v>1</v>
      </c>
      <c r="BK137">
        <v>1</v>
      </c>
      <c r="BL137" s="4">
        <v>50.66</v>
      </c>
      <c r="BM137" s="4">
        <v>7.6</v>
      </c>
      <c r="BN137" s="4">
        <v>58.26</v>
      </c>
      <c r="BO137" s="4">
        <v>58.26</v>
      </c>
      <c r="BR137" t="s">
        <v>84</v>
      </c>
      <c r="BS137" s="3">
        <v>43774</v>
      </c>
      <c r="BT137" s="5">
        <v>0.34930555555555554</v>
      </c>
      <c r="BU137" t="s">
        <v>430</v>
      </c>
      <c r="BV137" t="s">
        <v>86</v>
      </c>
      <c r="BY137">
        <v>5105.3999999999996</v>
      </c>
      <c r="CA137" t="s">
        <v>180</v>
      </c>
      <c r="CC137" t="s">
        <v>177</v>
      </c>
      <c r="CD137">
        <v>3610</v>
      </c>
      <c r="CE137" t="s">
        <v>147</v>
      </c>
      <c r="CF137" s="3">
        <v>43776</v>
      </c>
      <c r="CI137">
        <v>1</v>
      </c>
      <c r="CJ137">
        <v>1</v>
      </c>
      <c r="CK137">
        <v>21</v>
      </c>
      <c r="CL137" t="s">
        <v>89</v>
      </c>
    </row>
    <row r="138" spans="1:90">
      <c r="A138" t="s">
        <v>72</v>
      </c>
      <c r="B138" t="s">
        <v>73</v>
      </c>
      <c r="C138" t="s">
        <v>74</v>
      </c>
      <c r="E138" t="str">
        <f>"FES1162720894"</f>
        <v>FES1162720894</v>
      </c>
      <c r="F138" s="3">
        <v>43773</v>
      </c>
      <c r="G138">
        <v>202005</v>
      </c>
      <c r="H138" t="s">
        <v>75</v>
      </c>
      <c r="I138" t="s">
        <v>76</v>
      </c>
      <c r="J138" t="s">
        <v>77</v>
      </c>
      <c r="K138" t="s">
        <v>78</v>
      </c>
      <c r="L138" t="s">
        <v>431</v>
      </c>
      <c r="M138" t="s">
        <v>432</v>
      </c>
      <c r="N138" t="s">
        <v>433</v>
      </c>
      <c r="O138" t="s">
        <v>82</v>
      </c>
      <c r="P138" t="str">
        <f>"2170714112                    "</f>
        <v xml:space="preserve">2170714112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8.7899999999999991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0.2</v>
      </c>
      <c r="BJ138">
        <v>0.4</v>
      </c>
      <c r="BK138">
        <v>0.5</v>
      </c>
      <c r="BL138" s="4">
        <v>50.66</v>
      </c>
      <c r="BM138" s="4">
        <v>7.6</v>
      </c>
      <c r="BN138" s="4">
        <v>58.26</v>
      </c>
      <c r="BO138" s="4">
        <v>58.26</v>
      </c>
      <c r="BR138" t="s">
        <v>84</v>
      </c>
      <c r="BS138" s="3">
        <v>43774</v>
      </c>
      <c r="BT138" s="5">
        <v>0.47569444444444442</v>
      </c>
      <c r="BU138" t="s">
        <v>434</v>
      </c>
      <c r="BV138" t="s">
        <v>86</v>
      </c>
      <c r="BY138">
        <v>2022.72</v>
      </c>
      <c r="CA138" t="s">
        <v>435</v>
      </c>
      <c r="CC138" t="s">
        <v>432</v>
      </c>
      <c r="CD138">
        <v>3699</v>
      </c>
      <c r="CE138" t="s">
        <v>147</v>
      </c>
      <c r="CF138" s="3">
        <v>43776</v>
      </c>
      <c r="CI138">
        <v>1</v>
      </c>
      <c r="CJ138">
        <v>1</v>
      </c>
      <c r="CK138">
        <v>21</v>
      </c>
      <c r="CL138" t="s">
        <v>89</v>
      </c>
    </row>
    <row r="139" spans="1:90">
      <c r="A139" t="s">
        <v>72</v>
      </c>
      <c r="B139" t="s">
        <v>73</v>
      </c>
      <c r="C139" t="s">
        <v>74</v>
      </c>
      <c r="E139" t="str">
        <f>"FES1162720886"</f>
        <v>FES1162720886</v>
      </c>
      <c r="F139" s="3">
        <v>43773</v>
      </c>
      <c r="G139">
        <v>202005</v>
      </c>
      <c r="H139" t="s">
        <v>75</v>
      </c>
      <c r="I139" t="s">
        <v>76</v>
      </c>
      <c r="J139" t="s">
        <v>77</v>
      </c>
      <c r="K139" t="s">
        <v>78</v>
      </c>
      <c r="L139" t="s">
        <v>431</v>
      </c>
      <c r="M139" t="s">
        <v>432</v>
      </c>
      <c r="N139" t="s">
        <v>436</v>
      </c>
      <c r="O139" t="s">
        <v>82</v>
      </c>
      <c r="P139" t="str">
        <f>"2170713855                    "</f>
        <v xml:space="preserve">2170713855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8.7899999999999991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0.2</v>
      </c>
      <c r="BJ139">
        <v>0.6</v>
      </c>
      <c r="BK139">
        <v>1</v>
      </c>
      <c r="BL139" s="4">
        <v>50.66</v>
      </c>
      <c r="BM139" s="4">
        <v>7.6</v>
      </c>
      <c r="BN139" s="4">
        <v>58.26</v>
      </c>
      <c r="BO139" s="4">
        <v>58.26</v>
      </c>
      <c r="BR139" t="s">
        <v>84</v>
      </c>
      <c r="BS139" s="3">
        <v>43774</v>
      </c>
      <c r="BT139" s="5">
        <v>0.47569444444444442</v>
      </c>
      <c r="BU139" t="s">
        <v>434</v>
      </c>
      <c r="BV139" t="s">
        <v>86</v>
      </c>
      <c r="BY139">
        <v>2793.36</v>
      </c>
      <c r="CA139" t="s">
        <v>435</v>
      </c>
      <c r="CC139" t="s">
        <v>432</v>
      </c>
      <c r="CD139">
        <v>3699</v>
      </c>
      <c r="CE139" t="s">
        <v>147</v>
      </c>
      <c r="CF139" s="3">
        <v>43776</v>
      </c>
      <c r="CI139">
        <v>1</v>
      </c>
      <c r="CJ139">
        <v>1</v>
      </c>
      <c r="CK139">
        <v>21</v>
      </c>
      <c r="CL139" t="s">
        <v>89</v>
      </c>
    </row>
    <row r="140" spans="1:90">
      <c r="A140" t="s">
        <v>72</v>
      </c>
      <c r="B140" t="s">
        <v>73</v>
      </c>
      <c r="C140" t="s">
        <v>74</v>
      </c>
      <c r="E140" t="str">
        <f>"FES1162720856"</f>
        <v>FES1162720856</v>
      </c>
      <c r="F140" s="3">
        <v>43773</v>
      </c>
      <c r="G140">
        <v>202005</v>
      </c>
      <c r="H140" t="s">
        <v>75</v>
      </c>
      <c r="I140" t="s">
        <v>76</v>
      </c>
      <c r="J140" t="s">
        <v>77</v>
      </c>
      <c r="K140" t="s">
        <v>78</v>
      </c>
      <c r="L140" t="s">
        <v>112</v>
      </c>
      <c r="M140" t="s">
        <v>113</v>
      </c>
      <c r="N140" t="s">
        <v>437</v>
      </c>
      <c r="O140" t="s">
        <v>82</v>
      </c>
      <c r="P140" t="str">
        <f>"2170711036                    "</f>
        <v xml:space="preserve">2170711036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8.7899999999999991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0.2</v>
      </c>
      <c r="BJ140">
        <v>0.4</v>
      </c>
      <c r="BK140">
        <v>0.5</v>
      </c>
      <c r="BL140" s="4">
        <v>50.66</v>
      </c>
      <c r="BM140" s="4">
        <v>7.6</v>
      </c>
      <c r="BN140" s="4">
        <v>58.26</v>
      </c>
      <c r="BO140" s="4">
        <v>58.26</v>
      </c>
      <c r="BQ140" t="s">
        <v>109</v>
      </c>
      <c r="BR140" t="s">
        <v>84</v>
      </c>
      <c r="BS140" s="3">
        <v>43774</v>
      </c>
      <c r="BT140" s="5">
        <v>0.42777777777777781</v>
      </c>
      <c r="BU140" t="s">
        <v>438</v>
      </c>
      <c r="BV140" t="s">
        <v>86</v>
      </c>
      <c r="BY140">
        <v>1981.44</v>
      </c>
      <c r="CA140" t="s">
        <v>229</v>
      </c>
      <c r="CC140" t="s">
        <v>113</v>
      </c>
      <c r="CD140">
        <v>4001</v>
      </c>
      <c r="CE140" t="s">
        <v>147</v>
      </c>
      <c r="CF140" s="3">
        <v>43776</v>
      </c>
      <c r="CI140">
        <v>1</v>
      </c>
      <c r="CJ140">
        <v>1</v>
      </c>
      <c r="CK140">
        <v>21</v>
      </c>
      <c r="CL140" t="s">
        <v>89</v>
      </c>
    </row>
    <row r="141" spans="1:90">
      <c r="A141" t="s">
        <v>72</v>
      </c>
      <c r="B141" t="s">
        <v>73</v>
      </c>
      <c r="C141" t="s">
        <v>74</v>
      </c>
      <c r="E141" t="str">
        <f>"FES1162720911"</f>
        <v>FES1162720911</v>
      </c>
      <c r="F141" s="3">
        <v>43773</v>
      </c>
      <c r="G141">
        <v>202005</v>
      </c>
      <c r="H141" t="s">
        <v>75</v>
      </c>
      <c r="I141" t="s">
        <v>76</v>
      </c>
      <c r="J141" t="s">
        <v>77</v>
      </c>
      <c r="K141" t="s">
        <v>78</v>
      </c>
      <c r="L141" t="s">
        <v>118</v>
      </c>
      <c r="M141" t="s">
        <v>119</v>
      </c>
      <c r="N141" t="s">
        <v>439</v>
      </c>
      <c r="O141" t="s">
        <v>82</v>
      </c>
      <c r="P141" t="str">
        <f>"2170714591                    "</f>
        <v xml:space="preserve">2170714591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8.7899999999999991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0.2</v>
      </c>
      <c r="BJ141">
        <v>0.5</v>
      </c>
      <c r="BK141">
        <v>0.5</v>
      </c>
      <c r="BL141" s="4">
        <v>50.66</v>
      </c>
      <c r="BM141" s="4">
        <v>7.6</v>
      </c>
      <c r="BN141" s="4">
        <v>58.26</v>
      </c>
      <c r="BO141" s="4">
        <v>58.26</v>
      </c>
      <c r="BQ141" t="s">
        <v>121</v>
      </c>
      <c r="BR141" t="s">
        <v>84</v>
      </c>
      <c r="BS141" s="3">
        <v>43774</v>
      </c>
      <c r="BT141" s="5">
        <v>0.43055555555555558</v>
      </c>
      <c r="BU141" t="s">
        <v>440</v>
      </c>
      <c r="BV141" t="s">
        <v>86</v>
      </c>
      <c r="BY141">
        <v>2507.1</v>
      </c>
      <c r="CA141" t="s">
        <v>441</v>
      </c>
      <c r="CC141" t="s">
        <v>119</v>
      </c>
      <c r="CD141">
        <v>3201</v>
      </c>
      <c r="CE141" t="s">
        <v>147</v>
      </c>
      <c r="CF141" s="3">
        <v>43776</v>
      </c>
      <c r="CI141">
        <v>1</v>
      </c>
      <c r="CJ141">
        <v>1</v>
      </c>
      <c r="CK141">
        <v>21</v>
      </c>
      <c r="CL141" t="s">
        <v>89</v>
      </c>
    </row>
    <row r="142" spans="1:90">
      <c r="A142" t="s">
        <v>72</v>
      </c>
      <c r="B142" t="s">
        <v>73</v>
      </c>
      <c r="C142" t="s">
        <v>74</v>
      </c>
      <c r="E142" t="str">
        <f>"FES1162720916"</f>
        <v>FES1162720916</v>
      </c>
      <c r="F142" s="3">
        <v>43773</v>
      </c>
      <c r="G142">
        <v>202005</v>
      </c>
      <c r="H142" t="s">
        <v>75</v>
      </c>
      <c r="I142" t="s">
        <v>76</v>
      </c>
      <c r="J142" t="s">
        <v>77</v>
      </c>
      <c r="K142" t="s">
        <v>78</v>
      </c>
      <c r="L142" t="s">
        <v>112</v>
      </c>
      <c r="M142" t="s">
        <v>113</v>
      </c>
      <c r="N142" t="s">
        <v>423</v>
      </c>
      <c r="O142" t="s">
        <v>82</v>
      </c>
      <c r="P142" t="str">
        <f>"2170714627                    "</f>
        <v xml:space="preserve">2170714627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8.7899999999999991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0.2</v>
      </c>
      <c r="BJ142">
        <v>0.7</v>
      </c>
      <c r="BK142">
        <v>1</v>
      </c>
      <c r="BL142" s="4">
        <v>50.66</v>
      </c>
      <c r="BM142" s="4">
        <v>7.6</v>
      </c>
      <c r="BN142" s="4">
        <v>58.26</v>
      </c>
      <c r="BO142" s="4">
        <v>58.26</v>
      </c>
      <c r="BQ142" t="s">
        <v>424</v>
      </c>
      <c r="BR142" t="s">
        <v>84</v>
      </c>
      <c r="BS142" s="3">
        <v>43774</v>
      </c>
      <c r="BT142" s="5">
        <v>0.34583333333333338</v>
      </c>
      <c r="BU142" t="s">
        <v>425</v>
      </c>
      <c r="BV142" t="s">
        <v>86</v>
      </c>
      <c r="BY142">
        <v>3341.68</v>
      </c>
      <c r="CA142" t="s">
        <v>426</v>
      </c>
      <c r="CC142" t="s">
        <v>113</v>
      </c>
      <c r="CD142">
        <v>4001</v>
      </c>
      <c r="CE142" t="s">
        <v>147</v>
      </c>
      <c r="CF142" s="3">
        <v>43776</v>
      </c>
      <c r="CI142">
        <v>1</v>
      </c>
      <c r="CJ142">
        <v>1</v>
      </c>
      <c r="CK142">
        <v>21</v>
      </c>
      <c r="CL142" t="s">
        <v>89</v>
      </c>
    </row>
    <row r="143" spans="1:90">
      <c r="A143" t="s">
        <v>72</v>
      </c>
      <c r="B143" t="s">
        <v>73</v>
      </c>
      <c r="C143" t="s">
        <v>74</v>
      </c>
      <c r="E143" t="str">
        <f>"FES1162720965"</f>
        <v>FES1162720965</v>
      </c>
      <c r="F143" s="3">
        <v>43773</v>
      </c>
      <c r="G143">
        <v>202005</v>
      </c>
      <c r="H143" t="s">
        <v>75</v>
      </c>
      <c r="I143" t="s">
        <v>76</v>
      </c>
      <c r="J143" t="s">
        <v>77</v>
      </c>
      <c r="K143" t="s">
        <v>78</v>
      </c>
      <c r="L143" t="s">
        <v>176</v>
      </c>
      <c r="M143" t="s">
        <v>177</v>
      </c>
      <c r="N143" t="s">
        <v>442</v>
      </c>
      <c r="O143" t="s">
        <v>82</v>
      </c>
      <c r="P143" t="str">
        <f>"2170713724                    "</f>
        <v xml:space="preserve">2170713724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8.7899999999999991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0.2</v>
      </c>
      <c r="BJ143">
        <v>1.4</v>
      </c>
      <c r="BK143">
        <v>1.5</v>
      </c>
      <c r="BL143" s="4">
        <v>50.66</v>
      </c>
      <c r="BM143" s="4">
        <v>7.6</v>
      </c>
      <c r="BN143" s="4">
        <v>58.26</v>
      </c>
      <c r="BO143" s="4">
        <v>58.26</v>
      </c>
      <c r="BQ143" t="s">
        <v>121</v>
      </c>
      <c r="BR143" t="s">
        <v>84</v>
      </c>
      <c r="BS143" s="3">
        <v>43774</v>
      </c>
      <c r="BT143" s="5">
        <v>0.43333333333333335</v>
      </c>
      <c r="BU143" t="s">
        <v>443</v>
      </c>
      <c r="BV143" t="s">
        <v>86</v>
      </c>
      <c r="BY143">
        <v>6997.41</v>
      </c>
      <c r="CA143" t="s">
        <v>180</v>
      </c>
      <c r="CC143" t="s">
        <v>177</v>
      </c>
      <c r="CD143">
        <v>3610</v>
      </c>
      <c r="CE143" t="s">
        <v>147</v>
      </c>
      <c r="CF143" s="3">
        <v>43776</v>
      </c>
      <c r="CI143">
        <v>1</v>
      </c>
      <c r="CJ143">
        <v>1</v>
      </c>
      <c r="CK143">
        <v>21</v>
      </c>
      <c r="CL143" t="s">
        <v>89</v>
      </c>
    </row>
    <row r="144" spans="1:90">
      <c r="A144" t="s">
        <v>72</v>
      </c>
      <c r="B144" t="s">
        <v>73</v>
      </c>
      <c r="C144" t="s">
        <v>74</v>
      </c>
      <c r="E144" t="str">
        <f>"FES1162720906"</f>
        <v>FES1162720906</v>
      </c>
      <c r="F144" s="3">
        <v>43773</v>
      </c>
      <c r="G144">
        <v>202005</v>
      </c>
      <c r="H144" t="s">
        <v>75</v>
      </c>
      <c r="I144" t="s">
        <v>76</v>
      </c>
      <c r="J144" t="s">
        <v>77</v>
      </c>
      <c r="K144" t="s">
        <v>78</v>
      </c>
      <c r="L144" t="s">
        <v>112</v>
      </c>
      <c r="M144" t="s">
        <v>113</v>
      </c>
      <c r="N144" t="s">
        <v>444</v>
      </c>
      <c r="O144" t="s">
        <v>82</v>
      </c>
      <c r="P144" t="str">
        <f>"2170714484                    "</f>
        <v xml:space="preserve">2170714484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8.7899999999999991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0.2</v>
      </c>
      <c r="BJ144">
        <v>1.8</v>
      </c>
      <c r="BK144">
        <v>2</v>
      </c>
      <c r="BL144" s="4">
        <v>50.66</v>
      </c>
      <c r="BM144" s="4">
        <v>7.6</v>
      </c>
      <c r="BN144" s="4">
        <v>58.26</v>
      </c>
      <c r="BO144" s="4">
        <v>58.26</v>
      </c>
      <c r="BQ144" t="s">
        <v>187</v>
      </c>
      <c r="BR144" t="s">
        <v>84</v>
      </c>
      <c r="BS144" s="3">
        <v>43774</v>
      </c>
      <c r="BT144" s="5">
        <v>0.41736111111111113</v>
      </c>
      <c r="BU144" t="s">
        <v>445</v>
      </c>
      <c r="BV144" t="s">
        <v>86</v>
      </c>
      <c r="BY144">
        <v>9101.2900000000009</v>
      </c>
      <c r="CA144" t="s">
        <v>428</v>
      </c>
      <c r="CC144" t="s">
        <v>113</v>
      </c>
      <c r="CD144">
        <v>4052</v>
      </c>
      <c r="CE144" t="s">
        <v>147</v>
      </c>
      <c r="CF144" s="3">
        <v>43776</v>
      </c>
      <c r="CI144">
        <v>1</v>
      </c>
      <c r="CJ144">
        <v>1</v>
      </c>
      <c r="CK144">
        <v>21</v>
      </c>
      <c r="CL144" t="s">
        <v>89</v>
      </c>
    </row>
    <row r="145" spans="1:90">
      <c r="A145" t="s">
        <v>72</v>
      </c>
      <c r="B145" t="s">
        <v>73</v>
      </c>
      <c r="C145" t="s">
        <v>74</v>
      </c>
      <c r="E145" t="str">
        <f>"FES1162720945"</f>
        <v>FES1162720945</v>
      </c>
      <c r="F145" s="3">
        <v>43773</v>
      </c>
      <c r="G145">
        <v>202005</v>
      </c>
      <c r="H145" t="s">
        <v>75</v>
      </c>
      <c r="I145" t="s">
        <v>76</v>
      </c>
      <c r="J145" t="s">
        <v>77</v>
      </c>
      <c r="K145" t="s">
        <v>78</v>
      </c>
      <c r="L145" t="s">
        <v>118</v>
      </c>
      <c r="M145" t="s">
        <v>119</v>
      </c>
      <c r="N145" t="s">
        <v>439</v>
      </c>
      <c r="O145" t="s">
        <v>82</v>
      </c>
      <c r="P145" t="str">
        <f>"2170714929                    "</f>
        <v xml:space="preserve">2170714929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8.7899999999999991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0.5</v>
      </c>
      <c r="BJ145">
        <v>0.8</v>
      </c>
      <c r="BK145">
        <v>1</v>
      </c>
      <c r="BL145" s="4">
        <v>50.66</v>
      </c>
      <c r="BM145" s="4">
        <v>7.6</v>
      </c>
      <c r="BN145" s="4">
        <v>58.26</v>
      </c>
      <c r="BO145" s="4">
        <v>58.26</v>
      </c>
      <c r="BQ145" t="s">
        <v>121</v>
      </c>
      <c r="BR145" t="s">
        <v>84</v>
      </c>
      <c r="BS145" s="3">
        <v>43774</v>
      </c>
      <c r="BT145" s="5">
        <v>0.43055555555555558</v>
      </c>
      <c r="BU145" t="s">
        <v>440</v>
      </c>
      <c r="BV145" t="s">
        <v>86</v>
      </c>
      <c r="BY145">
        <v>4145.63</v>
      </c>
      <c r="CA145" t="s">
        <v>441</v>
      </c>
      <c r="CC145" t="s">
        <v>119</v>
      </c>
      <c r="CD145">
        <v>3201</v>
      </c>
      <c r="CE145" t="s">
        <v>147</v>
      </c>
      <c r="CF145" s="3">
        <v>43776</v>
      </c>
      <c r="CI145">
        <v>1</v>
      </c>
      <c r="CJ145">
        <v>1</v>
      </c>
      <c r="CK145">
        <v>21</v>
      </c>
      <c r="CL145" t="s">
        <v>89</v>
      </c>
    </row>
    <row r="146" spans="1:90">
      <c r="A146" t="s">
        <v>72</v>
      </c>
      <c r="B146" t="s">
        <v>73</v>
      </c>
      <c r="C146" t="s">
        <v>74</v>
      </c>
      <c r="E146" t="str">
        <f>"FES1162720920"</f>
        <v>FES1162720920</v>
      </c>
      <c r="F146" s="3">
        <v>43773</v>
      </c>
      <c r="G146">
        <v>202005</v>
      </c>
      <c r="H146" t="s">
        <v>75</v>
      </c>
      <c r="I146" t="s">
        <v>76</v>
      </c>
      <c r="J146" t="s">
        <v>77</v>
      </c>
      <c r="K146" t="s">
        <v>78</v>
      </c>
      <c r="L146" t="s">
        <v>112</v>
      </c>
      <c r="M146" t="s">
        <v>113</v>
      </c>
      <c r="N146" t="s">
        <v>423</v>
      </c>
      <c r="O146" t="s">
        <v>82</v>
      </c>
      <c r="P146" t="str">
        <f>"2170714635                    "</f>
        <v xml:space="preserve">2170714635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8.7899999999999991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0.2</v>
      </c>
      <c r="BJ146">
        <v>0.7</v>
      </c>
      <c r="BK146">
        <v>1</v>
      </c>
      <c r="BL146" s="4">
        <v>50.66</v>
      </c>
      <c r="BM146" s="4">
        <v>7.6</v>
      </c>
      <c r="BN146" s="4">
        <v>58.26</v>
      </c>
      <c r="BO146" s="4">
        <v>58.26</v>
      </c>
      <c r="BQ146" t="s">
        <v>424</v>
      </c>
      <c r="BR146" t="s">
        <v>84</v>
      </c>
      <c r="BS146" s="3">
        <v>43774</v>
      </c>
      <c r="BT146" s="5">
        <v>0.34583333333333338</v>
      </c>
      <c r="BU146" t="s">
        <v>425</v>
      </c>
      <c r="BV146" t="s">
        <v>86</v>
      </c>
      <c r="BY146">
        <v>3314.95</v>
      </c>
      <c r="CA146" t="s">
        <v>426</v>
      </c>
      <c r="CC146" t="s">
        <v>113</v>
      </c>
      <c r="CD146">
        <v>4001</v>
      </c>
      <c r="CE146" t="s">
        <v>147</v>
      </c>
      <c r="CF146" s="3">
        <v>43776</v>
      </c>
      <c r="CI146">
        <v>1</v>
      </c>
      <c r="CJ146">
        <v>1</v>
      </c>
      <c r="CK146">
        <v>21</v>
      </c>
      <c r="CL146" t="s">
        <v>89</v>
      </c>
    </row>
    <row r="147" spans="1:90">
      <c r="A147" t="s">
        <v>72</v>
      </c>
      <c r="B147" t="s">
        <v>73</v>
      </c>
      <c r="C147" t="s">
        <v>74</v>
      </c>
      <c r="E147" t="str">
        <f>"FES1162720942"</f>
        <v>FES1162720942</v>
      </c>
      <c r="F147" s="3">
        <v>43773</v>
      </c>
      <c r="G147">
        <v>202005</v>
      </c>
      <c r="H147" t="s">
        <v>75</v>
      </c>
      <c r="I147" t="s">
        <v>76</v>
      </c>
      <c r="J147" t="s">
        <v>77</v>
      </c>
      <c r="K147" t="s">
        <v>78</v>
      </c>
      <c r="L147" t="s">
        <v>112</v>
      </c>
      <c r="M147" t="s">
        <v>113</v>
      </c>
      <c r="N147" t="s">
        <v>423</v>
      </c>
      <c r="O147" t="s">
        <v>82</v>
      </c>
      <c r="P147" t="str">
        <f>"2170714902                    "</f>
        <v xml:space="preserve">2170714902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10.99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0.2</v>
      </c>
      <c r="BJ147">
        <v>2.1</v>
      </c>
      <c r="BK147">
        <v>2.5</v>
      </c>
      <c r="BL147" s="4">
        <v>63.32</v>
      </c>
      <c r="BM147" s="4">
        <v>9.5</v>
      </c>
      <c r="BN147" s="4">
        <v>72.819999999999993</v>
      </c>
      <c r="BO147" s="4">
        <v>72.819999999999993</v>
      </c>
      <c r="BQ147" t="s">
        <v>424</v>
      </c>
      <c r="BR147" t="s">
        <v>84</v>
      </c>
      <c r="BS147" s="3">
        <v>43774</v>
      </c>
      <c r="BT147" s="5">
        <v>0.34583333333333338</v>
      </c>
      <c r="BU147" t="s">
        <v>425</v>
      </c>
      <c r="BV147" t="s">
        <v>86</v>
      </c>
      <c r="BY147">
        <v>10380.200000000001</v>
      </c>
      <c r="CA147" t="s">
        <v>426</v>
      </c>
      <c r="CC147" t="s">
        <v>113</v>
      </c>
      <c r="CD147">
        <v>4001</v>
      </c>
      <c r="CE147" t="s">
        <v>147</v>
      </c>
      <c r="CF147" s="3">
        <v>43776</v>
      </c>
      <c r="CI147">
        <v>1</v>
      </c>
      <c r="CJ147">
        <v>1</v>
      </c>
      <c r="CK147">
        <v>21</v>
      </c>
      <c r="CL147" t="s">
        <v>89</v>
      </c>
    </row>
    <row r="148" spans="1:90">
      <c r="A148" t="s">
        <v>72</v>
      </c>
      <c r="B148" t="s">
        <v>73</v>
      </c>
      <c r="C148" t="s">
        <v>74</v>
      </c>
      <c r="E148" t="str">
        <f>"FES1162720949"</f>
        <v>FES1162720949</v>
      </c>
      <c r="F148" s="3">
        <v>43773</v>
      </c>
      <c r="G148">
        <v>202005</v>
      </c>
      <c r="H148" t="s">
        <v>75</v>
      </c>
      <c r="I148" t="s">
        <v>76</v>
      </c>
      <c r="J148" t="s">
        <v>77</v>
      </c>
      <c r="K148" t="s">
        <v>78</v>
      </c>
      <c r="L148" t="s">
        <v>112</v>
      </c>
      <c r="M148" t="s">
        <v>113</v>
      </c>
      <c r="N148" t="s">
        <v>446</v>
      </c>
      <c r="O148" t="s">
        <v>82</v>
      </c>
      <c r="P148" t="str">
        <f>"2170714991                    "</f>
        <v xml:space="preserve">2170714991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8.7899999999999991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0.2</v>
      </c>
      <c r="BJ148">
        <v>0.7</v>
      </c>
      <c r="BK148">
        <v>1</v>
      </c>
      <c r="BL148" s="4">
        <v>50.66</v>
      </c>
      <c r="BM148" s="4">
        <v>7.6</v>
      </c>
      <c r="BN148" s="4">
        <v>58.26</v>
      </c>
      <c r="BO148" s="4">
        <v>58.26</v>
      </c>
      <c r="BQ148" t="s">
        <v>121</v>
      </c>
      <c r="BR148" t="s">
        <v>84</v>
      </c>
      <c r="BS148" s="3">
        <v>43774</v>
      </c>
      <c r="BT148" s="5">
        <v>0.3666666666666667</v>
      </c>
      <c r="BU148" t="s">
        <v>447</v>
      </c>
      <c r="BV148" t="s">
        <v>86</v>
      </c>
      <c r="BY148">
        <v>3458.63</v>
      </c>
      <c r="CA148" t="s">
        <v>448</v>
      </c>
      <c r="CC148" t="s">
        <v>113</v>
      </c>
      <c r="CD148">
        <v>4052</v>
      </c>
      <c r="CE148" t="s">
        <v>147</v>
      </c>
      <c r="CF148" s="3">
        <v>43776</v>
      </c>
      <c r="CI148">
        <v>1</v>
      </c>
      <c r="CJ148">
        <v>1</v>
      </c>
      <c r="CK148">
        <v>21</v>
      </c>
      <c r="CL148" t="s">
        <v>89</v>
      </c>
    </row>
    <row r="149" spans="1:90">
      <c r="A149" t="s">
        <v>72</v>
      </c>
      <c r="B149" t="s">
        <v>73</v>
      </c>
      <c r="C149" t="s">
        <v>74</v>
      </c>
      <c r="E149" t="str">
        <f>"FES1162720919"</f>
        <v>FES1162720919</v>
      </c>
      <c r="F149" s="3">
        <v>43773</v>
      </c>
      <c r="G149">
        <v>202005</v>
      </c>
      <c r="H149" t="s">
        <v>75</v>
      </c>
      <c r="I149" t="s">
        <v>76</v>
      </c>
      <c r="J149" t="s">
        <v>77</v>
      </c>
      <c r="K149" t="s">
        <v>78</v>
      </c>
      <c r="L149" t="s">
        <v>112</v>
      </c>
      <c r="M149" t="s">
        <v>113</v>
      </c>
      <c r="N149" t="s">
        <v>449</v>
      </c>
      <c r="O149" t="s">
        <v>82</v>
      </c>
      <c r="P149" t="str">
        <f>"2170714633                    "</f>
        <v xml:space="preserve">2170714633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8.7899999999999991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0.2</v>
      </c>
      <c r="BJ149">
        <v>0.9</v>
      </c>
      <c r="BK149">
        <v>1</v>
      </c>
      <c r="BL149" s="4">
        <v>50.66</v>
      </c>
      <c r="BM149" s="4">
        <v>7.6</v>
      </c>
      <c r="BN149" s="4">
        <v>58.26</v>
      </c>
      <c r="BO149" s="4">
        <v>58.26</v>
      </c>
      <c r="BQ149" t="s">
        <v>450</v>
      </c>
      <c r="BR149" t="s">
        <v>84</v>
      </c>
      <c r="BS149" s="3">
        <v>43774</v>
      </c>
      <c r="BT149" s="5">
        <v>0.34583333333333338</v>
      </c>
      <c r="BU149" t="s">
        <v>425</v>
      </c>
      <c r="BV149" t="s">
        <v>86</v>
      </c>
      <c r="BY149">
        <v>4377.45</v>
      </c>
      <c r="CA149" t="s">
        <v>426</v>
      </c>
      <c r="CC149" t="s">
        <v>113</v>
      </c>
      <c r="CD149">
        <v>4019</v>
      </c>
      <c r="CE149" t="s">
        <v>147</v>
      </c>
      <c r="CF149" s="3">
        <v>43776</v>
      </c>
      <c r="CI149">
        <v>1</v>
      </c>
      <c r="CJ149">
        <v>1</v>
      </c>
      <c r="CK149">
        <v>21</v>
      </c>
      <c r="CL149" t="s">
        <v>89</v>
      </c>
    </row>
    <row r="150" spans="1:90">
      <c r="A150" t="s">
        <v>72</v>
      </c>
      <c r="B150" t="s">
        <v>73</v>
      </c>
      <c r="C150" t="s">
        <v>74</v>
      </c>
      <c r="E150" t="str">
        <f>"FES1162720912"</f>
        <v>FES1162720912</v>
      </c>
      <c r="F150" s="3">
        <v>43773</v>
      </c>
      <c r="G150">
        <v>202005</v>
      </c>
      <c r="H150" t="s">
        <v>75</v>
      </c>
      <c r="I150" t="s">
        <v>76</v>
      </c>
      <c r="J150" t="s">
        <v>77</v>
      </c>
      <c r="K150" t="s">
        <v>78</v>
      </c>
      <c r="L150" t="s">
        <v>118</v>
      </c>
      <c r="M150" t="s">
        <v>119</v>
      </c>
      <c r="N150" t="s">
        <v>439</v>
      </c>
      <c r="O150" t="s">
        <v>82</v>
      </c>
      <c r="P150" t="str">
        <f>"2170714592                    "</f>
        <v xml:space="preserve">2170714592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8.7899999999999991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0.5</v>
      </c>
      <c r="BJ150">
        <v>1.7</v>
      </c>
      <c r="BK150">
        <v>2</v>
      </c>
      <c r="BL150" s="4">
        <v>50.66</v>
      </c>
      <c r="BM150" s="4">
        <v>7.6</v>
      </c>
      <c r="BN150" s="4">
        <v>58.26</v>
      </c>
      <c r="BO150" s="4">
        <v>58.26</v>
      </c>
      <c r="BQ150" t="s">
        <v>121</v>
      </c>
      <c r="BR150" t="s">
        <v>84</v>
      </c>
      <c r="BS150" s="3">
        <v>43774</v>
      </c>
      <c r="BT150" s="5">
        <v>0.43055555555555558</v>
      </c>
      <c r="BU150" t="s">
        <v>440</v>
      </c>
      <c r="BV150" t="s">
        <v>86</v>
      </c>
      <c r="BY150">
        <v>8462.4</v>
      </c>
      <c r="CA150" t="s">
        <v>441</v>
      </c>
      <c r="CC150" t="s">
        <v>119</v>
      </c>
      <c r="CD150">
        <v>3201</v>
      </c>
      <c r="CE150" t="s">
        <v>147</v>
      </c>
      <c r="CF150" s="3">
        <v>43776</v>
      </c>
      <c r="CI150">
        <v>1</v>
      </c>
      <c r="CJ150">
        <v>1</v>
      </c>
      <c r="CK150">
        <v>21</v>
      </c>
      <c r="CL150" t="s">
        <v>89</v>
      </c>
    </row>
    <row r="151" spans="1:90">
      <c r="A151" t="s">
        <v>72</v>
      </c>
      <c r="B151" t="s">
        <v>73</v>
      </c>
      <c r="C151" t="s">
        <v>74</v>
      </c>
      <c r="E151" t="str">
        <f>"FES1162720883"</f>
        <v>FES1162720883</v>
      </c>
      <c r="F151" s="3">
        <v>43773</v>
      </c>
      <c r="G151">
        <v>202005</v>
      </c>
      <c r="H151" t="s">
        <v>75</v>
      </c>
      <c r="I151" t="s">
        <v>76</v>
      </c>
      <c r="J151" t="s">
        <v>77</v>
      </c>
      <c r="K151" t="s">
        <v>78</v>
      </c>
      <c r="L151" t="s">
        <v>451</v>
      </c>
      <c r="M151" t="s">
        <v>452</v>
      </c>
      <c r="N151" t="s">
        <v>453</v>
      </c>
      <c r="O151" t="s">
        <v>82</v>
      </c>
      <c r="P151" t="str">
        <f>"2170713700                    "</f>
        <v xml:space="preserve">2170713700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8.7899999999999991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1.1000000000000001</v>
      </c>
      <c r="BJ151">
        <v>1.3</v>
      </c>
      <c r="BK151">
        <v>1.5</v>
      </c>
      <c r="BL151" s="4">
        <v>50.66</v>
      </c>
      <c r="BM151" s="4">
        <v>7.6</v>
      </c>
      <c r="BN151" s="4">
        <v>58.26</v>
      </c>
      <c r="BO151" s="4">
        <v>58.26</v>
      </c>
      <c r="BQ151" t="s">
        <v>109</v>
      </c>
      <c r="BR151" t="s">
        <v>84</v>
      </c>
      <c r="BS151" s="3">
        <v>43774</v>
      </c>
      <c r="BT151" s="5">
        <v>0.53194444444444444</v>
      </c>
      <c r="BU151" t="s">
        <v>454</v>
      </c>
      <c r="BV151" t="s">
        <v>86</v>
      </c>
      <c r="BY151">
        <v>6511.05</v>
      </c>
      <c r="CA151" t="s">
        <v>455</v>
      </c>
      <c r="CC151" t="s">
        <v>452</v>
      </c>
      <c r="CD151">
        <v>3310</v>
      </c>
      <c r="CE151" t="s">
        <v>147</v>
      </c>
      <c r="CF151" s="3">
        <v>43776</v>
      </c>
      <c r="CI151">
        <v>1</v>
      </c>
      <c r="CJ151">
        <v>1</v>
      </c>
      <c r="CK151">
        <v>21</v>
      </c>
      <c r="CL151" t="s">
        <v>89</v>
      </c>
    </row>
    <row r="152" spans="1:90">
      <c r="A152" t="s">
        <v>72</v>
      </c>
      <c r="B152" t="s">
        <v>73</v>
      </c>
      <c r="C152" t="s">
        <v>74</v>
      </c>
      <c r="E152" t="str">
        <f>"FES1162720899"</f>
        <v>FES1162720899</v>
      </c>
      <c r="F152" s="3">
        <v>43773</v>
      </c>
      <c r="G152">
        <v>202005</v>
      </c>
      <c r="H152" t="s">
        <v>75</v>
      </c>
      <c r="I152" t="s">
        <v>76</v>
      </c>
      <c r="J152" t="s">
        <v>77</v>
      </c>
      <c r="K152" t="s">
        <v>78</v>
      </c>
      <c r="L152" t="s">
        <v>431</v>
      </c>
      <c r="M152" t="s">
        <v>432</v>
      </c>
      <c r="N152" t="s">
        <v>436</v>
      </c>
      <c r="O152" t="s">
        <v>82</v>
      </c>
      <c r="P152" t="str">
        <f>"2170714337                    "</f>
        <v xml:space="preserve">2170714337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8.7899999999999991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0.2</v>
      </c>
      <c r="BJ152">
        <v>0.4</v>
      </c>
      <c r="BK152">
        <v>0.5</v>
      </c>
      <c r="BL152" s="4">
        <v>50.66</v>
      </c>
      <c r="BM152" s="4">
        <v>7.6</v>
      </c>
      <c r="BN152" s="4">
        <v>58.26</v>
      </c>
      <c r="BO152" s="4">
        <v>58.26</v>
      </c>
      <c r="BR152" t="s">
        <v>84</v>
      </c>
      <c r="BS152" s="3">
        <v>43774</v>
      </c>
      <c r="BT152" s="5">
        <v>0.47569444444444442</v>
      </c>
      <c r="BU152" t="s">
        <v>434</v>
      </c>
      <c r="BV152" t="s">
        <v>86</v>
      </c>
      <c r="BY152">
        <v>1908.36</v>
      </c>
      <c r="CA152" t="s">
        <v>435</v>
      </c>
      <c r="CC152" t="s">
        <v>432</v>
      </c>
      <c r="CD152">
        <v>3699</v>
      </c>
      <c r="CE152" t="s">
        <v>147</v>
      </c>
      <c r="CF152" s="3">
        <v>43776</v>
      </c>
      <c r="CI152">
        <v>1</v>
      </c>
      <c r="CJ152">
        <v>1</v>
      </c>
      <c r="CK152">
        <v>21</v>
      </c>
      <c r="CL152" t="s">
        <v>89</v>
      </c>
    </row>
    <row r="153" spans="1:90">
      <c r="A153" t="s">
        <v>72</v>
      </c>
      <c r="B153" t="s">
        <v>73</v>
      </c>
      <c r="C153" t="s">
        <v>74</v>
      </c>
      <c r="E153" t="str">
        <f>"FES1162721072"</f>
        <v>FES1162721072</v>
      </c>
      <c r="F153" s="3">
        <v>43773</v>
      </c>
      <c r="G153">
        <v>202005</v>
      </c>
      <c r="H153" t="s">
        <v>75</v>
      </c>
      <c r="I153" t="s">
        <v>76</v>
      </c>
      <c r="J153" t="s">
        <v>77</v>
      </c>
      <c r="K153" t="s">
        <v>78</v>
      </c>
      <c r="L153" t="s">
        <v>79</v>
      </c>
      <c r="M153" t="s">
        <v>80</v>
      </c>
      <c r="N153" t="s">
        <v>456</v>
      </c>
      <c r="O153" t="s">
        <v>82</v>
      </c>
      <c r="P153" t="str">
        <f>"2170715345                    "</f>
        <v xml:space="preserve">2170715345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8.7899999999999991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0.2</v>
      </c>
      <c r="BJ153">
        <v>0.9</v>
      </c>
      <c r="BK153">
        <v>1</v>
      </c>
      <c r="BL153" s="4">
        <v>50.66</v>
      </c>
      <c r="BM153" s="4">
        <v>7.6</v>
      </c>
      <c r="BN153" s="4">
        <v>58.26</v>
      </c>
      <c r="BO153" s="4">
        <v>58.26</v>
      </c>
      <c r="BQ153" t="s">
        <v>109</v>
      </c>
      <c r="BR153" t="s">
        <v>84</v>
      </c>
      <c r="BS153" s="3">
        <v>43774</v>
      </c>
      <c r="BT153" s="5">
        <v>0.375</v>
      </c>
      <c r="BU153" t="s">
        <v>457</v>
      </c>
      <c r="BV153" t="s">
        <v>86</v>
      </c>
      <c r="BY153">
        <v>4419.3599999999997</v>
      </c>
      <c r="CA153" t="s">
        <v>87</v>
      </c>
      <c r="CC153" t="s">
        <v>80</v>
      </c>
      <c r="CD153">
        <v>6230</v>
      </c>
      <c r="CE153" t="s">
        <v>147</v>
      </c>
      <c r="CF153" s="3">
        <v>43775</v>
      </c>
      <c r="CI153">
        <v>1</v>
      </c>
      <c r="CJ153">
        <v>1</v>
      </c>
      <c r="CK153">
        <v>21</v>
      </c>
      <c r="CL153" t="s">
        <v>89</v>
      </c>
    </row>
    <row r="154" spans="1:90">
      <c r="A154" t="s">
        <v>72</v>
      </c>
      <c r="B154" t="s">
        <v>73</v>
      </c>
      <c r="C154" t="s">
        <v>74</v>
      </c>
      <c r="E154" t="str">
        <f>"FES1162721073"</f>
        <v>FES1162721073</v>
      </c>
      <c r="F154" s="3">
        <v>43773</v>
      </c>
      <c r="G154">
        <v>202005</v>
      </c>
      <c r="H154" t="s">
        <v>75</v>
      </c>
      <c r="I154" t="s">
        <v>76</v>
      </c>
      <c r="J154" t="s">
        <v>77</v>
      </c>
      <c r="K154" t="s">
        <v>78</v>
      </c>
      <c r="L154" t="s">
        <v>79</v>
      </c>
      <c r="M154" t="s">
        <v>80</v>
      </c>
      <c r="N154" t="s">
        <v>458</v>
      </c>
      <c r="O154" t="s">
        <v>82</v>
      </c>
      <c r="P154" t="str">
        <f>"2170715347                    "</f>
        <v xml:space="preserve">2170715347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8.7899999999999991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0.2</v>
      </c>
      <c r="BJ154">
        <v>1</v>
      </c>
      <c r="BK154">
        <v>1</v>
      </c>
      <c r="BL154" s="4">
        <v>50.66</v>
      </c>
      <c r="BM154" s="4">
        <v>7.6</v>
      </c>
      <c r="BN154" s="4">
        <v>58.26</v>
      </c>
      <c r="BO154" s="4">
        <v>58.26</v>
      </c>
      <c r="BQ154" t="s">
        <v>109</v>
      </c>
      <c r="BR154" t="s">
        <v>84</v>
      </c>
      <c r="BS154" s="3">
        <v>43774</v>
      </c>
      <c r="BT154" s="5">
        <v>0.35416666666666669</v>
      </c>
      <c r="BU154" t="s">
        <v>459</v>
      </c>
      <c r="BV154" t="s">
        <v>86</v>
      </c>
      <c r="BY154">
        <v>4838.03</v>
      </c>
      <c r="CA154" t="s">
        <v>87</v>
      </c>
      <c r="CC154" t="s">
        <v>80</v>
      </c>
      <c r="CD154">
        <v>6230</v>
      </c>
      <c r="CE154" t="s">
        <v>147</v>
      </c>
      <c r="CF154" s="3">
        <v>43775</v>
      </c>
      <c r="CI154">
        <v>1</v>
      </c>
      <c r="CJ154">
        <v>1</v>
      </c>
      <c r="CK154">
        <v>21</v>
      </c>
      <c r="CL154" t="s">
        <v>89</v>
      </c>
    </row>
    <row r="155" spans="1:90">
      <c r="A155" t="s">
        <v>72</v>
      </c>
      <c r="B155" t="s">
        <v>73</v>
      </c>
      <c r="C155" t="s">
        <v>74</v>
      </c>
      <c r="E155" t="str">
        <f>"FES1162720869"</f>
        <v>FES1162720869</v>
      </c>
      <c r="F155" s="3">
        <v>43773</v>
      </c>
      <c r="G155">
        <v>202005</v>
      </c>
      <c r="H155" t="s">
        <v>75</v>
      </c>
      <c r="I155" t="s">
        <v>76</v>
      </c>
      <c r="J155" t="s">
        <v>77</v>
      </c>
      <c r="K155" t="s">
        <v>78</v>
      </c>
      <c r="L155" t="s">
        <v>124</v>
      </c>
      <c r="M155" t="s">
        <v>125</v>
      </c>
      <c r="N155" t="s">
        <v>230</v>
      </c>
      <c r="O155" t="s">
        <v>82</v>
      </c>
      <c r="P155" t="str">
        <f>"217071605                     "</f>
        <v xml:space="preserve">217071605 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8.52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1.2</v>
      </c>
      <c r="BJ155">
        <v>2.9</v>
      </c>
      <c r="BK155">
        <v>3</v>
      </c>
      <c r="BL155" s="4">
        <v>49.07</v>
      </c>
      <c r="BM155" s="4">
        <v>7.36</v>
      </c>
      <c r="BN155" s="4">
        <v>56.43</v>
      </c>
      <c r="BO155" s="4">
        <v>56.43</v>
      </c>
      <c r="BQ155" t="s">
        <v>109</v>
      </c>
      <c r="BR155" t="s">
        <v>84</v>
      </c>
      <c r="BS155" s="3">
        <v>43774</v>
      </c>
      <c r="BT155" s="5">
        <v>0.41666666666666669</v>
      </c>
      <c r="BU155" t="s">
        <v>231</v>
      </c>
      <c r="BV155" t="s">
        <v>86</v>
      </c>
      <c r="BY155">
        <v>14447.16</v>
      </c>
      <c r="CC155" t="s">
        <v>125</v>
      </c>
      <c r="CD155">
        <v>2091</v>
      </c>
      <c r="CE155" t="s">
        <v>147</v>
      </c>
      <c r="CF155" s="3">
        <v>43775</v>
      </c>
      <c r="CI155">
        <v>1</v>
      </c>
      <c r="CJ155">
        <v>1</v>
      </c>
      <c r="CK155">
        <v>22</v>
      </c>
      <c r="CL155" t="s">
        <v>89</v>
      </c>
    </row>
    <row r="156" spans="1:90">
      <c r="A156" t="s">
        <v>72</v>
      </c>
      <c r="B156" t="s">
        <v>73</v>
      </c>
      <c r="C156" t="s">
        <v>74</v>
      </c>
      <c r="E156" t="str">
        <f>"FES1162721025"</f>
        <v>FES1162721025</v>
      </c>
      <c r="F156" s="3">
        <v>43773</v>
      </c>
      <c r="G156">
        <v>202005</v>
      </c>
      <c r="H156" t="s">
        <v>75</v>
      </c>
      <c r="I156" t="s">
        <v>76</v>
      </c>
      <c r="J156" t="s">
        <v>77</v>
      </c>
      <c r="K156" t="s">
        <v>78</v>
      </c>
      <c r="L156" t="s">
        <v>124</v>
      </c>
      <c r="M156" t="s">
        <v>125</v>
      </c>
      <c r="N156" t="s">
        <v>460</v>
      </c>
      <c r="O156" t="s">
        <v>82</v>
      </c>
      <c r="P156" t="str">
        <f>"2170715309                    "</f>
        <v xml:space="preserve">2170715309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6.87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0.5</v>
      </c>
      <c r="BJ156">
        <v>1.3</v>
      </c>
      <c r="BK156">
        <v>1.5</v>
      </c>
      <c r="BL156" s="4">
        <v>39.58</v>
      </c>
      <c r="BM156" s="4">
        <v>5.94</v>
      </c>
      <c r="BN156" s="4">
        <v>45.52</v>
      </c>
      <c r="BO156" s="4">
        <v>45.52</v>
      </c>
      <c r="BQ156" t="s">
        <v>461</v>
      </c>
      <c r="BR156" t="s">
        <v>84</v>
      </c>
      <c r="BS156" s="3">
        <v>43774</v>
      </c>
      <c r="BT156" s="5">
        <v>0.29166666666666669</v>
      </c>
      <c r="BU156" t="s">
        <v>462</v>
      </c>
      <c r="BV156" t="s">
        <v>86</v>
      </c>
      <c r="BY156">
        <v>6698</v>
      </c>
      <c r="CA156" t="s">
        <v>415</v>
      </c>
      <c r="CC156" t="s">
        <v>125</v>
      </c>
      <c r="CD156">
        <v>2094</v>
      </c>
      <c r="CE156" t="s">
        <v>147</v>
      </c>
      <c r="CF156" s="3">
        <v>43775</v>
      </c>
      <c r="CI156">
        <v>1</v>
      </c>
      <c r="CJ156">
        <v>1</v>
      </c>
      <c r="CK156">
        <v>22</v>
      </c>
      <c r="CL156" t="s">
        <v>89</v>
      </c>
    </row>
    <row r="157" spans="1:90">
      <c r="A157" t="s">
        <v>72</v>
      </c>
      <c r="B157" t="s">
        <v>73</v>
      </c>
      <c r="C157" t="s">
        <v>74</v>
      </c>
      <c r="E157" t="str">
        <f>"FES1162720862"</f>
        <v>FES1162720862</v>
      </c>
      <c r="F157" s="3">
        <v>43773</v>
      </c>
      <c r="G157">
        <v>202005</v>
      </c>
      <c r="H157" t="s">
        <v>75</v>
      </c>
      <c r="I157" t="s">
        <v>76</v>
      </c>
      <c r="J157" t="s">
        <v>77</v>
      </c>
      <c r="K157" t="s">
        <v>78</v>
      </c>
      <c r="L157" t="s">
        <v>251</v>
      </c>
      <c r="M157" t="s">
        <v>252</v>
      </c>
      <c r="N157" t="s">
        <v>330</v>
      </c>
      <c r="O157" t="s">
        <v>82</v>
      </c>
      <c r="P157" t="str">
        <f>"217712125                     "</f>
        <v xml:space="preserve">217712125 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10.99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0.2</v>
      </c>
      <c r="BJ157">
        <v>2.1</v>
      </c>
      <c r="BK157">
        <v>2.5</v>
      </c>
      <c r="BL157" s="4">
        <v>63.32</v>
      </c>
      <c r="BM157" s="4">
        <v>9.5</v>
      </c>
      <c r="BN157" s="4">
        <v>72.819999999999993</v>
      </c>
      <c r="BO157" s="4">
        <v>72.819999999999993</v>
      </c>
      <c r="BQ157" t="s">
        <v>109</v>
      </c>
      <c r="BR157" t="s">
        <v>84</v>
      </c>
      <c r="BS157" s="3">
        <v>43774</v>
      </c>
      <c r="BT157" s="5">
        <v>0.40069444444444446</v>
      </c>
      <c r="BU157" t="s">
        <v>463</v>
      </c>
      <c r="BV157" t="s">
        <v>86</v>
      </c>
      <c r="BY157">
        <v>10639.62</v>
      </c>
      <c r="CA157" t="s">
        <v>448</v>
      </c>
      <c r="CC157" t="s">
        <v>252</v>
      </c>
      <c r="CD157">
        <v>4133</v>
      </c>
      <c r="CE157" t="s">
        <v>147</v>
      </c>
      <c r="CF157" s="3">
        <v>43776</v>
      </c>
      <c r="CI157">
        <v>1</v>
      </c>
      <c r="CJ157">
        <v>1</v>
      </c>
      <c r="CK157">
        <v>21</v>
      </c>
      <c r="CL157" t="s">
        <v>89</v>
      </c>
    </row>
    <row r="158" spans="1:90">
      <c r="A158" t="s">
        <v>72</v>
      </c>
      <c r="B158" t="s">
        <v>73</v>
      </c>
      <c r="C158" t="s">
        <v>74</v>
      </c>
      <c r="E158" t="str">
        <f>"FES1162721015"</f>
        <v>FES1162721015</v>
      </c>
      <c r="F158" s="3">
        <v>43773</v>
      </c>
      <c r="G158">
        <v>202005</v>
      </c>
      <c r="H158" t="s">
        <v>75</v>
      </c>
      <c r="I158" t="s">
        <v>76</v>
      </c>
      <c r="J158" t="s">
        <v>77</v>
      </c>
      <c r="K158" t="s">
        <v>78</v>
      </c>
      <c r="L158" t="s">
        <v>75</v>
      </c>
      <c r="M158" t="s">
        <v>76</v>
      </c>
      <c r="N158" t="s">
        <v>464</v>
      </c>
      <c r="O158" t="s">
        <v>82</v>
      </c>
      <c r="P158" t="str">
        <f>"2170715298                    "</f>
        <v xml:space="preserve">2170715298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8.52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1.1000000000000001</v>
      </c>
      <c r="BJ158">
        <v>2.6</v>
      </c>
      <c r="BK158">
        <v>3</v>
      </c>
      <c r="BL158" s="4">
        <v>49.07</v>
      </c>
      <c r="BM158" s="4">
        <v>7.36</v>
      </c>
      <c r="BN158" s="4">
        <v>56.43</v>
      </c>
      <c r="BO158" s="4">
        <v>56.43</v>
      </c>
      <c r="BR158" t="s">
        <v>84</v>
      </c>
      <c r="BS158" s="3">
        <v>43774</v>
      </c>
      <c r="BT158" s="5">
        <v>0.41388888888888892</v>
      </c>
      <c r="BU158" t="s">
        <v>465</v>
      </c>
      <c r="BV158" t="s">
        <v>86</v>
      </c>
      <c r="BY158">
        <v>12827</v>
      </c>
      <c r="CA158" t="s">
        <v>159</v>
      </c>
      <c r="CC158" t="s">
        <v>76</v>
      </c>
      <c r="CD158">
        <v>1682</v>
      </c>
      <c r="CE158" t="s">
        <v>147</v>
      </c>
      <c r="CF158" s="3">
        <v>43775</v>
      </c>
      <c r="CI158">
        <v>1</v>
      </c>
      <c r="CJ158">
        <v>1</v>
      </c>
      <c r="CK158">
        <v>22</v>
      </c>
      <c r="CL158" t="s">
        <v>89</v>
      </c>
    </row>
    <row r="159" spans="1:90">
      <c r="A159" t="s">
        <v>72</v>
      </c>
      <c r="B159" t="s">
        <v>73</v>
      </c>
      <c r="C159" t="s">
        <v>74</v>
      </c>
      <c r="E159" t="str">
        <f>"FES1162720933"</f>
        <v>FES1162720933</v>
      </c>
      <c r="F159" s="3">
        <v>43773</v>
      </c>
      <c r="G159">
        <v>202005</v>
      </c>
      <c r="H159" t="s">
        <v>75</v>
      </c>
      <c r="I159" t="s">
        <v>76</v>
      </c>
      <c r="J159" t="s">
        <v>77</v>
      </c>
      <c r="K159" t="s">
        <v>78</v>
      </c>
      <c r="L159" t="s">
        <v>101</v>
      </c>
      <c r="M159" t="s">
        <v>102</v>
      </c>
      <c r="N159" t="s">
        <v>410</v>
      </c>
      <c r="O159" t="s">
        <v>82</v>
      </c>
      <c r="P159" t="str">
        <f>"2170714810                    "</f>
        <v xml:space="preserve">2170714810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8.7899999999999991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0.2</v>
      </c>
      <c r="BJ159">
        <v>1.5</v>
      </c>
      <c r="BK159">
        <v>1.5</v>
      </c>
      <c r="BL159" s="4">
        <v>50.66</v>
      </c>
      <c r="BM159" s="4">
        <v>7.6</v>
      </c>
      <c r="BN159" s="4">
        <v>58.26</v>
      </c>
      <c r="BO159" s="4">
        <v>58.26</v>
      </c>
      <c r="BQ159" t="s">
        <v>109</v>
      </c>
      <c r="BR159" t="s">
        <v>84</v>
      </c>
      <c r="BS159" s="3">
        <v>43774</v>
      </c>
      <c r="BT159" s="5">
        <v>0.32291666666666669</v>
      </c>
      <c r="BU159" t="s">
        <v>411</v>
      </c>
      <c r="BV159" t="s">
        <v>86</v>
      </c>
      <c r="BY159">
        <v>7366.95</v>
      </c>
      <c r="CA159" t="s">
        <v>359</v>
      </c>
      <c r="CC159" t="s">
        <v>102</v>
      </c>
      <c r="CD159">
        <v>184</v>
      </c>
      <c r="CE159" t="s">
        <v>147</v>
      </c>
      <c r="CF159" s="3">
        <v>43775</v>
      </c>
      <c r="CI159">
        <v>1</v>
      </c>
      <c r="CJ159">
        <v>1</v>
      </c>
      <c r="CK159">
        <v>21</v>
      </c>
      <c r="CL159" t="s">
        <v>89</v>
      </c>
    </row>
    <row r="160" spans="1:90">
      <c r="A160" t="s">
        <v>72</v>
      </c>
      <c r="B160" t="s">
        <v>73</v>
      </c>
      <c r="C160" t="s">
        <v>74</v>
      </c>
      <c r="E160" t="str">
        <f>"FES1162720934"</f>
        <v>FES1162720934</v>
      </c>
      <c r="F160" s="3">
        <v>43773</v>
      </c>
      <c r="G160">
        <v>202005</v>
      </c>
      <c r="H160" t="s">
        <v>75</v>
      </c>
      <c r="I160" t="s">
        <v>76</v>
      </c>
      <c r="J160" t="s">
        <v>77</v>
      </c>
      <c r="K160" t="s">
        <v>78</v>
      </c>
      <c r="L160" t="s">
        <v>101</v>
      </c>
      <c r="M160" t="s">
        <v>102</v>
      </c>
      <c r="N160" t="s">
        <v>410</v>
      </c>
      <c r="O160" t="s">
        <v>82</v>
      </c>
      <c r="P160" t="str">
        <f>"2170714813                    "</f>
        <v xml:space="preserve">2170714813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8.7899999999999991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0.6</v>
      </c>
      <c r="BJ160">
        <v>1</v>
      </c>
      <c r="BK160">
        <v>1</v>
      </c>
      <c r="BL160" s="4">
        <v>50.66</v>
      </c>
      <c r="BM160" s="4">
        <v>7.6</v>
      </c>
      <c r="BN160" s="4">
        <v>58.26</v>
      </c>
      <c r="BO160" s="4">
        <v>58.26</v>
      </c>
      <c r="BQ160" t="s">
        <v>121</v>
      </c>
      <c r="BR160" t="s">
        <v>84</v>
      </c>
      <c r="BS160" s="3">
        <v>43774</v>
      </c>
      <c r="BT160" s="5">
        <v>0.32291666666666669</v>
      </c>
      <c r="BU160" t="s">
        <v>411</v>
      </c>
      <c r="BV160" t="s">
        <v>86</v>
      </c>
      <c r="BY160">
        <v>4952.92</v>
      </c>
      <c r="CA160" t="s">
        <v>359</v>
      </c>
      <c r="CC160" t="s">
        <v>102</v>
      </c>
      <c r="CD160">
        <v>184</v>
      </c>
      <c r="CE160" t="s">
        <v>147</v>
      </c>
      <c r="CF160" s="3">
        <v>43775</v>
      </c>
      <c r="CI160">
        <v>1</v>
      </c>
      <c r="CJ160">
        <v>1</v>
      </c>
      <c r="CK160">
        <v>21</v>
      </c>
      <c r="CL160" t="s">
        <v>89</v>
      </c>
    </row>
    <row r="161" spans="1:90">
      <c r="A161" t="s">
        <v>72</v>
      </c>
      <c r="B161" t="s">
        <v>73</v>
      </c>
      <c r="C161" t="s">
        <v>74</v>
      </c>
      <c r="E161" t="str">
        <f>"FES1162720931"</f>
        <v>FES1162720931</v>
      </c>
      <c r="F161" s="3">
        <v>43773</v>
      </c>
      <c r="G161">
        <v>202005</v>
      </c>
      <c r="H161" t="s">
        <v>75</v>
      </c>
      <c r="I161" t="s">
        <v>76</v>
      </c>
      <c r="J161" t="s">
        <v>77</v>
      </c>
      <c r="K161" t="s">
        <v>78</v>
      </c>
      <c r="L161" t="s">
        <v>101</v>
      </c>
      <c r="M161" t="s">
        <v>102</v>
      </c>
      <c r="N161" t="s">
        <v>410</v>
      </c>
      <c r="O161" t="s">
        <v>82</v>
      </c>
      <c r="P161" t="str">
        <f>"217071931                     "</f>
        <v xml:space="preserve">217071931 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8.7899999999999991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0.6</v>
      </c>
      <c r="BJ161">
        <v>1.5</v>
      </c>
      <c r="BK161">
        <v>1.5</v>
      </c>
      <c r="BL161" s="4">
        <v>50.66</v>
      </c>
      <c r="BM161" s="4">
        <v>7.6</v>
      </c>
      <c r="BN161" s="4">
        <v>58.26</v>
      </c>
      <c r="BO161" s="4">
        <v>58.26</v>
      </c>
      <c r="BQ161" t="s">
        <v>121</v>
      </c>
      <c r="BR161" t="s">
        <v>84</v>
      </c>
      <c r="BS161" s="3">
        <v>43774</v>
      </c>
      <c r="BT161" s="5">
        <v>0.32291666666666669</v>
      </c>
      <c r="BU161" t="s">
        <v>411</v>
      </c>
      <c r="BV161" t="s">
        <v>86</v>
      </c>
      <c r="BY161">
        <v>7633.92</v>
      </c>
      <c r="CA161" t="s">
        <v>359</v>
      </c>
      <c r="CC161" t="s">
        <v>102</v>
      </c>
      <c r="CD161">
        <v>184</v>
      </c>
      <c r="CE161" t="s">
        <v>147</v>
      </c>
      <c r="CF161" s="3">
        <v>43775</v>
      </c>
      <c r="CI161">
        <v>1</v>
      </c>
      <c r="CJ161">
        <v>1</v>
      </c>
      <c r="CK161">
        <v>21</v>
      </c>
      <c r="CL161" t="s">
        <v>89</v>
      </c>
    </row>
    <row r="162" spans="1:90">
      <c r="A162" t="s">
        <v>72</v>
      </c>
      <c r="B162" t="s">
        <v>73</v>
      </c>
      <c r="C162" t="s">
        <v>74</v>
      </c>
      <c r="E162" t="str">
        <f>"FES1162721022"</f>
        <v>FES1162721022</v>
      </c>
      <c r="F162" s="3">
        <v>43773</v>
      </c>
      <c r="G162">
        <v>202005</v>
      </c>
      <c r="H162" t="s">
        <v>75</v>
      </c>
      <c r="I162" t="s">
        <v>76</v>
      </c>
      <c r="J162" t="s">
        <v>77</v>
      </c>
      <c r="K162" t="s">
        <v>78</v>
      </c>
      <c r="L162" t="s">
        <v>75</v>
      </c>
      <c r="M162" t="s">
        <v>76</v>
      </c>
      <c r="N162" t="s">
        <v>466</v>
      </c>
      <c r="O162" t="s">
        <v>82</v>
      </c>
      <c r="P162" t="str">
        <f>"2170713863                    "</f>
        <v xml:space="preserve">2170713863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6.87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0.2</v>
      </c>
      <c r="BJ162">
        <v>1</v>
      </c>
      <c r="BK162">
        <v>1</v>
      </c>
      <c r="BL162" s="4">
        <v>39.58</v>
      </c>
      <c r="BM162" s="4">
        <v>5.94</v>
      </c>
      <c r="BN162" s="4">
        <v>45.52</v>
      </c>
      <c r="BO162" s="4">
        <v>45.52</v>
      </c>
      <c r="BQ162" t="s">
        <v>109</v>
      </c>
      <c r="BR162" t="s">
        <v>84</v>
      </c>
      <c r="BS162" s="3">
        <v>43774</v>
      </c>
      <c r="BT162" s="5">
        <v>0.4375</v>
      </c>
      <c r="BU162" t="s">
        <v>467</v>
      </c>
      <c r="BV162" t="s">
        <v>86</v>
      </c>
      <c r="BY162">
        <v>5113.3599999999997</v>
      </c>
      <c r="CC162" t="s">
        <v>76</v>
      </c>
      <c r="CD162">
        <v>1609</v>
      </c>
      <c r="CE162" t="s">
        <v>147</v>
      </c>
      <c r="CF162" s="3">
        <v>43775</v>
      </c>
      <c r="CI162">
        <v>1</v>
      </c>
      <c r="CJ162">
        <v>1</v>
      </c>
      <c r="CK162">
        <v>22</v>
      </c>
      <c r="CL162" t="s">
        <v>89</v>
      </c>
    </row>
    <row r="163" spans="1:90">
      <c r="A163" t="s">
        <v>72</v>
      </c>
      <c r="B163" t="s">
        <v>73</v>
      </c>
      <c r="C163" t="s">
        <v>74</v>
      </c>
      <c r="E163" t="str">
        <f>"FES1162720930"</f>
        <v>FES1162720930</v>
      </c>
      <c r="F163" s="3">
        <v>43773</v>
      </c>
      <c r="G163">
        <v>202005</v>
      </c>
      <c r="H163" t="s">
        <v>75</v>
      </c>
      <c r="I163" t="s">
        <v>76</v>
      </c>
      <c r="J163" t="s">
        <v>77</v>
      </c>
      <c r="K163" t="s">
        <v>78</v>
      </c>
      <c r="L163" t="s">
        <v>101</v>
      </c>
      <c r="M163" t="s">
        <v>102</v>
      </c>
      <c r="N163" t="s">
        <v>410</v>
      </c>
      <c r="O163" t="s">
        <v>82</v>
      </c>
      <c r="P163" t="str">
        <f>"2170714805                    "</f>
        <v xml:space="preserve">2170714805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8.7899999999999991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0.2</v>
      </c>
      <c r="BJ163">
        <v>1.1000000000000001</v>
      </c>
      <c r="BK163">
        <v>1.5</v>
      </c>
      <c r="BL163" s="4">
        <v>50.66</v>
      </c>
      <c r="BM163" s="4">
        <v>7.6</v>
      </c>
      <c r="BN163" s="4">
        <v>58.26</v>
      </c>
      <c r="BO163" s="4">
        <v>58.26</v>
      </c>
      <c r="BQ163" t="s">
        <v>109</v>
      </c>
      <c r="BR163" t="s">
        <v>84</v>
      </c>
      <c r="BS163" s="3">
        <v>43774</v>
      </c>
      <c r="BT163" s="5">
        <v>0.32291666666666669</v>
      </c>
      <c r="BU163" t="s">
        <v>411</v>
      </c>
      <c r="BV163" t="s">
        <v>86</v>
      </c>
      <c r="BY163">
        <v>5276.88</v>
      </c>
      <c r="CA163" t="s">
        <v>359</v>
      </c>
      <c r="CC163" t="s">
        <v>102</v>
      </c>
      <c r="CD163">
        <v>184</v>
      </c>
      <c r="CE163" t="s">
        <v>147</v>
      </c>
      <c r="CF163" s="3">
        <v>43775</v>
      </c>
      <c r="CI163">
        <v>1</v>
      </c>
      <c r="CJ163">
        <v>1</v>
      </c>
      <c r="CK163">
        <v>21</v>
      </c>
      <c r="CL163" t="s">
        <v>89</v>
      </c>
    </row>
    <row r="164" spans="1:90">
      <c r="A164" t="s">
        <v>72</v>
      </c>
      <c r="B164" t="s">
        <v>73</v>
      </c>
      <c r="C164" t="s">
        <v>74</v>
      </c>
      <c r="E164" t="str">
        <f>"FES1162721012"</f>
        <v>FES1162721012</v>
      </c>
      <c r="F164" s="3">
        <v>43773</v>
      </c>
      <c r="G164">
        <v>202005</v>
      </c>
      <c r="H164" t="s">
        <v>75</v>
      </c>
      <c r="I164" t="s">
        <v>76</v>
      </c>
      <c r="J164" t="s">
        <v>77</v>
      </c>
      <c r="K164" t="s">
        <v>78</v>
      </c>
      <c r="L164" t="s">
        <v>124</v>
      </c>
      <c r="M164" t="s">
        <v>125</v>
      </c>
      <c r="N164" t="s">
        <v>468</v>
      </c>
      <c r="O164" t="s">
        <v>82</v>
      </c>
      <c r="P164" t="str">
        <f>"2170715294                    "</f>
        <v xml:space="preserve">2170715294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13.45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5.8</v>
      </c>
      <c r="BJ164">
        <v>3</v>
      </c>
      <c r="BK164">
        <v>6</v>
      </c>
      <c r="BL164" s="4">
        <v>77.52</v>
      </c>
      <c r="BM164" s="4">
        <v>11.63</v>
      </c>
      <c r="BN164" s="4">
        <v>89.15</v>
      </c>
      <c r="BO164" s="4">
        <v>89.15</v>
      </c>
      <c r="BQ164" t="s">
        <v>121</v>
      </c>
      <c r="BR164" t="s">
        <v>84</v>
      </c>
      <c r="BS164" s="3">
        <v>43774</v>
      </c>
      <c r="BT164" s="5">
        <v>0.33333333333333331</v>
      </c>
      <c r="BU164" t="s">
        <v>469</v>
      </c>
      <c r="BV164" t="s">
        <v>86</v>
      </c>
      <c r="BY164">
        <v>15113.06</v>
      </c>
      <c r="CA164" t="s">
        <v>470</v>
      </c>
      <c r="CC164" t="s">
        <v>125</v>
      </c>
      <c r="CD164">
        <v>2090</v>
      </c>
      <c r="CE164" t="s">
        <v>88</v>
      </c>
      <c r="CF164" s="3">
        <v>43775</v>
      </c>
      <c r="CI164">
        <v>1</v>
      </c>
      <c r="CJ164">
        <v>1</v>
      </c>
      <c r="CK164">
        <v>22</v>
      </c>
      <c r="CL164" t="s">
        <v>89</v>
      </c>
    </row>
    <row r="165" spans="1:90">
      <c r="A165" t="s">
        <v>72</v>
      </c>
      <c r="B165" t="s">
        <v>73</v>
      </c>
      <c r="C165" t="s">
        <v>74</v>
      </c>
      <c r="E165" t="str">
        <f>"FES1162720853"</f>
        <v>FES1162720853</v>
      </c>
      <c r="F165" s="3">
        <v>43773</v>
      </c>
      <c r="G165">
        <v>202005</v>
      </c>
      <c r="H165" t="s">
        <v>75</v>
      </c>
      <c r="I165" t="s">
        <v>76</v>
      </c>
      <c r="J165" t="s">
        <v>77</v>
      </c>
      <c r="K165" t="s">
        <v>78</v>
      </c>
      <c r="L165" t="s">
        <v>101</v>
      </c>
      <c r="M165" t="s">
        <v>102</v>
      </c>
      <c r="N165" t="s">
        <v>471</v>
      </c>
      <c r="O165" t="s">
        <v>82</v>
      </c>
      <c r="P165" t="str">
        <f>"217078159028                  "</f>
        <v xml:space="preserve">217078159028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8.7899999999999991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0.8</v>
      </c>
      <c r="BJ165">
        <v>1.8</v>
      </c>
      <c r="BK165">
        <v>2</v>
      </c>
      <c r="BL165" s="4">
        <v>50.66</v>
      </c>
      <c r="BM165" s="4">
        <v>7.6</v>
      </c>
      <c r="BN165" s="4">
        <v>58.26</v>
      </c>
      <c r="BO165" s="4">
        <v>58.26</v>
      </c>
      <c r="BQ165" t="s">
        <v>142</v>
      </c>
      <c r="BR165" t="s">
        <v>84</v>
      </c>
      <c r="BS165" s="3">
        <v>43774</v>
      </c>
      <c r="BT165" s="5">
        <v>0.41666666666666669</v>
      </c>
      <c r="BU165" t="s">
        <v>472</v>
      </c>
      <c r="BV165" t="s">
        <v>86</v>
      </c>
      <c r="BY165">
        <v>8928.48</v>
      </c>
      <c r="CA165" t="s">
        <v>183</v>
      </c>
      <c r="CC165" t="s">
        <v>102</v>
      </c>
      <c r="CD165">
        <v>200</v>
      </c>
      <c r="CE165" t="s">
        <v>147</v>
      </c>
      <c r="CF165" s="3">
        <v>43775</v>
      </c>
      <c r="CI165">
        <v>1</v>
      </c>
      <c r="CJ165">
        <v>1</v>
      </c>
      <c r="CK165">
        <v>21</v>
      </c>
      <c r="CL165" t="s">
        <v>89</v>
      </c>
    </row>
    <row r="166" spans="1:90">
      <c r="A166" t="s">
        <v>72</v>
      </c>
      <c r="B166" t="s">
        <v>73</v>
      </c>
      <c r="C166" t="s">
        <v>74</v>
      </c>
      <c r="E166" t="str">
        <f>"FES1162720932"</f>
        <v>FES1162720932</v>
      </c>
      <c r="F166" s="3">
        <v>43773</v>
      </c>
      <c r="G166">
        <v>202005</v>
      </c>
      <c r="H166" t="s">
        <v>75</v>
      </c>
      <c r="I166" t="s">
        <v>76</v>
      </c>
      <c r="J166" t="s">
        <v>77</v>
      </c>
      <c r="K166" t="s">
        <v>78</v>
      </c>
      <c r="L166" t="s">
        <v>101</v>
      </c>
      <c r="M166" t="s">
        <v>102</v>
      </c>
      <c r="N166" t="s">
        <v>410</v>
      </c>
      <c r="O166" t="s">
        <v>82</v>
      </c>
      <c r="P166" t="str">
        <f>"2170714808                    "</f>
        <v xml:space="preserve">2170714808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8.7899999999999991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0.2</v>
      </c>
      <c r="BJ166">
        <v>0.7</v>
      </c>
      <c r="BK166">
        <v>1</v>
      </c>
      <c r="BL166" s="4">
        <v>50.66</v>
      </c>
      <c r="BM166" s="4">
        <v>7.6</v>
      </c>
      <c r="BN166" s="4">
        <v>58.26</v>
      </c>
      <c r="BO166" s="4">
        <v>58.26</v>
      </c>
      <c r="BQ166" t="s">
        <v>109</v>
      </c>
      <c r="BR166" t="s">
        <v>84</v>
      </c>
      <c r="BS166" s="3">
        <v>43774</v>
      </c>
      <c r="BT166" s="5">
        <v>0.32291666666666669</v>
      </c>
      <c r="BU166" t="s">
        <v>411</v>
      </c>
      <c r="BV166" t="s">
        <v>86</v>
      </c>
      <c r="BY166">
        <v>3676.75</v>
      </c>
      <c r="CA166" t="s">
        <v>359</v>
      </c>
      <c r="CC166" t="s">
        <v>102</v>
      </c>
      <c r="CD166">
        <v>184</v>
      </c>
      <c r="CE166" t="s">
        <v>147</v>
      </c>
      <c r="CF166" s="3">
        <v>43775</v>
      </c>
      <c r="CI166">
        <v>1</v>
      </c>
      <c r="CJ166">
        <v>1</v>
      </c>
      <c r="CK166">
        <v>21</v>
      </c>
      <c r="CL166" t="s">
        <v>89</v>
      </c>
    </row>
    <row r="167" spans="1:90">
      <c r="A167" t="s">
        <v>72</v>
      </c>
      <c r="B167" t="s">
        <v>73</v>
      </c>
      <c r="C167" t="s">
        <v>74</v>
      </c>
      <c r="E167" t="str">
        <f>"FES1162720938"</f>
        <v>FES1162720938</v>
      </c>
      <c r="F167" s="3">
        <v>43773</v>
      </c>
      <c r="G167">
        <v>202005</v>
      </c>
      <c r="H167" t="s">
        <v>75</v>
      </c>
      <c r="I167" t="s">
        <v>76</v>
      </c>
      <c r="J167" t="s">
        <v>77</v>
      </c>
      <c r="K167" t="s">
        <v>78</v>
      </c>
      <c r="L167" t="s">
        <v>101</v>
      </c>
      <c r="M167" t="s">
        <v>102</v>
      </c>
      <c r="N167" t="s">
        <v>410</v>
      </c>
      <c r="O167" t="s">
        <v>82</v>
      </c>
      <c r="P167" t="str">
        <f>"2170714818                    "</f>
        <v xml:space="preserve">2170714818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8.7899999999999991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0.7</v>
      </c>
      <c r="BJ167">
        <v>1.4</v>
      </c>
      <c r="BK167">
        <v>1.5</v>
      </c>
      <c r="BL167" s="4">
        <v>50.66</v>
      </c>
      <c r="BM167" s="4">
        <v>7.6</v>
      </c>
      <c r="BN167" s="4">
        <v>58.26</v>
      </c>
      <c r="BO167" s="4">
        <v>58.26</v>
      </c>
      <c r="BQ167" t="s">
        <v>109</v>
      </c>
      <c r="BR167" t="s">
        <v>84</v>
      </c>
      <c r="BS167" s="3">
        <v>43774</v>
      </c>
      <c r="BT167" s="5">
        <v>0.32291666666666669</v>
      </c>
      <c r="BU167" t="s">
        <v>411</v>
      </c>
      <c r="BV167" t="s">
        <v>86</v>
      </c>
      <c r="BY167">
        <v>6930.39</v>
      </c>
      <c r="CA167" t="s">
        <v>359</v>
      </c>
      <c r="CC167" t="s">
        <v>102</v>
      </c>
      <c r="CD167">
        <v>184</v>
      </c>
      <c r="CE167" t="s">
        <v>147</v>
      </c>
      <c r="CF167" s="3">
        <v>43775</v>
      </c>
      <c r="CI167">
        <v>1</v>
      </c>
      <c r="CJ167">
        <v>1</v>
      </c>
      <c r="CK167">
        <v>21</v>
      </c>
      <c r="CL167" t="s">
        <v>89</v>
      </c>
    </row>
    <row r="168" spans="1:90">
      <c r="A168" t="s">
        <v>72</v>
      </c>
      <c r="B168" t="s">
        <v>73</v>
      </c>
      <c r="C168" t="s">
        <v>74</v>
      </c>
      <c r="E168" t="str">
        <f>"FES1162720935"</f>
        <v>FES1162720935</v>
      </c>
      <c r="F168" s="3">
        <v>43773</v>
      </c>
      <c r="G168">
        <v>202005</v>
      </c>
      <c r="H168" t="s">
        <v>75</v>
      </c>
      <c r="I168" t="s">
        <v>76</v>
      </c>
      <c r="J168" t="s">
        <v>77</v>
      </c>
      <c r="K168" t="s">
        <v>78</v>
      </c>
      <c r="L168" t="s">
        <v>101</v>
      </c>
      <c r="M168" t="s">
        <v>102</v>
      </c>
      <c r="N168" t="s">
        <v>410</v>
      </c>
      <c r="O168" t="s">
        <v>82</v>
      </c>
      <c r="P168" t="str">
        <f>"2170714815                    "</f>
        <v xml:space="preserve">2170714815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8.7899999999999991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0.7</v>
      </c>
      <c r="BJ168">
        <v>1.5</v>
      </c>
      <c r="BK168">
        <v>1.5</v>
      </c>
      <c r="BL168" s="4">
        <v>50.66</v>
      </c>
      <c r="BM168" s="4">
        <v>7.6</v>
      </c>
      <c r="BN168" s="4">
        <v>58.26</v>
      </c>
      <c r="BO168" s="4">
        <v>58.26</v>
      </c>
      <c r="BQ168" t="s">
        <v>109</v>
      </c>
      <c r="BR168" t="s">
        <v>84</v>
      </c>
      <c r="BS168" s="3">
        <v>43774</v>
      </c>
      <c r="BT168" s="5">
        <v>0.32291666666666669</v>
      </c>
      <c r="BU168" t="s">
        <v>411</v>
      </c>
      <c r="BV168" t="s">
        <v>86</v>
      </c>
      <c r="BY168">
        <v>7414.4</v>
      </c>
      <c r="CA168" t="s">
        <v>359</v>
      </c>
      <c r="CC168" t="s">
        <v>102</v>
      </c>
      <c r="CD168">
        <v>184</v>
      </c>
      <c r="CE168" t="s">
        <v>147</v>
      </c>
      <c r="CF168" s="3">
        <v>43775</v>
      </c>
      <c r="CI168">
        <v>1</v>
      </c>
      <c r="CJ168">
        <v>1</v>
      </c>
      <c r="CK168">
        <v>21</v>
      </c>
      <c r="CL168" t="s">
        <v>89</v>
      </c>
    </row>
    <row r="169" spans="1:90">
      <c r="A169" t="s">
        <v>72</v>
      </c>
      <c r="B169" t="s">
        <v>73</v>
      </c>
      <c r="C169" t="s">
        <v>74</v>
      </c>
      <c r="E169" t="str">
        <f>"FES1162721023"</f>
        <v>FES1162721023</v>
      </c>
      <c r="F169" s="3">
        <v>43773</v>
      </c>
      <c r="G169">
        <v>202005</v>
      </c>
      <c r="H169" t="s">
        <v>75</v>
      </c>
      <c r="I169" t="s">
        <v>76</v>
      </c>
      <c r="J169" t="s">
        <v>77</v>
      </c>
      <c r="K169" t="s">
        <v>78</v>
      </c>
      <c r="L169" t="s">
        <v>75</v>
      </c>
      <c r="M169" t="s">
        <v>76</v>
      </c>
      <c r="N169" t="s">
        <v>466</v>
      </c>
      <c r="O169" t="s">
        <v>82</v>
      </c>
      <c r="P169" t="str">
        <f>"2170714925                    "</f>
        <v xml:space="preserve">2170714925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6.87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0.5</v>
      </c>
      <c r="BJ169">
        <v>1.2</v>
      </c>
      <c r="BK169">
        <v>1.5</v>
      </c>
      <c r="BL169" s="4">
        <v>39.58</v>
      </c>
      <c r="BM169" s="4">
        <v>5.94</v>
      </c>
      <c r="BN169" s="4">
        <v>45.52</v>
      </c>
      <c r="BO169" s="4">
        <v>45.52</v>
      </c>
      <c r="BQ169" t="s">
        <v>109</v>
      </c>
      <c r="BR169" t="s">
        <v>84</v>
      </c>
      <c r="BS169" s="3">
        <v>43774</v>
      </c>
      <c r="BT169" s="5">
        <v>0.4375</v>
      </c>
      <c r="BU169" t="s">
        <v>467</v>
      </c>
      <c r="BV169" t="s">
        <v>86</v>
      </c>
      <c r="BY169">
        <v>5849.81</v>
      </c>
      <c r="CC169" t="s">
        <v>76</v>
      </c>
      <c r="CD169">
        <v>1609</v>
      </c>
      <c r="CE169" t="s">
        <v>147</v>
      </c>
      <c r="CF169" s="3">
        <v>43775</v>
      </c>
      <c r="CI169">
        <v>1</v>
      </c>
      <c r="CJ169">
        <v>1</v>
      </c>
      <c r="CK169">
        <v>22</v>
      </c>
      <c r="CL169" t="s">
        <v>89</v>
      </c>
    </row>
    <row r="170" spans="1:90">
      <c r="A170" t="s">
        <v>72</v>
      </c>
      <c r="B170" t="s">
        <v>73</v>
      </c>
      <c r="C170" t="s">
        <v>74</v>
      </c>
      <c r="E170" t="str">
        <f>"FES1162720895"</f>
        <v>FES1162720895</v>
      </c>
      <c r="F170" s="3">
        <v>43773</v>
      </c>
      <c r="G170">
        <v>202005</v>
      </c>
      <c r="H170" t="s">
        <v>75</v>
      </c>
      <c r="I170" t="s">
        <v>76</v>
      </c>
      <c r="J170" t="s">
        <v>77</v>
      </c>
      <c r="K170" t="s">
        <v>78</v>
      </c>
      <c r="L170" t="s">
        <v>101</v>
      </c>
      <c r="M170" t="s">
        <v>102</v>
      </c>
      <c r="N170" t="s">
        <v>471</v>
      </c>
      <c r="O170" t="s">
        <v>82</v>
      </c>
      <c r="P170" t="str">
        <f>"2170714182                    "</f>
        <v xml:space="preserve">2170714182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8.7899999999999991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1.3</v>
      </c>
      <c r="BJ170">
        <v>0.8</v>
      </c>
      <c r="BK170">
        <v>1.5</v>
      </c>
      <c r="BL170" s="4">
        <v>50.66</v>
      </c>
      <c r="BM170" s="4">
        <v>7.6</v>
      </c>
      <c r="BN170" s="4">
        <v>58.26</v>
      </c>
      <c r="BO170" s="4">
        <v>58.26</v>
      </c>
      <c r="BQ170" t="s">
        <v>142</v>
      </c>
      <c r="BR170" t="s">
        <v>84</v>
      </c>
      <c r="BS170" s="3">
        <v>43776</v>
      </c>
      <c r="BT170" s="5">
        <v>0.47430555555555554</v>
      </c>
      <c r="BU170" t="s">
        <v>473</v>
      </c>
      <c r="BV170" t="s">
        <v>89</v>
      </c>
      <c r="BW170" t="s">
        <v>319</v>
      </c>
      <c r="BX170" t="s">
        <v>474</v>
      </c>
      <c r="BY170">
        <v>4056.54</v>
      </c>
      <c r="CA170" t="s">
        <v>475</v>
      </c>
      <c r="CC170" t="s">
        <v>102</v>
      </c>
      <c r="CD170">
        <v>200</v>
      </c>
      <c r="CE170" t="s">
        <v>88</v>
      </c>
      <c r="CF170" s="3">
        <v>43777</v>
      </c>
      <c r="CI170">
        <v>1</v>
      </c>
      <c r="CJ170">
        <v>3</v>
      </c>
      <c r="CK170">
        <v>21</v>
      </c>
      <c r="CL170" t="s">
        <v>89</v>
      </c>
    </row>
    <row r="171" spans="1:90">
      <c r="A171" t="s">
        <v>72</v>
      </c>
      <c r="B171" t="s">
        <v>73</v>
      </c>
      <c r="C171" t="s">
        <v>74</v>
      </c>
      <c r="E171" t="str">
        <f>"FES1162720999"</f>
        <v>FES1162720999</v>
      </c>
      <c r="F171" s="3">
        <v>43773</v>
      </c>
      <c r="G171">
        <v>202005</v>
      </c>
      <c r="H171" t="s">
        <v>75</v>
      </c>
      <c r="I171" t="s">
        <v>76</v>
      </c>
      <c r="J171" t="s">
        <v>77</v>
      </c>
      <c r="K171" t="s">
        <v>78</v>
      </c>
      <c r="L171" t="s">
        <v>124</v>
      </c>
      <c r="M171" t="s">
        <v>125</v>
      </c>
      <c r="N171" t="s">
        <v>218</v>
      </c>
      <c r="O171" t="s">
        <v>82</v>
      </c>
      <c r="P171" t="str">
        <f>"2170715276                    "</f>
        <v xml:space="preserve">2170715276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17.57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6.8</v>
      </c>
      <c r="BJ171">
        <v>8.1999999999999993</v>
      </c>
      <c r="BK171">
        <v>8.5</v>
      </c>
      <c r="BL171" s="4">
        <v>101.24</v>
      </c>
      <c r="BM171" s="4">
        <v>15.19</v>
      </c>
      <c r="BN171" s="4">
        <v>116.43</v>
      </c>
      <c r="BO171" s="4">
        <v>116.43</v>
      </c>
      <c r="BQ171" t="s">
        <v>121</v>
      </c>
      <c r="BR171" t="s">
        <v>84</v>
      </c>
      <c r="BS171" s="3">
        <v>43774</v>
      </c>
      <c r="BT171" s="5">
        <v>0.3659722222222222</v>
      </c>
      <c r="BU171" t="s">
        <v>476</v>
      </c>
      <c r="BV171" t="s">
        <v>86</v>
      </c>
      <c r="BY171">
        <v>40792.25</v>
      </c>
      <c r="CA171" t="s">
        <v>415</v>
      </c>
      <c r="CC171" t="s">
        <v>125</v>
      </c>
      <c r="CD171">
        <v>2094</v>
      </c>
      <c r="CE171" t="s">
        <v>88</v>
      </c>
      <c r="CF171" s="3">
        <v>43775</v>
      </c>
      <c r="CI171">
        <v>1</v>
      </c>
      <c r="CJ171">
        <v>1</v>
      </c>
      <c r="CK171">
        <v>22</v>
      </c>
      <c r="CL171" t="s">
        <v>89</v>
      </c>
    </row>
    <row r="172" spans="1:90">
      <c r="A172" t="s">
        <v>72</v>
      </c>
      <c r="B172" t="s">
        <v>73</v>
      </c>
      <c r="C172" t="s">
        <v>74</v>
      </c>
      <c r="E172" t="str">
        <f>"FES1162721026"</f>
        <v>FES1162721026</v>
      </c>
      <c r="F172" s="3">
        <v>43773</v>
      </c>
      <c r="G172">
        <v>202005</v>
      </c>
      <c r="H172" t="s">
        <v>75</v>
      </c>
      <c r="I172" t="s">
        <v>76</v>
      </c>
      <c r="J172" t="s">
        <v>77</v>
      </c>
      <c r="K172" t="s">
        <v>78</v>
      </c>
      <c r="L172" t="s">
        <v>339</v>
      </c>
      <c r="M172" t="s">
        <v>340</v>
      </c>
      <c r="N172" t="s">
        <v>477</v>
      </c>
      <c r="O172" t="s">
        <v>82</v>
      </c>
      <c r="P172" t="str">
        <f>"2170715310                    "</f>
        <v xml:space="preserve">2170715310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8.7899999999999991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0.2</v>
      </c>
      <c r="BJ172">
        <v>1.2</v>
      </c>
      <c r="BK172">
        <v>1.5</v>
      </c>
      <c r="BL172" s="4">
        <v>50.66</v>
      </c>
      <c r="BM172" s="4">
        <v>7.6</v>
      </c>
      <c r="BN172" s="4">
        <v>58.26</v>
      </c>
      <c r="BO172" s="4">
        <v>58.26</v>
      </c>
      <c r="BR172" t="s">
        <v>84</v>
      </c>
      <c r="BS172" s="3">
        <v>43774</v>
      </c>
      <c r="BT172" s="5">
        <v>0.41666666666666669</v>
      </c>
      <c r="BU172" t="s">
        <v>478</v>
      </c>
      <c r="BV172" t="s">
        <v>86</v>
      </c>
      <c r="BY172">
        <v>6230.25</v>
      </c>
      <c r="CC172" t="s">
        <v>340</v>
      </c>
      <c r="CD172">
        <v>157</v>
      </c>
      <c r="CE172" t="s">
        <v>147</v>
      </c>
      <c r="CF172" s="3">
        <v>43777</v>
      </c>
      <c r="CI172">
        <v>1</v>
      </c>
      <c r="CJ172">
        <v>1</v>
      </c>
      <c r="CK172">
        <v>21</v>
      </c>
      <c r="CL172" t="s">
        <v>89</v>
      </c>
    </row>
    <row r="173" spans="1:90">
      <c r="A173" t="s">
        <v>72</v>
      </c>
      <c r="B173" t="s">
        <v>73</v>
      </c>
      <c r="C173" t="s">
        <v>74</v>
      </c>
      <c r="E173" t="str">
        <f>"FES1162720940"</f>
        <v>FES1162720940</v>
      </c>
      <c r="F173" s="3">
        <v>43773</v>
      </c>
      <c r="G173">
        <v>202005</v>
      </c>
      <c r="H173" t="s">
        <v>75</v>
      </c>
      <c r="I173" t="s">
        <v>76</v>
      </c>
      <c r="J173" t="s">
        <v>77</v>
      </c>
      <c r="K173" t="s">
        <v>78</v>
      </c>
      <c r="L173" t="s">
        <v>202</v>
      </c>
      <c r="M173" t="s">
        <v>203</v>
      </c>
      <c r="N173" t="s">
        <v>479</v>
      </c>
      <c r="O173" t="s">
        <v>82</v>
      </c>
      <c r="P173" t="str">
        <f>"2170714824                    "</f>
        <v xml:space="preserve">2170714824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6.87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0.2</v>
      </c>
      <c r="BJ173">
        <v>0.9</v>
      </c>
      <c r="BK173">
        <v>1</v>
      </c>
      <c r="BL173" s="4">
        <v>39.58</v>
      </c>
      <c r="BM173" s="4">
        <v>5.94</v>
      </c>
      <c r="BN173" s="4">
        <v>45.52</v>
      </c>
      <c r="BO173" s="4">
        <v>45.52</v>
      </c>
      <c r="BQ173" t="s">
        <v>142</v>
      </c>
      <c r="BR173" t="s">
        <v>84</v>
      </c>
      <c r="BS173" s="3">
        <v>43774</v>
      </c>
      <c r="BT173" s="5">
        <v>0.42083333333333334</v>
      </c>
      <c r="BU173" t="s">
        <v>480</v>
      </c>
      <c r="BV173" t="s">
        <v>86</v>
      </c>
      <c r="BY173">
        <v>4721.92</v>
      </c>
      <c r="CA173" t="s">
        <v>123</v>
      </c>
      <c r="CC173" t="s">
        <v>203</v>
      </c>
      <c r="CD173">
        <v>1401</v>
      </c>
      <c r="CE173" t="s">
        <v>147</v>
      </c>
      <c r="CF173" s="3">
        <v>43775</v>
      </c>
      <c r="CI173">
        <v>1</v>
      </c>
      <c r="CJ173">
        <v>1</v>
      </c>
      <c r="CK173">
        <v>22</v>
      </c>
      <c r="CL173" t="s">
        <v>89</v>
      </c>
    </row>
    <row r="174" spans="1:90">
      <c r="A174" t="s">
        <v>72</v>
      </c>
      <c r="B174" t="s">
        <v>73</v>
      </c>
      <c r="C174" t="s">
        <v>74</v>
      </c>
      <c r="E174" t="str">
        <f>"FES1162720864"</f>
        <v>FES1162720864</v>
      </c>
      <c r="F174" s="3">
        <v>43773</v>
      </c>
      <c r="G174">
        <v>202005</v>
      </c>
      <c r="H174" t="s">
        <v>75</v>
      </c>
      <c r="I174" t="s">
        <v>76</v>
      </c>
      <c r="J174" t="s">
        <v>77</v>
      </c>
      <c r="K174" t="s">
        <v>78</v>
      </c>
      <c r="L174" t="s">
        <v>124</v>
      </c>
      <c r="M174" t="s">
        <v>125</v>
      </c>
      <c r="N174" t="s">
        <v>230</v>
      </c>
      <c r="O174" t="s">
        <v>82</v>
      </c>
      <c r="P174" t="str">
        <f>"2170712299                    "</f>
        <v xml:space="preserve">2170712299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10.99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4.3</v>
      </c>
      <c r="BJ174">
        <v>1.5</v>
      </c>
      <c r="BK174">
        <v>4.5</v>
      </c>
      <c r="BL174" s="4">
        <v>63.3</v>
      </c>
      <c r="BM174" s="4">
        <v>9.5</v>
      </c>
      <c r="BN174" s="4">
        <v>72.8</v>
      </c>
      <c r="BO174" s="4">
        <v>72.8</v>
      </c>
      <c r="BQ174" t="s">
        <v>109</v>
      </c>
      <c r="BR174" t="s">
        <v>84</v>
      </c>
      <c r="BS174" s="3">
        <v>43774</v>
      </c>
      <c r="BT174" s="5">
        <v>0.4513888888888889</v>
      </c>
      <c r="BU174" t="s">
        <v>231</v>
      </c>
      <c r="BV174" t="s">
        <v>89</v>
      </c>
      <c r="BW174" t="s">
        <v>319</v>
      </c>
      <c r="BX174" t="s">
        <v>481</v>
      </c>
      <c r="BY174">
        <v>7739.68</v>
      </c>
      <c r="CC174" t="s">
        <v>125</v>
      </c>
      <c r="CD174">
        <v>2091</v>
      </c>
      <c r="CE174" t="s">
        <v>88</v>
      </c>
      <c r="CF174" s="3">
        <v>43775</v>
      </c>
      <c r="CI174">
        <v>1</v>
      </c>
      <c r="CJ174">
        <v>1</v>
      </c>
      <c r="CK174">
        <v>22</v>
      </c>
      <c r="CL174" t="s">
        <v>89</v>
      </c>
    </row>
    <row r="175" spans="1:90">
      <c r="A175" t="s">
        <v>72</v>
      </c>
      <c r="B175" t="s">
        <v>73</v>
      </c>
      <c r="C175" t="s">
        <v>74</v>
      </c>
      <c r="E175" t="str">
        <f>"FES1162720967"</f>
        <v>FES1162720967</v>
      </c>
      <c r="F175" s="3">
        <v>43773</v>
      </c>
      <c r="G175">
        <v>202005</v>
      </c>
      <c r="H175" t="s">
        <v>75</v>
      </c>
      <c r="I175" t="s">
        <v>76</v>
      </c>
      <c r="J175" t="s">
        <v>77</v>
      </c>
      <c r="K175" t="s">
        <v>78</v>
      </c>
      <c r="L175" t="s">
        <v>482</v>
      </c>
      <c r="M175" t="s">
        <v>483</v>
      </c>
      <c r="N175" t="s">
        <v>484</v>
      </c>
      <c r="O175" t="s">
        <v>82</v>
      </c>
      <c r="P175" t="str">
        <f>"2170715047                    "</f>
        <v xml:space="preserve">2170715047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8.52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2.9</v>
      </c>
      <c r="BJ175">
        <v>1.6</v>
      </c>
      <c r="BK175">
        <v>3</v>
      </c>
      <c r="BL175" s="4">
        <v>49.07</v>
      </c>
      <c r="BM175" s="4">
        <v>7.36</v>
      </c>
      <c r="BN175" s="4">
        <v>56.43</v>
      </c>
      <c r="BO175" s="4">
        <v>56.43</v>
      </c>
      <c r="BQ175" t="s">
        <v>121</v>
      </c>
      <c r="BR175" t="s">
        <v>84</v>
      </c>
      <c r="BS175" s="3">
        <v>43774</v>
      </c>
      <c r="BT175" s="5">
        <v>0.32847222222222222</v>
      </c>
      <c r="BU175" t="s">
        <v>485</v>
      </c>
      <c r="BV175" t="s">
        <v>86</v>
      </c>
      <c r="BY175">
        <v>7958.74</v>
      </c>
      <c r="CA175" t="s">
        <v>486</v>
      </c>
      <c r="CC175" t="s">
        <v>483</v>
      </c>
      <c r="CD175">
        <v>1460</v>
      </c>
      <c r="CE175" t="s">
        <v>88</v>
      </c>
      <c r="CF175" s="3">
        <v>43775</v>
      </c>
      <c r="CI175">
        <v>1</v>
      </c>
      <c r="CJ175">
        <v>1</v>
      </c>
      <c r="CK175">
        <v>22</v>
      </c>
      <c r="CL175" t="s">
        <v>89</v>
      </c>
    </row>
    <row r="176" spans="1:90">
      <c r="A176" t="s">
        <v>72</v>
      </c>
      <c r="B176" t="s">
        <v>73</v>
      </c>
      <c r="C176" t="s">
        <v>74</v>
      </c>
      <c r="E176" t="str">
        <f>"FES1162720900"</f>
        <v>FES1162720900</v>
      </c>
      <c r="F176" s="3">
        <v>43773</v>
      </c>
      <c r="G176">
        <v>202005</v>
      </c>
      <c r="H176" t="s">
        <v>75</v>
      </c>
      <c r="I176" t="s">
        <v>76</v>
      </c>
      <c r="J176" t="s">
        <v>77</v>
      </c>
      <c r="K176" t="s">
        <v>78</v>
      </c>
      <c r="L176" t="s">
        <v>124</v>
      </c>
      <c r="M176" t="s">
        <v>125</v>
      </c>
      <c r="N176" t="s">
        <v>487</v>
      </c>
      <c r="O176" t="s">
        <v>82</v>
      </c>
      <c r="P176" t="str">
        <f>"2170714351                    "</f>
        <v xml:space="preserve">2170714351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10.16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3.6</v>
      </c>
      <c r="BJ176">
        <v>3.3</v>
      </c>
      <c r="BK176">
        <v>4</v>
      </c>
      <c r="BL176" s="4">
        <v>58.55</v>
      </c>
      <c r="BM176" s="4">
        <v>8.7799999999999994</v>
      </c>
      <c r="BN176" s="4">
        <v>67.33</v>
      </c>
      <c r="BO176" s="4">
        <v>67.33</v>
      </c>
      <c r="BQ176" t="s">
        <v>121</v>
      </c>
      <c r="BR176" t="s">
        <v>84</v>
      </c>
      <c r="BS176" s="3">
        <v>43774</v>
      </c>
      <c r="BT176" s="5">
        <v>0.32916666666666666</v>
      </c>
      <c r="BU176" t="s">
        <v>488</v>
      </c>
      <c r="BV176" t="s">
        <v>86</v>
      </c>
      <c r="BY176">
        <v>16519.47</v>
      </c>
      <c r="CA176" t="s">
        <v>415</v>
      </c>
      <c r="CC176" t="s">
        <v>125</v>
      </c>
      <c r="CD176">
        <v>2094</v>
      </c>
      <c r="CE176" t="s">
        <v>88</v>
      </c>
      <c r="CF176" s="3">
        <v>43775</v>
      </c>
      <c r="CI176">
        <v>1</v>
      </c>
      <c r="CJ176">
        <v>1</v>
      </c>
      <c r="CK176">
        <v>22</v>
      </c>
      <c r="CL176" t="s">
        <v>89</v>
      </c>
    </row>
    <row r="177" spans="1:90">
      <c r="A177" t="s">
        <v>72</v>
      </c>
      <c r="B177" t="s">
        <v>73</v>
      </c>
      <c r="C177" t="s">
        <v>74</v>
      </c>
      <c r="E177" t="str">
        <f>"FES1162720867"</f>
        <v>FES1162720867</v>
      </c>
      <c r="F177" s="3">
        <v>43773</v>
      </c>
      <c r="G177">
        <v>202005</v>
      </c>
      <c r="H177" t="s">
        <v>75</v>
      </c>
      <c r="I177" t="s">
        <v>76</v>
      </c>
      <c r="J177" t="s">
        <v>77</v>
      </c>
      <c r="K177" t="s">
        <v>78</v>
      </c>
      <c r="L177" t="s">
        <v>106</v>
      </c>
      <c r="M177" t="s">
        <v>107</v>
      </c>
      <c r="N177" t="s">
        <v>489</v>
      </c>
      <c r="O177" t="s">
        <v>82</v>
      </c>
      <c r="P177" t="str">
        <f>"2170712561                    "</f>
        <v xml:space="preserve">2170712561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30.76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6.9</v>
      </c>
      <c r="BJ177">
        <v>3.1</v>
      </c>
      <c r="BK177">
        <v>7</v>
      </c>
      <c r="BL177" s="4">
        <v>177.23</v>
      </c>
      <c r="BM177" s="4">
        <v>26.58</v>
      </c>
      <c r="BN177" s="4">
        <v>203.81</v>
      </c>
      <c r="BO177" s="4">
        <v>203.81</v>
      </c>
      <c r="BQ177" t="s">
        <v>121</v>
      </c>
      <c r="BR177" t="s">
        <v>84</v>
      </c>
      <c r="BS177" s="3">
        <v>43774</v>
      </c>
      <c r="BT177" s="5">
        <v>0.36805555555555558</v>
      </c>
      <c r="BU177" t="s">
        <v>490</v>
      </c>
      <c r="BV177" t="s">
        <v>86</v>
      </c>
      <c r="BY177">
        <v>15292.27</v>
      </c>
      <c r="CA177" t="s">
        <v>491</v>
      </c>
      <c r="CC177" t="s">
        <v>107</v>
      </c>
      <c r="CD177">
        <v>6001</v>
      </c>
      <c r="CE177" t="s">
        <v>88</v>
      </c>
      <c r="CF177" s="3">
        <v>43775</v>
      </c>
      <c r="CI177">
        <v>1</v>
      </c>
      <c r="CJ177">
        <v>1</v>
      </c>
      <c r="CK177">
        <v>21</v>
      </c>
      <c r="CL177" t="s">
        <v>89</v>
      </c>
    </row>
    <row r="178" spans="1:90">
      <c r="A178" t="s">
        <v>72</v>
      </c>
      <c r="B178" t="s">
        <v>73</v>
      </c>
      <c r="C178" t="s">
        <v>74</v>
      </c>
      <c r="E178" t="str">
        <f>"FES1162721048"</f>
        <v>FES1162721048</v>
      </c>
      <c r="F178" s="3">
        <v>43773</v>
      </c>
      <c r="G178">
        <v>202005</v>
      </c>
      <c r="H178" t="s">
        <v>75</v>
      </c>
      <c r="I178" t="s">
        <v>76</v>
      </c>
      <c r="J178" t="s">
        <v>77</v>
      </c>
      <c r="K178" t="s">
        <v>78</v>
      </c>
      <c r="L178" t="s">
        <v>106</v>
      </c>
      <c r="M178" t="s">
        <v>107</v>
      </c>
      <c r="N178" t="s">
        <v>150</v>
      </c>
      <c r="O178" t="s">
        <v>82</v>
      </c>
      <c r="P178" t="str">
        <f>"2170712069                    "</f>
        <v xml:space="preserve">2170712069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8.7899999999999991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0.2</v>
      </c>
      <c r="BJ178">
        <v>1.1000000000000001</v>
      </c>
      <c r="BK178">
        <v>1.5</v>
      </c>
      <c r="BL178" s="4">
        <v>50.66</v>
      </c>
      <c r="BM178" s="4">
        <v>7.6</v>
      </c>
      <c r="BN178" s="4">
        <v>58.26</v>
      </c>
      <c r="BO178" s="4">
        <v>58.26</v>
      </c>
      <c r="BQ178" t="s">
        <v>109</v>
      </c>
      <c r="BR178" t="s">
        <v>84</v>
      </c>
      <c r="BS178" s="3">
        <v>43774</v>
      </c>
      <c r="BT178" s="5">
        <v>0.39513888888888887</v>
      </c>
      <c r="BU178" t="s">
        <v>151</v>
      </c>
      <c r="BV178" t="s">
        <v>86</v>
      </c>
      <c r="BY178">
        <v>5326.78</v>
      </c>
      <c r="CA178" t="s">
        <v>111</v>
      </c>
      <c r="CC178" t="s">
        <v>107</v>
      </c>
      <c r="CD178">
        <v>6001</v>
      </c>
      <c r="CE178" t="s">
        <v>88</v>
      </c>
      <c r="CF178" s="3">
        <v>43775</v>
      </c>
      <c r="CI178">
        <v>1</v>
      </c>
      <c r="CJ178">
        <v>1</v>
      </c>
      <c r="CK178">
        <v>21</v>
      </c>
      <c r="CL178" t="s">
        <v>89</v>
      </c>
    </row>
    <row r="179" spans="1:90">
      <c r="A179" t="s">
        <v>72</v>
      </c>
      <c r="B179" t="s">
        <v>73</v>
      </c>
      <c r="C179" t="s">
        <v>74</v>
      </c>
      <c r="E179" t="str">
        <f>"FES1162721043"</f>
        <v>FES1162721043</v>
      </c>
      <c r="F179" s="3">
        <v>43773</v>
      </c>
      <c r="G179">
        <v>202005</v>
      </c>
      <c r="H179" t="s">
        <v>75</v>
      </c>
      <c r="I179" t="s">
        <v>76</v>
      </c>
      <c r="J179" t="s">
        <v>77</v>
      </c>
      <c r="K179" t="s">
        <v>78</v>
      </c>
      <c r="L179" t="s">
        <v>492</v>
      </c>
      <c r="M179" t="s">
        <v>493</v>
      </c>
      <c r="N179" t="s">
        <v>494</v>
      </c>
      <c r="O179" t="s">
        <v>82</v>
      </c>
      <c r="P179" t="str">
        <f>"2170710922                    "</f>
        <v xml:space="preserve">2170710922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17.04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0.2</v>
      </c>
      <c r="BJ179">
        <v>1.1000000000000001</v>
      </c>
      <c r="BK179">
        <v>1.5</v>
      </c>
      <c r="BL179" s="4">
        <v>98.16</v>
      </c>
      <c r="BM179" s="4">
        <v>14.72</v>
      </c>
      <c r="BN179" s="4">
        <v>112.88</v>
      </c>
      <c r="BO179" s="4">
        <v>112.88</v>
      </c>
      <c r="BQ179" t="s">
        <v>109</v>
      </c>
      <c r="BR179" t="s">
        <v>84</v>
      </c>
      <c r="BS179" s="3">
        <v>43774</v>
      </c>
      <c r="BT179" s="5">
        <v>0.5541666666666667</v>
      </c>
      <c r="BU179" t="s">
        <v>495</v>
      </c>
      <c r="BV179" t="s">
        <v>86</v>
      </c>
      <c r="BY179">
        <v>5435.59</v>
      </c>
      <c r="CC179" t="s">
        <v>493</v>
      </c>
      <c r="CD179">
        <v>5850</v>
      </c>
      <c r="CE179" t="s">
        <v>88</v>
      </c>
      <c r="CF179" s="3">
        <v>43777</v>
      </c>
      <c r="CI179">
        <v>3</v>
      </c>
      <c r="CJ179">
        <v>1</v>
      </c>
      <c r="CK179">
        <v>23</v>
      </c>
      <c r="CL179" t="s">
        <v>89</v>
      </c>
    </row>
    <row r="180" spans="1:90">
      <c r="A180" t="s">
        <v>72</v>
      </c>
      <c r="B180" t="s">
        <v>73</v>
      </c>
      <c r="C180" t="s">
        <v>74</v>
      </c>
      <c r="E180" t="str">
        <f>"FES1162721042"</f>
        <v>FES1162721042</v>
      </c>
      <c r="F180" s="3">
        <v>43773</v>
      </c>
      <c r="G180">
        <v>202005</v>
      </c>
      <c r="H180" t="s">
        <v>75</v>
      </c>
      <c r="I180" t="s">
        <v>76</v>
      </c>
      <c r="J180" t="s">
        <v>77</v>
      </c>
      <c r="K180" t="s">
        <v>78</v>
      </c>
      <c r="L180" t="s">
        <v>492</v>
      </c>
      <c r="M180" t="s">
        <v>493</v>
      </c>
      <c r="N180" t="s">
        <v>494</v>
      </c>
      <c r="O180" t="s">
        <v>82</v>
      </c>
      <c r="P180" t="str">
        <f>"2170710150                    "</f>
        <v xml:space="preserve">2170710150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17.04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0.5</v>
      </c>
      <c r="BJ180">
        <v>1.1000000000000001</v>
      </c>
      <c r="BK180">
        <v>1.5</v>
      </c>
      <c r="BL180" s="4">
        <v>98.16</v>
      </c>
      <c r="BM180" s="4">
        <v>14.72</v>
      </c>
      <c r="BN180" s="4">
        <v>112.88</v>
      </c>
      <c r="BO180" s="4">
        <v>112.88</v>
      </c>
      <c r="BQ180" t="s">
        <v>109</v>
      </c>
      <c r="BR180" t="s">
        <v>84</v>
      </c>
      <c r="BS180" s="3">
        <v>43774</v>
      </c>
      <c r="BT180" s="5">
        <v>0.5541666666666667</v>
      </c>
      <c r="BU180" t="s">
        <v>495</v>
      </c>
      <c r="BV180" t="s">
        <v>86</v>
      </c>
      <c r="BY180">
        <v>5295.89</v>
      </c>
      <c r="CC180" t="s">
        <v>493</v>
      </c>
      <c r="CD180">
        <v>5850</v>
      </c>
      <c r="CE180" t="s">
        <v>88</v>
      </c>
      <c r="CF180" s="3">
        <v>43777</v>
      </c>
      <c r="CI180">
        <v>3</v>
      </c>
      <c r="CJ180">
        <v>1</v>
      </c>
      <c r="CK180">
        <v>23</v>
      </c>
      <c r="CL180" t="s">
        <v>89</v>
      </c>
    </row>
    <row r="181" spans="1:90">
      <c r="A181" t="s">
        <v>72</v>
      </c>
      <c r="B181" t="s">
        <v>73</v>
      </c>
      <c r="C181" t="s">
        <v>74</v>
      </c>
      <c r="E181" t="str">
        <f>"FES1162720854"</f>
        <v>FES1162720854</v>
      </c>
      <c r="F181" s="3">
        <v>43773</v>
      </c>
      <c r="G181">
        <v>202005</v>
      </c>
      <c r="H181" t="s">
        <v>75</v>
      </c>
      <c r="I181" t="s">
        <v>76</v>
      </c>
      <c r="J181" t="s">
        <v>77</v>
      </c>
      <c r="K181" t="s">
        <v>78</v>
      </c>
      <c r="L181" t="s">
        <v>106</v>
      </c>
      <c r="M181" t="s">
        <v>107</v>
      </c>
      <c r="N181" t="s">
        <v>128</v>
      </c>
      <c r="O181" t="s">
        <v>82</v>
      </c>
      <c r="P181" t="str">
        <f>"2170710624                    "</f>
        <v xml:space="preserve">2170710624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28.56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6.4</v>
      </c>
      <c r="BJ181">
        <v>3.3</v>
      </c>
      <c r="BK181">
        <v>6.5</v>
      </c>
      <c r="BL181" s="4">
        <v>164.57</v>
      </c>
      <c r="BM181" s="4">
        <v>24.69</v>
      </c>
      <c r="BN181" s="4">
        <v>189.26</v>
      </c>
      <c r="BO181" s="4">
        <v>189.26</v>
      </c>
      <c r="BQ181" t="s">
        <v>121</v>
      </c>
      <c r="BR181" t="s">
        <v>84</v>
      </c>
      <c r="BS181" s="3">
        <v>43774</v>
      </c>
      <c r="BT181" s="5">
        <v>0.34027777777777773</v>
      </c>
      <c r="BU181" t="s">
        <v>496</v>
      </c>
      <c r="BV181" t="s">
        <v>86</v>
      </c>
      <c r="BY181">
        <v>16658.25</v>
      </c>
      <c r="CA181" t="s">
        <v>87</v>
      </c>
      <c r="CC181" t="s">
        <v>107</v>
      </c>
      <c r="CD181">
        <v>6001</v>
      </c>
      <c r="CE181" t="s">
        <v>88</v>
      </c>
      <c r="CF181" s="3">
        <v>43775</v>
      </c>
      <c r="CI181">
        <v>1</v>
      </c>
      <c r="CJ181">
        <v>1</v>
      </c>
      <c r="CK181">
        <v>21</v>
      </c>
      <c r="CL181" t="s">
        <v>89</v>
      </c>
    </row>
    <row r="182" spans="1:90">
      <c r="A182" t="s">
        <v>72</v>
      </c>
      <c r="B182" t="s">
        <v>73</v>
      </c>
      <c r="C182" t="s">
        <v>74</v>
      </c>
      <c r="E182" t="str">
        <f>"FES1162720957"</f>
        <v>FES1162720957</v>
      </c>
      <c r="F182" s="3">
        <v>43773</v>
      </c>
      <c r="G182">
        <v>202005</v>
      </c>
      <c r="H182" t="s">
        <v>75</v>
      </c>
      <c r="I182" t="s">
        <v>76</v>
      </c>
      <c r="J182" t="s">
        <v>77</v>
      </c>
      <c r="K182" t="s">
        <v>78</v>
      </c>
      <c r="L182" t="s">
        <v>101</v>
      </c>
      <c r="M182" t="s">
        <v>102</v>
      </c>
      <c r="N182" t="s">
        <v>497</v>
      </c>
      <c r="O182" t="s">
        <v>82</v>
      </c>
      <c r="P182" t="str">
        <f>"2170715226                    "</f>
        <v xml:space="preserve">2170715226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8.7899999999999991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1.3</v>
      </c>
      <c r="BJ182">
        <v>1</v>
      </c>
      <c r="BK182">
        <v>1.5</v>
      </c>
      <c r="BL182" s="4">
        <v>50.66</v>
      </c>
      <c r="BM182" s="4">
        <v>7.6</v>
      </c>
      <c r="BN182" s="4">
        <v>58.26</v>
      </c>
      <c r="BO182" s="4">
        <v>58.26</v>
      </c>
      <c r="BQ182" t="s">
        <v>109</v>
      </c>
      <c r="BR182" t="s">
        <v>84</v>
      </c>
      <c r="BS182" s="3">
        <v>43774</v>
      </c>
      <c r="BT182" s="5">
        <v>0.37847222222222227</v>
      </c>
      <c r="BU182" t="s">
        <v>498</v>
      </c>
      <c r="BV182" t="s">
        <v>86</v>
      </c>
      <c r="BY182">
        <v>4997.4399999999996</v>
      </c>
      <c r="CA182" t="s">
        <v>183</v>
      </c>
      <c r="CC182" t="s">
        <v>102</v>
      </c>
      <c r="CD182">
        <v>200</v>
      </c>
      <c r="CE182" t="s">
        <v>88</v>
      </c>
      <c r="CF182" s="3">
        <v>43775</v>
      </c>
      <c r="CI182">
        <v>1</v>
      </c>
      <c r="CJ182">
        <v>1</v>
      </c>
      <c r="CK182">
        <v>21</v>
      </c>
      <c r="CL182" t="s">
        <v>89</v>
      </c>
    </row>
    <row r="183" spans="1:90">
      <c r="A183" t="s">
        <v>72</v>
      </c>
      <c r="B183" t="s">
        <v>73</v>
      </c>
      <c r="C183" t="s">
        <v>74</v>
      </c>
      <c r="E183" t="str">
        <f>"FES1162721050"</f>
        <v>FES1162721050</v>
      </c>
      <c r="F183" s="3">
        <v>43773</v>
      </c>
      <c r="G183">
        <v>202005</v>
      </c>
      <c r="H183" t="s">
        <v>75</v>
      </c>
      <c r="I183" t="s">
        <v>76</v>
      </c>
      <c r="J183" t="s">
        <v>77</v>
      </c>
      <c r="K183" t="s">
        <v>78</v>
      </c>
      <c r="L183" t="s">
        <v>106</v>
      </c>
      <c r="M183" t="s">
        <v>107</v>
      </c>
      <c r="N183" t="s">
        <v>242</v>
      </c>
      <c r="O183" t="s">
        <v>82</v>
      </c>
      <c r="P183" t="str">
        <f>"2170712145                    "</f>
        <v xml:space="preserve">2170712145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30.76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6.8</v>
      </c>
      <c r="BJ183">
        <v>2.7</v>
      </c>
      <c r="BK183">
        <v>7</v>
      </c>
      <c r="BL183" s="4">
        <v>177.23</v>
      </c>
      <c r="BM183" s="4">
        <v>26.58</v>
      </c>
      <c r="BN183" s="4">
        <v>203.81</v>
      </c>
      <c r="BO183" s="4">
        <v>203.81</v>
      </c>
      <c r="BQ183" t="s">
        <v>109</v>
      </c>
      <c r="BR183" t="s">
        <v>84</v>
      </c>
      <c r="BS183" s="3">
        <v>43774</v>
      </c>
      <c r="BT183" s="5">
        <v>0.39583333333333331</v>
      </c>
      <c r="BU183" t="s">
        <v>499</v>
      </c>
      <c r="BV183" t="s">
        <v>86</v>
      </c>
      <c r="BY183">
        <v>13547.04</v>
      </c>
      <c r="CA183" t="s">
        <v>244</v>
      </c>
      <c r="CC183" t="s">
        <v>107</v>
      </c>
      <c r="CD183">
        <v>6001</v>
      </c>
      <c r="CE183" t="s">
        <v>88</v>
      </c>
      <c r="CF183" s="3">
        <v>43775</v>
      </c>
      <c r="CI183">
        <v>1</v>
      </c>
      <c r="CJ183">
        <v>1</v>
      </c>
      <c r="CK183">
        <v>21</v>
      </c>
      <c r="CL183" t="s">
        <v>89</v>
      </c>
    </row>
    <row r="184" spans="1:90">
      <c r="A184" t="s">
        <v>72</v>
      </c>
      <c r="B184" t="s">
        <v>73</v>
      </c>
      <c r="C184" t="s">
        <v>74</v>
      </c>
      <c r="E184" t="str">
        <f>"FES1162720889"</f>
        <v>FES1162720889</v>
      </c>
      <c r="F184" s="3">
        <v>43773</v>
      </c>
      <c r="G184">
        <v>202005</v>
      </c>
      <c r="H184" t="s">
        <v>75</v>
      </c>
      <c r="I184" t="s">
        <v>76</v>
      </c>
      <c r="J184" t="s">
        <v>77</v>
      </c>
      <c r="K184" t="s">
        <v>78</v>
      </c>
      <c r="L184" t="s">
        <v>214</v>
      </c>
      <c r="M184" t="s">
        <v>214</v>
      </c>
      <c r="N184" t="s">
        <v>215</v>
      </c>
      <c r="O184" t="s">
        <v>82</v>
      </c>
      <c r="P184" t="str">
        <f>"2170714027                    "</f>
        <v xml:space="preserve">2170714027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36.270000000000003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4.5</v>
      </c>
      <c r="BJ184">
        <v>3.5</v>
      </c>
      <c r="BK184">
        <v>4.5</v>
      </c>
      <c r="BL184" s="4">
        <v>208.99</v>
      </c>
      <c r="BM184" s="4">
        <v>31.35</v>
      </c>
      <c r="BN184" s="4">
        <v>240.34</v>
      </c>
      <c r="BO184" s="4">
        <v>240.34</v>
      </c>
      <c r="BQ184" t="s">
        <v>109</v>
      </c>
      <c r="BR184" t="s">
        <v>84</v>
      </c>
      <c r="BS184" s="3">
        <v>43774</v>
      </c>
      <c r="BT184" s="5">
        <v>0.4597222222222222</v>
      </c>
      <c r="BU184" t="s">
        <v>264</v>
      </c>
      <c r="BV184" t="s">
        <v>86</v>
      </c>
      <c r="BY184">
        <v>17374.68</v>
      </c>
      <c r="CA184" t="s">
        <v>217</v>
      </c>
      <c r="CC184" t="s">
        <v>214</v>
      </c>
      <c r="CD184">
        <v>7646</v>
      </c>
      <c r="CE184" t="s">
        <v>88</v>
      </c>
      <c r="CF184" s="3">
        <v>43775</v>
      </c>
      <c r="CI184">
        <v>1</v>
      </c>
      <c r="CJ184">
        <v>1</v>
      </c>
      <c r="CK184">
        <v>23</v>
      </c>
      <c r="CL184" t="s">
        <v>89</v>
      </c>
    </row>
    <row r="185" spans="1:90">
      <c r="A185" t="s">
        <v>72</v>
      </c>
      <c r="B185" t="s">
        <v>73</v>
      </c>
      <c r="C185" t="s">
        <v>74</v>
      </c>
      <c r="E185" t="str">
        <f>"FES1162720847"</f>
        <v>FES1162720847</v>
      </c>
      <c r="F185" s="3">
        <v>43773</v>
      </c>
      <c r="G185">
        <v>202005</v>
      </c>
      <c r="H185" t="s">
        <v>75</v>
      </c>
      <c r="I185" t="s">
        <v>76</v>
      </c>
      <c r="J185" t="s">
        <v>77</v>
      </c>
      <c r="K185" t="s">
        <v>78</v>
      </c>
      <c r="L185" t="s">
        <v>500</v>
      </c>
      <c r="M185" t="s">
        <v>501</v>
      </c>
      <c r="N185" t="s">
        <v>502</v>
      </c>
      <c r="O185" t="s">
        <v>82</v>
      </c>
      <c r="P185" t="str">
        <f>"2170709292                    "</f>
        <v xml:space="preserve">2170709292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40.119999999999997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4.7</v>
      </c>
      <c r="BJ185">
        <v>1.5</v>
      </c>
      <c r="BK185">
        <v>5</v>
      </c>
      <c r="BL185" s="4">
        <v>231.16</v>
      </c>
      <c r="BM185" s="4">
        <v>34.67</v>
      </c>
      <c r="BN185" s="4">
        <v>265.83</v>
      </c>
      <c r="BO185" s="4">
        <v>265.83</v>
      </c>
      <c r="BQ185" t="s">
        <v>109</v>
      </c>
      <c r="BR185" t="s">
        <v>84</v>
      </c>
      <c r="BS185" s="3">
        <v>43774</v>
      </c>
      <c r="BT185" s="5">
        <v>0.4513888888888889</v>
      </c>
      <c r="BU185" t="s">
        <v>503</v>
      </c>
      <c r="BV185" t="s">
        <v>86</v>
      </c>
      <c r="BY185">
        <v>7452</v>
      </c>
      <c r="CA185" t="s">
        <v>504</v>
      </c>
      <c r="CC185" t="s">
        <v>501</v>
      </c>
      <c r="CD185">
        <v>7349</v>
      </c>
      <c r="CE185" t="s">
        <v>88</v>
      </c>
      <c r="CF185" s="3">
        <v>43775</v>
      </c>
      <c r="CI185">
        <v>1</v>
      </c>
      <c r="CJ185">
        <v>1</v>
      </c>
      <c r="CK185">
        <v>23</v>
      </c>
      <c r="CL185" t="s">
        <v>89</v>
      </c>
    </row>
    <row r="186" spans="1:90">
      <c r="A186" t="s">
        <v>72</v>
      </c>
      <c r="B186" t="s">
        <v>73</v>
      </c>
      <c r="C186" t="s">
        <v>74</v>
      </c>
      <c r="E186" t="str">
        <f>"FES1162720858"</f>
        <v>FES1162720858</v>
      </c>
      <c r="F186" s="3">
        <v>43773</v>
      </c>
      <c r="G186">
        <v>202005</v>
      </c>
      <c r="H186" t="s">
        <v>75</v>
      </c>
      <c r="I186" t="s">
        <v>76</v>
      </c>
      <c r="J186" t="s">
        <v>77</v>
      </c>
      <c r="K186" t="s">
        <v>78</v>
      </c>
      <c r="L186" t="s">
        <v>90</v>
      </c>
      <c r="M186" t="s">
        <v>91</v>
      </c>
      <c r="N186" t="s">
        <v>505</v>
      </c>
      <c r="O186" t="s">
        <v>82</v>
      </c>
      <c r="P186" t="str">
        <f>"2170711050                    "</f>
        <v xml:space="preserve">2170711050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26.37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5.7</v>
      </c>
      <c r="BJ186">
        <v>2.4</v>
      </c>
      <c r="BK186">
        <v>6</v>
      </c>
      <c r="BL186" s="4">
        <v>151.91999999999999</v>
      </c>
      <c r="BM186" s="4">
        <v>22.79</v>
      </c>
      <c r="BN186" s="4">
        <v>174.71</v>
      </c>
      <c r="BO186" s="4">
        <v>174.71</v>
      </c>
      <c r="BQ186" t="s">
        <v>121</v>
      </c>
      <c r="BR186" t="s">
        <v>84</v>
      </c>
      <c r="BS186" s="3">
        <v>43774</v>
      </c>
      <c r="BT186" s="5">
        <v>0.375</v>
      </c>
      <c r="BU186" t="s">
        <v>506</v>
      </c>
      <c r="BV186" t="s">
        <v>86</v>
      </c>
      <c r="BY186">
        <v>11934.56</v>
      </c>
      <c r="CA186" t="s">
        <v>507</v>
      </c>
      <c r="CC186" t="s">
        <v>91</v>
      </c>
      <c r="CD186">
        <v>7764</v>
      </c>
      <c r="CE186" t="s">
        <v>88</v>
      </c>
      <c r="CF186" s="3">
        <v>43775</v>
      </c>
      <c r="CI186">
        <v>1</v>
      </c>
      <c r="CJ186">
        <v>1</v>
      </c>
      <c r="CK186">
        <v>21</v>
      </c>
      <c r="CL186" t="s">
        <v>89</v>
      </c>
    </row>
    <row r="187" spans="1:90">
      <c r="A187" t="s">
        <v>72</v>
      </c>
      <c r="B187" t="s">
        <v>73</v>
      </c>
      <c r="C187" t="s">
        <v>74</v>
      </c>
      <c r="E187" t="str">
        <f>"FES1162720898"</f>
        <v>FES1162720898</v>
      </c>
      <c r="F187" s="3">
        <v>43773</v>
      </c>
      <c r="G187">
        <v>202005</v>
      </c>
      <c r="H187" t="s">
        <v>75</v>
      </c>
      <c r="I187" t="s">
        <v>76</v>
      </c>
      <c r="J187" t="s">
        <v>77</v>
      </c>
      <c r="K187" t="s">
        <v>78</v>
      </c>
      <c r="L187" t="s">
        <v>192</v>
      </c>
      <c r="M187" t="s">
        <v>193</v>
      </c>
      <c r="N187" t="s">
        <v>194</v>
      </c>
      <c r="O187" t="s">
        <v>82</v>
      </c>
      <c r="P187" t="str">
        <f>"2170714319                    "</f>
        <v xml:space="preserve">2170714319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20.88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2.1</v>
      </c>
      <c r="BJ187">
        <v>0.8</v>
      </c>
      <c r="BK187">
        <v>2.5</v>
      </c>
      <c r="BL187" s="4">
        <v>120.32</v>
      </c>
      <c r="BM187" s="4">
        <v>18.05</v>
      </c>
      <c r="BN187" s="4">
        <v>138.37</v>
      </c>
      <c r="BO187" s="4">
        <v>138.37</v>
      </c>
      <c r="BQ187" t="s">
        <v>109</v>
      </c>
      <c r="BR187" t="s">
        <v>84</v>
      </c>
      <c r="BS187" s="3">
        <v>43774</v>
      </c>
      <c r="BT187" s="5">
        <v>0.41666666666666669</v>
      </c>
      <c r="BU187" t="s">
        <v>508</v>
      </c>
      <c r="BV187" t="s">
        <v>86</v>
      </c>
      <c r="BY187">
        <v>4178.47</v>
      </c>
      <c r="CA187" t="s">
        <v>123</v>
      </c>
      <c r="CC187" t="s">
        <v>193</v>
      </c>
      <c r="CD187">
        <v>7130</v>
      </c>
      <c r="CE187" t="s">
        <v>88</v>
      </c>
      <c r="CF187" s="3">
        <v>43775</v>
      </c>
      <c r="CI187">
        <v>1</v>
      </c>
      <c r="CJ187">
        <v>1</v>
      </c>
      <c r="CK187">
        <v>23</v>
      </c>
      <c r="CL187" t="s">
        <v>89</v>
      </c>
    </row>
    <row r="188" spans="1:90">
      <c r="A188" t="s">
        <v>72</v>
      </c>
      <c r="B188" t="s">
        <v>73</v>
      </c>
      <c r="C188" t="s">
        <v>74</v>
      </c>
      <c r="E188" t="str">
        <f>"FES11627251058"</f>
        <v>FES11627251058</v>
      </c>
      <c r="F188" s="3">
        <v>43773</v>
      </c>
      <c r="G188">
        <v>202005</v>
      </c>
      <c r="H188" t="s">
        <v>75</v>
      </c>
      <c r="I188" t="s">
        <v>76</v>
      </c>
      <c r="J188" t="s">
        <v>77</v>
      </c>
      <c r="K188" t="s">
        <v>78</v>
      </c>
      <c r="L188" t="s">
        <v>106</v>
      </c>
      <c r="M188" t="s">
        <v>107</v>
      </c>
      <c r="N188" t="s">
        <v>509</v>
      </c>
      <c r="O188" t="s">
        <v>82</v>
      </c>
      <c r="P188" t="str">
        <f>"2170713659                    "</f>
        <v xml:space="preserve">2170713659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48.33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5.7</v>
      </c>
      <c r="BJ188">
        <v>11</v>
      </c>
      <c r="BK188">
        <v>11</v>
      </c>
      <c r="BL188" s="4">
        <v>278.48</v>
      </c>
      <c r="BM188" s="4">
        <v>41.77</v>
      </c>
      <c r="BN188" s="4">
        <v>320.25</v>
      </c>
      <c r="BO188" s="4">
        <v>320.25</v>
      </c>
      <c r="BQ188" t="s">
        <v>109</v>
      </c>
      <c r="BR188" t="s">
        <v>84</v>
      </c>
      <c r="BS188" s="3">
        <v>43774</v>
      </c>
      <c r="BT188" s="5">
        <v>0.38750000000000001</v>
      </c>
      <c r="BU188" t="s">
        <v>510</v>
      </c>
      <c r="BV188" t="s">
        <v>86</v>
      </c>
      <c r="BY188">
        <v>54866.93</v>
      </c>
      <c r="CA188" t="s">
        <v>244</v>
      </c>
      <c r="CC188" t="s">
        <v>107</v>
      </c>
      <c r="CD188">
        <v>6001</v>
      </c>
      <c r="CE188" t="s">
        <v>88</v>
      </c>
      <c r="CF188" s="3">
        <v>43775</v>
      </c>
      <c r="CI188">
        <v>1</v>
      </c>
      <c r="CJ188">
        <v>1</v>
      </c>
      <c r="CK188">
        <v>21</v>
      </c>
      <c r="CL188" t="s">
        <v>89</v>
      </c>
    </row>
    <row r="189" spans="1:90">
      <c r="A189" t="s">
        <v>72</v>
      </c>
      <c r="B189" t="s">
        <v>73</v>
      </c>
      <c r="C189" t="s">
        <v>74</v>
      </c>
      <c r="E189" t="str">
        <f>"FES1162721075"</f>
        <v>FES1162721075</v>
      </c>
      <c r="F189" s="3">
        <v>43773</v>
      </c>
      <c r="G189">
        <v>202005</v>
      </c>
      <c r="H189" t="s">
        <v>75</v>
      </c>
      <c r="I189" t="s">
        <v>76</v>
      </c>
      <c r="J189" t="s">
        <v>77</v>
      </c>
      <c r="K189" t="s">
        <v>78</v>
      </c>
      <c r="L189" t="s">
        <v>79</v>
      </c>
      <c r="M189" t="s">
        <v>80</v>
      </c>
      <c r="N189" t="s">
        <v>511</v>
      </c>
      <c r="O189" t="s">
        <v>82</v>
      </c>
      <c r="P189" t="str">
        <f>"2170705815                    "</f>
        <v xml:space="preserve">2170705815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46.13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10.4</v>
      </c>
      <c r="BJ189">
        <v>8.3000000000000007</v>
      </c>
      <c r="BK189">
        <v>10.5</v>
      </c>
      <c r="BL189" s="4">
        <v>265.82</v>
      </c>
      <c r="BM189" s="4">
        <v>39.869999999999997</v>
      </c>
      <c r="BN189" s="4">
        <v>305.69</v>
      </c>
      <c r="BO189" s="4">
        <v>305.69</v>
      </c>
      <c r="BQ189" t="s">
        <v>109</v>
      </c>
      <c r="BR189" t="s">
        <v>84</v>
      </c>
      <c r="BS189" s="3">
        <v>43774</v>
      </c>
      <c r="BT189" s="5">
        <v>0.3576388888888889</v>
      </c>
      <c r="BU189" t="s">
        <v>512</v>
      </c>
      <c r="BV189" t="s">
        <v>86</v>
      </c>
      <c r="BY189">
        <v>41280.720000000001</v>
      </c>
      <c r="CA189" t="s">
        <v>87</v>
      </c>
      <c r="CC189" t="s">
        <v>80</v>
      </c>
      <c r="CD189">
        <v>6229</v>
      </c>
      <c r="CE189" t="s">
        <v>88</v>
      </c>
      <c r="CF189" s="3">
        <v>43775</v>
      </c>
      <c r="CI189">
        <v>1</v>
      </c>
      <c r="CJ189">
        <v>1</v>
      </c>
      <c r="CK189">
        <v>21</v>
      </c>
      <c r="CL189" t="s">
        <v>89</v>
      </c>
    </row>
    <row r="190" spans="1:90">
      <c r="A190" t="s">
        <v>72</v>
      </c>
      <c r="B190" t="s">
        <v>73</v>
      </c>
      <c r="C190" t="s">
        <v>74</v>
      </c>
      <c r="E190" t="str">
        <f>"FES1162721033"</f>
        <v>FES1162721033</v>
      </c>
      <c r="F190" s="3">
        <v>43773</v>
      </c>
      <c r="G190">
        <v>202005</v>
      </c>
      <c r="H190" t="s">
        <v>75</v>
      </c>
      <c r="I190" t="s">
        <v>76</v>
      </c>
      <c r="J190" t="s">
        <v>77</v>
      </c>
      <c r="K190" t="s">
        <v>78</v>
      </c>
      <c r="L190" t="s">
        <v>90</v>
      </c>
      <c r="M190" t="s">
        <v>91</v>
      </c>
      <c r="N190" t="s">
        <v>513</v>
      </c>
      <c r="O190" t="s">
        <v>82</v>
      </c>
      <c r="P190" t="str">
        <f>"2170715317                    "</f>
        <v xml:space="preserve">2170715317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72.489999999999995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6.8</v>
      </c>
      <c r="BJ190">
        <v>16.100000000000001</v>
      </c>
      <c r="BK190">
        <v>16.5</v>
      </c>
      <c r="BL190" s="4">
        <v>417.7</v>
      </c>
      <c r="BM190" s="4">
        <v>62.66</v>
      </c>
      <c r="BN190" s="4">
        <v>480.36</v>
      </c>
      <c r="BO190" s="4">
        <v>480.36</v>
      </c>
      <c r="BQ190" t="s">
        <v>121</v>
      </c>
      <c r="BR190" t="s">
        <v>84</v>
      </c>
      <c r="BS190" s="3">
        <v>43774</v>
      </c>
      <c r="BT190" s="5">
        <v>0.36527777777777781</v>
      </c>
      <c r="BU190" t="s">
        <v>514</v>
      </c>
      <c r="BV190" t="s">
        <v>86</v>
      </c>
      <c r="BY190">
        <v>80618.58</v>
      </c>
      <c r="CA190" t="s">
        <v>515</v>
      </c>
      <c r="CC190" t="s">
        <v>91</v>
      </c>
      <c r="CD190">
        <v>7493</v>
      </c>
      <c r="CE190" t="s">
        <v>88</v>
      </c>
      <c r="CF190" s="3">
        <v>43775</v>
      </c>
      <c r="CI190">
        <v>1</v>
      </c>
      <c r="CJ190">
        <v>1</v>
      </c>
      <c r="CK190">
        <v>21</v>
      </c>
      <c r="CL190" t="s">
        <v>89</v>
      </c>
    </row>
    <row r="191" spans="1:90">
      <c r="A191" t="s">
        <v>72</v>
      </c>
      <c r="B191" t="s">
        <v>73</v>
      </c>
      <c r="C191" t="s">
        <v>74</v>
      </c>
      <c r="E191" t="str">
        <f>"FES1162720921"</f>
        <v>FES1162720921</v>
      </c>
      <c r="F191" s="3">
        <v>43773</v>
      </c>
      <c r="G191">
        <v>202005</v>
      </c>
      <c r="H191" t="s">
        <v>75</v>
      </c>
      <c r="I191" t="s">
        <v>76</v>
      </c>
      <c r="J191" t="s">
        <v>77</v>
      </c>
      <c r="K191" t="s">
        <v>78</v>
      </c>
      <c r="L191" t="s">
        <v>75</v>
      </c>
      <c r="M191" t="s">
        <v>76</v>
      </c>
      <c r="N191" t="s">
        <v>516</v>
      </c>
      <c r="O191" t="s">
        <v>82</v>
      </c>
      <c r="P191" t="str">
        <f>"2170714654                    "</f>
        <v xml:space="preserve">2170714654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6.87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0.9</v>
      </c>
      <c r="BJ191">
        <v>1.5</v>
      </c>
      <c r="BK191">
        <v>1.5</v>
      </c>
      <c r="BL191" s="4">
        <v>39.58</v>
      </c>
      <c r="BM191" s="4">
        <v>5.94</v>
      </c>
      <c r="BN191" s="4">
        <v>45.52</v>
      </c>
      <c r="BO191" s="4">
        <v>45.52</v>
      </c>
      <c r="BQ191" t="s">
        <v>109</v>
      </c>
      <c r="BR191" t="s">
        <v>84</v>
      </c>
      <c r="BS191" s="3">
        <v>43774</v>
      </c>
      <c r="BT191" s="5">
        <v>0.3298611111111111</v>
      </c>
      <c r="BU191" t="s">
        <v>517</v>
      </c>
      <c r="BV191" t="s">
        <v>86</v>
      </c>
      <c r="BY191">
        <v>7392</v>
      </c>
      <c r="CA191" t="s">
        <v>198</v>
      </c>
      <c r="CC191" t="s">
        <v>76</v>
      </c>
      <c r="CD191">
        <v>1601</v>
      </c>
      <c r="CE191" t="s">
        <v>147</v>
      </c>
      <c r="CF191" s="3">
        <v>43775</v>
      </c>
      <c r="CI191">
        <v>1</v>
      </c>
      <c r="CJ191">
        <v>1</v>
      </c>
      <c r="CK191">
        <v>22</v>
      </c>
      <c r="CL191" t="s">
        <v>89</v>
      </c>
    </row>
    <row r="192" spans="1:90">
      <c r="A192" t="s">
        <v>72</v>
      </c>
      <c r="B192" t="s">
        <v>73</v>
      </c>
      <c r="C192" t="s">
        <v>74</v>
      </c>
      <c r="E192" t="str">
        <f>"FES1162720923"</f>
        <v>FES1162720923</v>
      </c>
      <c r="F192" s="3">
        <v>43773</v>
      </c>
      <c r="G192">
        <v>202005</v>
      </c>
      <c r="H192" t="s">
        <v>75</v>
      </c>
      <c r="I192" t="s">
        <v>76</v>
      </c>
      <c r="J192" t="s">
        <v>77</v>
      </c>
      <c r="K192" t="s">
        <v>78</v>
      </c>
      <c r="L192" t="s">
        <v>75</v>
      </c>
      <c r="M192" t="s">
        <v>76</v>
      </c>
      <c r="N192" t="s">
        <v>518</v>
      </c>
      <c r="O192" t="s">
        <v>82</v>
      </c>
      <c r="P192" t="str">
        <f>"2170714712                    "</f>
        <v xml:space="preserve">2170714712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6.87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0.8</v>
      </c>
      <c r="BJ192">
        <v>1.5</v>
      </c>
      <c r="BK192">
        <v>1.5</v>
      </c>
      <c r="BL192" s="4">
        <v>39.58</v>
      </c>
      <c r="BM192" s="4">
        <v>5.94</v>
      </c>
      <c r="BN192" s="4">
        <v>45.52</v>
      </c>
      <c r="BO192" s="4">
        <v>45.52</v>
      </c>
      <c r="BQ192" t="s">
        <v>519</v>
      </c>
      <c r="BR192" t="s">
        <v>84</v>
      </c>
      <c r="BS192" s="3">
        <v>43774</v>
      </c>
      <c r="BT192" s="5">
        <v>0.39374999999999999</v>
      </c>
      <c r="BU192" t="s">
        <v>520</v>
      </c>
      <c r="BV192" t="s">
        <v>86</v>
      </c>
      <c r="BY192">
        <v>7262.64</v>
      </c>
      <c r="CA192" t="s">
        <v>198</v>
      </c>
      <c r="CC192" t="s">
        <v>76</v>
      </c>
      <c r="CD192">
        <v>1601</v>
      </c>
      <c r="CE192" t="s">
        <v>147</v>
      </c>
      <c r="CF192" s="3">
        <v>43775</v>
      </c>
      <c r="CI192">
        <v>1</v>
      </c>
      <c r="CJ192">
        <v>1</v>
      </c>
      <c r="CK192">
        <v>22</v>
      </c>
      <c r="CL192" t="s">
        <v>89</v>
      </c>
    </row>
    <row r="193" spans="1:90">
      <c r="A193" t="s">
        <v>72</v>
      </c>
      <c r="B193" t="s">
        <v>73</v>
      </c>
      <c r="C193" t="s">
        <v>74</v>
      </c>
      <c r="E193" t="str">
        <f>"FES1162720959"</f>
        <v>FES1162720959</v>
      </c>
      <c r="F193" s="3">
        <v>43773</v>
      </c>
      <c r="G193">
        <v>202005</v>
      </c>
      <c r="H193" t="s">
        <v>75</v>
      </c>
      <c r="I193" t="s">
        <v>76</v>
      </c>
      <c r="J193" t="s">
        <v>77</v>
      </c>
      <c r="K193" t="s">
        <v>78</v>
      </c>
      <c r="L193" t="s">
        <v>202</v>
      </c>
      <c r="M193" t="s">
        <v>203</v>
      </c>
      <c r="N193" t="s">
        <v>521</v>
      </c>
      <c r="O193" t="s">
        <v>82</v>
      </c>
      <c r="P193" t="str">
        <f>"2170715229                    "</f>
        <v xml:space="preserve">2170715229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6.87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0.2</v>
      </c>
      <c r="BJ193">
        <v>1</v>
      </c>
      <c r="BK193">
        <v>1</v>
      </c>
      <c r="BL193" s="4">
        <v>39.58</v>
      </c>
      <c r="BM193" s="4">
        <v>5.94</v>
      </c>
      <c r="BN193" s="4">
        <v>45.52</v>
      </c>
      <c r="BO193" s="4">
        <v>45.52</v>
      </c>
      <c r="BQ193" t="s">
        <v>109</v>
      </c>
      <c r="BR193" t="s">
        <v>84</v>
      </c>
      <c r="BS193" s="3">
        <v>43774</v>
      </c>
      <c r="BT193" s="5">
        <v>0.33333333333333331</v>
      </c>
      <c r="BU193" t="s">
        <v>231</v>
      </c>
      <c r="BV193" t="s">
        <v>86</v>
      </c>
      <c r="BY193">
        <v>5227.2</v>
      </c>
      <c r="CC193" t="s">
        <v>203</v>
      </c>
      <c r="CD193">
        <v>1428</v>
      </c>
      <c r="CE193" t="s">
        <v>147</v>
      </c>
      <c r="CF193" s="3">
        <v>43775</v>
      </c>
      <c r="CI193">
        <v>1</v>
      </c>
      <c r="CJ193">
        <v>1</v>
      </c>
      <c r="CK193">
        <v>22</v>
      </c>
      <c r="CL193" t="s">
        <v>89</v>
      </c>
    </row>
    <row r="194" spans="1:90">
      <c r="A194" t="s">
        <v>72</v>
      </c>
      <c r="B194" t="s">
        <v>73</v>
      </c>
      <c r="C194" t="s">
        <v>74</v>
      </c>
      <c r="E194" t="str">
        <f>"FES1162720891"</f>
        <v>FES1162720891</v>
      </c>
      <c r="F194" s="3">
        <v>43773</v>
      </c>
      <c r="G194">
        <v>202005</v>
      </c>
      <c r="H194" t="s">
        <v>75</v>
      </c>
      <c r="I194" t="s">
        <v>76</v>
      </c>
      <c r="J194" t="s">
        <v>77</v>
      </c>
      <c r="K194" t="s">
        <v>78</v>
      </c>
      <c r="L194" t="s">
        <v>522</v>
      </c>
      <c r="M194" t="s">
        <v>523</v>
      </c>
      <c r="N194" t="s">
        <v>524</v>
      </c>
      <c r="O194" t="s">
        <v>82</v>
      </c>
      <c r="P194" t="str">
        <f>"2170714057                    "</f>
        <v xml:space="preserve">2170714057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20.88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1.1000000000000001</v>
      </c>
      <c r="BJ194">
        <v>2.2999999999999998</v>
      </c>
      <c r="BK194">
        <v>2.5</v>
      </c>
      <c r="BL194" s="4">
        <v>120.32</v>
      </c>
      <c r="BM194" s="4">
        <v>18.05</v>
      </c>
      <c r="BN194" s="4">
        <v>138.37</v>
      </c>
      <c r="BO194" s="4">
        <v>138.37</v>
      </c>
      <c r="BQ194" t="s">
        <v>109</v>
      </c>
      <c r="BR194" t="s">
        <v>84</v>
      </c>
      <c r="BS194" s="3">
        <v>43774</v>
      </c>
      <c r="BT194" s="5">
        <v>0.34236111111111112</v>
      </c>
      <c r="BU194" t="s">
        <v>525</v>
      </c>
      <c r="BV194" t="s">
        <v>86</v>
      </c>
      <c r="BY194">
        <v>11289.6</v>
      </c>
      <c r="CA194" t="s">
        <v>526</v>
      </c>
      <c r="CC194" t="s">
        <v>523</v>
      </c>
      <c r="CD194">
        <v>1900</v>
      </c>
      <c r="CE194" t="s">
        <v>147</v>
      </c>
      <c r="CF194" s="3">
        <v>43775</v>
      </c>
      <c r="CI194">
        <v>1</v>
      </c>
      <c r="CJ194">
        <v>1</v>
      </c>
      <c r="CK194">
        <v>23</v>
      </c>
      <c r="CL194" t="s">
        <v>89</v>
      </c>
    </row>
    <row r="195" spans="1:90">
      <c r="A195" t="s">
        <v>72</v>
      </c>
      <c r="B195" t="s">
        <v>73</v>
      </c>
      <c r="C195" t="s">
        <v>74</v>
      </c>
      <c r="E195" t="str">
        <f>"FES1162721098"</f>
        <v>FES1162721098</v>
      </c>
      <c r="F195" s="3">
        <v>43773</v>
      </c>
      <c r="G195">
        <v>202005</v>
      </c>
      <c r="H195" t="s">
        <v>75</v>
      </c>
      <c r="I195" t="s">
        <v>76</v>
      </c>
      <c r="J195" t="s">
        <v>77</v>
      </c>
      <c r="K195" t="s">
        <v>78</v>
      </c>
      <c r="L195" t="s">
        <v>106</v>
      </c>
      <c r="M195" t="s">
        <v>107</v>
      </c>
      <c r="N195" t="s">
        <v>108</v>
      </c>
      <c r="O195" t="s">
        <v>82</v>
      </c>
      <c r="P195" t="str">
        <f>"2170715369                    "</f>
        <v xml:space="preserve">2170715369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8.7899999999999991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 s="4">
        <v>50.66</v>
      </c>
      <c r="BM195" s="4">
        <v>7.6</v>
      </c>
      <c r="BN195" s="4">
        <v>58.26</v>
      </c>
      <c r="BO195" s="4">
        <v>58.26</v>
      </c>
      <c r="BQ195" t="s">
        <v>109</v>
      </c>
      <c r="BR195" t="s">
        <v>84</v>
      </c>
      <c r="BS195" s="3">
        <v>43774</v>
      </c>
      <c r="BT195" s="5">
        <v>0.3923611111111111</v>
      </c>
      <c r="BU195" t="s">
        <v>110</v>
      </c>
      <c r="BV195" t="s">
        <v>86</v>
      </c>
      <c r="BY195">
        <v>1200</v>
      </c>
      <c r="CA195" t="s">
        <v>111</v>
      </c>
      <c r="CC195" t="s">
        <v>107</v>
      </c>
      <c r="CD195">
        <v>6001</v>
      </c>
      <c r="CE195" t="s">
        <v>147</v>
      </c>
      <c r="CF195" s="3">
        <v>43775</v>
      </c>
      <c r="CI195">
        <v>1</v>
      </c>
      <c r="CJ195">
        <v>1</v>
      </c>
      <c r="CK195">
        <v>21</v>
      </c>
      <c r="CL195" t="s">
        <v>89</v>
      </c>
    </row>
    <row r="196" spans="1:90">
      <c r="A196" t="s">
        <v>72</v>
      </c>
      <c r="B196" t="s">
        <v>73</v>
      </c>
      <c r="C196" t="s">
        <v>74</v>
      </c>
      <c r="E196" t="str">
        <f>"FES1162720987"</f>
        <v>FES1162720987</v>
      </c>
      <c r="F196" s="3">
        <v>43773</v>
      </c>
      <c r="G196">
        <v>202005</v>
      </c>
      <c r="H196" t="s">
        <v>75</v>
      </c>
      <c r="I196" t="s">
        <v>76</v>
      </c>
      <c r="J196" t="s">
        <v>77</v>
      </c>
      <c r="K196" t="s">
        <v>78</v>
      </c>
      <c r="L196" t="s">
        <v>90</v>
      </c>
      <c r="M196" t="s">
        <v>91</v>
      </c>
      <c r="N196" t="s">
        <v>527</v>
      </c>
      <c r="O196" t="s">
        <v>82</v>
      </c>
      <c r="P196" t="str">
        <f>"2170715262                    "</f>
        <v xml:space="preserve">2170715262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8.7899999999999991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0.2</v>
      </c>
      <c r="BJ196">
        <v>2</v>
      </c>
      <c r="BK196">
        <v>2</v>
      </c>
      <c r="BL196" s="4">
        <v>50.66</v>
      </c>
      <c r="BM196" s="4">
        <v>7.6</v>
      </c>
      <c r="BN196" s="4">
        <v>58.26</v>
      </c>
      <c r="BO196" s="4">
        <v>58.26</v>
      </c>
      <c r="BQ196" t="s">
        <v>109</v>
      </c>
      <c r="BR196" t="s">
        <v>84</v>
      </c>
      <c r="BS196" s="3">
        <v>43774</v>
      </c>
      <c r="BT196" s="5">
        <v>0.35000000000000003</v>
      </c>
      <c r="BU196" t="s">
        <v>528</v>
      </c>
      <c r="BV196" t="s">
        <v>86</v>
      </c>
      <c r="BY196">
        <v>10144.26</v>
      </c>
      <c r="CA196" t="s">
        <v>221</v>
      </c>
      <c r="CC196" t="s">
        <v>91</v>
      </c>
      <c r="CD196">
        <v>7405</v>
      </c>
      <c r="CE196" t="s">
        <v>147</v>
      </c>
      <c r="CF196" s="3">
        <v>43775</v>
      </c>
      <c r="CI196">
        <v>1</v>
      </c>
      <c r="CJ196">
        <v>1</v>
      </c>
      <c r="CK196">
        <v>21</v>
      </c>
      <c r="CL196" t="s">
        <v>89</v>
      </c>
    </row>
    <row r="197" spans="1:90">
      <c r="A197" t="s">
        <v>72</v>
      </c>
      <c r="B197" t="s">
        <v>73</v>
      </c>
      <c r="C197" t="s">
        <v>74</v>
      </c>
      <c r="E197" t="str">
        <f>"FES1162720904"</f>
        <v>FES1162720904</v>
      </c>
      <c r="F197" s="3">
        <v>43773</v>
      </c>
      <c r="G197">
        <v>202005</v>
      </c>
      <c r="H197" t="s">
        <v>75</v>
      </c>
      <c r="I197" t="s">
        <v>76</v>
      </c>
      <c r="J197" t="s">
        <v>77</v>
      </c>
      <c r="K197" t="s">
        <v>78</v>
      </c>
      <c r="L197" t="s">
        <v>112</v>
      </c>
      <c r="M197" t="s">
        <v>113</v>
      </c>
      <c r="N197" t="s">
        <v>529</v>
      </c>
      <c r="O197" t="s">
        <v>82</v>
      </c>
      <c r="P197" t="str">
        <f>"2170714444                    "</f>
        <v xml:space="preserve">2170714444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72.489999999999995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10.6</v>
      </c>
      <c r="BJ197">
        <v>16.3</v>
      </c>
      <c r="BK197">
        <v>16.5</v>
      </c>
      <c r="BL197" s="4">
        <v>417.7</v>
      </c>
      <c r="BM197" s="4">
        <v>62.66</v>
      </c>
      <c r="BN197" s="4">
        <v>480.36</v>
      </c>
      <c r="BO197" s="4">
        <v>480.36</v>
      </c>
      <c r="BQ197" t="s">
        <v>121</v>
      </c>
      <c r="BR197" t="s">
        <v>84</v>
      </c>
      <c r="BS197" s="3">
        <v>43774</v>
      </c>
      <c r="BT197" s="5">
        <v>0.41597222222222219</v>
      </c>
      <c r="BU197" t="s">
        <v>530</v>
      </c>
      <c r="BV197" t="s">
        <v>86</v>
      </c>
      <c r="BY197">
        <v>81269.960000000006</v>
      </c>
      <c r="CA197" t="s">
        <v>229</v>
      </c>
      <c r="CC197" t="s">
        <v>113</v>
      </c>
      <c r="CD197">
        <v>4001</v>
      </c>
      <c r="CE197" t="s">
        <v>88</v>
      </c>
      <c r="CF197" s="3">
        <v>43776</v>
      </c>
      <c r="CI197">
        <v>1</v>
      </c>
      <c r="CJ197">
        <v>1</v>
      </c>
      <c r="CK197">
        <v>21</v>
      </c>
      <c r="CL197" t="s">
        <v>89</v>
      </c>
    </row>
    <row r="198" spans="1:90">
      <c r="A198" t="s">
        <v>72</v>
      </c>
      <c r="B198" t="s">
        <v>73</v>
      </c>
      <c r="C198" t="s">
        <v>74</v>
      </c>
      <c r="E198" t="str">
        <f>"FES1162721020"</f>
        <v>FES1162721020</v>
      </c>
      <c r="F198" s="3">
        <v>43773</v>
      </c>
      <c r="G198">
        <v>202005</v>
      </c>
      <c r="H198" t="s">
        <v>75</v>
      </c>
      <c r="I198" t="s">
        <v>76</v>
      </c>
      <c r="J198" t="s">
        <v>77</v>
      </c>
      <c r="K198" t="s">
        <v>78</v>
      </c>
      <c r="L198" t="s">
        <v>90</v>
      </c>
      <c r="M198" t="s">
        <v>91</v>
      </c>
      <c r="N198" t="s">
        <v>531</v>
      </c>
      <c r="O198" t="s">
        <v>82</v>
      </c>
      <c r="P198" t="str">
        <f>"2170715034                    "</f>
        <v xml:space="preserve">2170715034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8.7899999999999991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0.2</v>
      </c>
      <c r="BJ198">
        <v>1</v>
      </c>
      <c r="BK198">
        <v>1</v>
      </c>
      <c r="BL198" s="4">
        <v>50.66</v>
      </c>
      <c r="BM198" s="4">
        <v>7.6</v>
      </c>
      <c r="BN198" s="4">
        <v>58.26</v>
      </c>
      <c r="BO198" s="4">
        <v>58.26</v>
      </c>
      <c r="BQ198" t="s">
        <v>121</v>
      </c>
      <c r="BR198" t="s">
        <v>84</v>
      </c>
      <c r="BS198" s="3">
        <v>43774</v>
      </c>
      <c r="BT198" s="5">
        <v>0.41666666666666669</v>
      </c>
      <c r="BU198" t="s">
        <v>532</v>
      </c>
      <c r="BV198" t="s">
        <v>86</v>
      </c>
      <c r="BY198">
        <v>4820.88</v>
      </c>
      <c r="CA198" t="s">
        <v>123</v>
      </c>
      <c r="CC198" t="s">
        <v>91</v>
      </c>
      <c r="CD198">
        <v>8001</v>
      </c>
      <c r="CE198" t="s">
        <v>147</v>
      </c>
      <c r="CF198" s="3">
        <v>43775</v>
      </c>
      <c r="CI198">
        <v>1</v>
      </c>
      <c r="CJ198">
        <v>1</v>
      </c>
      <c r="CK198">
        <v>21</v>
      </c>
      <c r="CL198" t="s">
        <v>89</v>
      </c>
    </row>
    <row r="199" spans="1:90">
      <c r="A199" t="s">
        <v>72</v>
      </c>
      <c r="B199" t="s">
        <v>73</v>
      </c>
      <c r="C199" t="s">
        <v>74</v>
      </c>
      <c r="E199" t="str">
        <f>"FES1162720978"</f>
        <v>FES1162720978</v>
      </c>
      <c r="F199" s="3">
        <v>43773</v>
      </c>
      <c r="G199">
        <v>202005</v>
      </c>
      <c r="H199" t="s">
        <v>75</v>
      </c>
      <c r="I199" t="s">
        <v>76</v>
      </c>
      <c r="J199" t="s">
        <v>77</v>
      </c>
      <c r="K199" t="s">
        <v>78</v>
      </c>
      <c r="L199" t="s">
        <v>90</v>
      </c>
      <c r="M199" t="s">
        <v>91</v>
      </c>
      <c r="N199" t="s">
        <v>533</v>
      </c>
      <c r="O199" t="s">
        <v>82</v>
      </c>
      <c r="P199" t="str">
        <f>"2170715249                    "</f>
        <v xml:space="preserve">2170715249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8.7899999999999991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0.5</v>
      </c>
      <c r="BJ199">
        <v>1.4</v>
      </c>
      <c r="BK199">
        <v>1.5</v>
      </c>
      <c r="BL199" s="4">
        <v>50.66</v>
      </c>
      <c r="BM199" s="4">
        <v>7.6</v>
      </c>
      <c r="BN199" s="4">
        <v>58.26</v>
      </c>
      <c r="BO199" s="4">
        <v>58.26</v>
      </c>
      <c r="BQ199" t="s">
        <v>161</v>
      </c>
      <c r="BR199" t="s">
        <v>84</v>
      </c>
      <c r="BS199" s="3">
        <v>43774</v>
      </c>
      <c r="BT199" s="5">
        <v>0.35833333333333334</v>
      </c>
      <c r="BU199" t="s">
        <v>534</v>
      </c>
      <c r="BV199" t="s">
        <v>86</v>
      </c>
      <c r="BY199">
        <v>6955.2</v>
      </c>
      <c r="CA199" t="s">
        <v>323</v>
      </c>
      <c r="CC199" t="s">
        <v>91</v>
      </c>
      <c r="CD199">
        <v>7460</v>
      </c>
      <c r="CE199" t="s">
        <v>147</v>
      </c>
      <c r="CF199" s="3">
        <v>43774</v>
      </c>
      <c r="CI199">
        <v>1</v>
      </c>
      <c r="CJ199">
        <v>1</v>
      </c>
      <c r="CK199">
        <v>21</v>
      </c>
      <c r="CL199" t="s">
        <v>89</v>
      </c>
    </row>
    <row r="200" spans="1:90">
      <c r="A200" t="s">
        <v>72</v>
      </c>
      <c r="B200" t="s">
        <v>73</v>
      </c>
      <c r="C200" t="s">
        <v>74</v>
      </c>
      <c r="E200" t="str">
        <f>"FES1162720875"</f>
        <v>FES1162720875</v>
      </c>
      <c r="F200" s="3">
        <v>43773</v>
      </c>
      <c r="G200">
        <v>202005</v>
      </c>
      <c r="H200" t="s">
        <v>75</v>
      </c>
      <c r="I200" t="s">
        <v>76</v>
      </c>
      <c r="J200" t="s">
        <v>77</v>
      </c>
      <c r="K200" t="s">
        <v>78</v>
      </c>
      <c r="L200" t="s">
        <v>118</v>
      </c>
      <c r="M200" t="s">
        <v>119</v>
      </c>
      <c r="N200" t="s">
        <v>130</v>
      </c>
      <c r="O200" t="s">
        <v>82</v>
      </c>
      <c r="P200" t="str">
        <f>"2170712894                    "</f>
        <v xml:space="preserve">2170712894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50.53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11.1</v>
      </c>
      <c r="BJ200">
        <v>5.8</v>
      </c>
      <c r="BK200">
        <v>11.5</v>
      </c>
      <c r="BL200" s="4">
        <v>291.14</v>
      </c>
      <c r="BM200" s="4">
        <v>43.67</v>
      </c>
      <c r="BN200" s="4">
        <v>334.81</v>
      </c>
      <c r="BO200" s="4">
        <v>334.81</v>
      </c>
      <c r="BQ200" t="s">
        <v>109</v>
      </c>
      <c r="BR200" t="s">
        <v>84</v>
      </c>
      <c r="BS200" s="3">
        <v>43774</v>
      </c>
      <c r="BT200" s="5">
        <v>0.43472222222222223</v>
      </c>
      <c r="BU200" t="s">
        <v>535</v>
      </c>
      <c r="BV200" t="s">
        <v>86</v>
      </c>
      <c r="BY200">
        <v>28907.360000000001</v>
      </c>
      <c r="CA200" t="s">
        <v>441</v>
      </c>
      <c r="CC200" t="s">
        <v>119</v>
      </c>
      <c r="CD200">
        <v>3201</v>
      </c>
      <c r="CE200" t="s">
        <v>88</v>
      </c>
      <c r="CF200" s="3">
        <v>43776</v>
      </c>
      <c r="CI200">
        <v>1</v>
      </c>
      <c r="CJ200">
        <v>1</v>
      </c>
      <c r="CK200">
        <v>21</v>
      </c>
      <c r="CL200" t="s">
        <v>89</v>
      </c>
    </row>
    <row r="201" spans="1:90">
      <c r="A201" t="s">
        <v>72</v>
      </c>
      <c r="B201" t="s">
        <v>73</v>
      </c>
      <c r="C201" t="s">
        <v>74</v>
      </c>
      <c r="E201" t="str">
        <f>"FES1162720950"</f>
        <v>FES1162720950</v>
      </c>
      <c r="F201" s="3">
        <v>43773</v>
      </c>
      <c r="G201">
        <v>202005</v>
      </c>
      <c r="H201" t="s">
        <v>75</v>
      </c>
      <c r="I201" t="s">
        <v>76</v>
      </c>
      <c r="J201" t="s">
        <v>77</v>
      </c>
      <c r="K201" t="s">
        <v>78</v>
      </c>
      <c r="L201" t="s">
        <v>176</v>
      </c>
      <c r="M201" t="s">
        <v>177</v>
      </c>
      <c r="N201" t="s">
        <v>256</v>
      </c>
      <c r="O201" t="s">
        <v>82</v>
      </c>
      <c r="P201" t="str">
        <f>"2170715002                    "</f>
        <v xml:space="preserve">2170715002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8.7899999999999991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0.9</v>
      </c>
      <c r="BJ201">
        <v>1.3</v>
      </c>
      <c r="BK201">
        <v>1.5</v>
      </c>
      <c r="BL201" s="4">
        <v>50.66</v>
      </c>
      <c r="BM201" s="4">
        <v>7.6</v>
      </c>
      <c r="BN201" s="4">
        <v>58.26</v>
      </c>
      <c r="BO201" s="4">
        <v>58.26</v>
      </c>
      <c r="BQ201" t="s">
        <v>109</v>
      </c>
      <c r="BR201" t="s">
        <v>84</v>
      </c>
      <c r="BS201" s="3">
        <v>43774</v>
      </c>
      <c r="BT201" s="5">
        <v>0.38958333333333334</v>
      </c>
      <c r="BU201" t="s">
        <v>536</v>
      </c>
      <c r="BV201" t="s">
        <v>86</v>
      </c>
      <c r="BY201">
        <v>6296.66</v>
      </c>
      <c r="CA201" t="s">
        <v>180</v>
      </c>
      <c r="CC201" t="s">
        <v>177</v>
      </c>
      <c r="CD201">
        <v>3610</v>
      </c>
      <c r="CE201" t="s">
        <v>88</v>
      </c>
      <c r="CF201" s="3">
        <v>43776</v>
      </c>
      <c r="CI201">
        <v>1</v>
      </c>
      <c r="CJ201">
        <v>1</v>
      </c>
      <c r="CK201">
        <v>21</v>
      </c>
      <c r="CL201" t="s">
        <v>89</v>
      </c>
    </row>
    <row r="202" spans="1:90">
      <c r="A202" t="s">
        <v>72</v>
      </c>
      <c r="B202" t="s">
        <v>73</v>
      </c>
      <c r="C202" t="s">
        <v>74</v>
      </c>
      <c r="E202" t="str">
        <f>"FES1162721070"</f>
        <v>FES1162721070</v>
      </c>
      <c r="F202" s="3">
        <v>43773</v>
      </c>
      <c r="G202">
        <v>202005</v>
      </c>
      <c r="H202" t="s">
        <v>75</v>
      </c>
      <c r="I202" t="s">
        <v>76</v>
      </c>
      <c r="J202" t="s">
        <v>77</v>
      </c>
      <c r="K202" t="s">
        <v>78</v>
      </c>
      <c r="L202" t="s">
        <v>90</v>
      </c>
      <c r="M202" t="s">
        <v>91</v>
      </c>
      <c r="N202" t="s">
        <v>527</v>
      </c>
      <c r="O202" t="s">
        <v>82</v>
      </c>
      <c r="P202" t="str">
        <f>"2170715338                    "</f>
        <v xml:space="preserve">2170715338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8.7899999999999991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0.2</v>
      </c>
      <c r="BJ202">
        <v>1.2</v>
      </c>
      <c r="BK202">
        <v>1.5</v>
      </c>
      <c r="BL202" s="4">
        <v>50.66</v>
      </c>
      <c r="BM202" s="4">
        <v>7.6</v>
      </c>
      <c r="BN202" s="4">
        <v>58.26</v>
      </c>
      <c r="BO202" s="4">
        <v>58.26</v>
      </c>
      <c r="BQ202" t="s">
        <v>109</v>
      </c>
      <c r="BR202" t="s">
        <v>84</v>
      </c>
      <c r="BS202" s="3">
        <v>43774</v>
      </c>
      <c r="BT202" s="5">
        <v>0.35069444444444442</v>
      </c>
      <c r="BU202" t="s">
        <v>537</v>
      </c>
      <c r="BV202" t="s">
        <v>86</v>
      </c>
      <c r="BY202">
        <v>6214.77</v>
      </c>
      <c r="CA202" t="s">
        <v>221</v>
      </c>
      <c r="CC202" t="s">
        <v>91</v>
      </c>
      <c r="CD202">
        <v>7405</v>
      </c>
      <c r="CE202" t="s">
        <v>147</v>
      </c>
      <c r="CF202" s="3">
        <v>43775</v>
      </c>
      <c r="CI202">
        <v>1</v>
      </c>
      <c r="CJ202">
        <v>1</v>
      </c>
      <c r="CK202">
        <v>21</v>
      </c>
      <c r="CL202" t="s">
        <v>89</v>
      </c>
    </row>
    <row r="203" spans="1:90">
      <c r="A203" t="s">
        <v>72</v>
      </c>
      <c r="B203" t="s">
        <v>73</v>
      </c>
      <c r="C203" t="s">
        <v>74</v>
      </c>
      <c r="E203" t="str">
        <f>"FES1162720988"</f>
        <v>FES1162720988</v>
      </c>
      <c r="F203" s="3">
        <v>43773</v>
      </c>
      <c r="G203">
        <v>202005</v>
      </c>
      <c r="H203" t="s">
        <v>75</v>
      </c>
      <c r="I203" t="s">
        <v>76</v>
      </c>
      <c r="J203" t="s">
        <v>77</v>
      </c>
      <c r="K203" t="s">
        <v>78</v>
      </c>
      <c r="L203" t="s">
        <v>90</v>
      </c>
      <c r="M203" t="s">
        <v>91</v>
      </c>
      <c r="N203" t="s">
        <v>190</v>
      </c>
      <c r="O203" t="s">
        <v>82</v>
      </c>
      <c r="P203" t="str">
        <f>"2170715263                    "</f>
        <v xml:space="preserve">2170715263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8.7899999999999991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0.2</v>
      </c>
      <c r="BJ203">
        <v>1</v>
      </c>
      <c r="BK203">
        <v>1</v>
      </c>
      <c r="BL203" s="4">
        <v>50.66</v>
      </c>
      <c r="BM203" s="4">
        <v>7.6</v>
      </c>
      <c r="BN203" s="4">
        <v>58.26</v>
      </c>
      <c r="BO203" s="4">
        <v>58.26</v>
      </c>
      <c r="BQ203" t="s">
        <v>109</v>
      </c>
      <c r="BR203" t="s">
        <v>84</v>
      </c>
      <c r="BS203" s="3">
        <v>43774</v>
      </c>
      <c r="BT203" s="5">
        <v>0.41736111111111113</v>
      </c>
      <c r="BU203" t="s">
        <v>191</v>
      </c>
      <c r="BV203" t="s">
        <v>86</v>
      </c>
      <c r="BY203">
        <v>4790.8</v>
      </c>
      <c r="CA203" t="s">
        <v>213</v>
      </c>
      <c r="CC203" t="s">
        <v>91</v>
      </c>
      <c r="CD203">
        <v>7441</v>
      </c>
      <c r="CE203" t="s">
        <v>147</v>
      </c>
      <c r="CF203" s="3">
        <v>43775</v>
      </c>
      <c r="CI203">
        <v>1</v>
      </c>
      <c r="CJ203">
        <v>1</v>
      </c>
      <c r="CK203">
        <v>21</v>
      </c>
      <c r="CL203" t="s">
        <v>89</v>
      </c>
    </row>
    <row r="204" spans="1:90">
      <c r="A204" t="s">
        <v>72</v>
      </c>
      <c r="B204" t="s">
        <v>73</v>
      </c>
      <c r="C204" t="s">
        <v>74</v>
      </c>
      <c r="E204" t="str">
        <f>"FES1162720991"</f>
        <v>FES1162720991</v>
      </c>
      <c r="F204" s="3">
        <v>43773</v>
      </c>
      <c r="G204">
        <v>202005</v>
      </c>
      <c r="H204" t="s">
        <v>75</v>
      </c>
      <c r="I204" t="s">
        <v>76</v>
      </c>
      <c r="J204" t="s">
        <v>77</v>
      </c>
      <c r="K204" t="s">
        <v>78</v>
      </c>
      <c r="L204" t="s">
        <v>90</v>
      </c>
      <c r="M204" t="s">
        <v>91</v>
      </c>
      <c r="N204" t="s">
        <v>538</v>
      </c>
      <c r="O204" t="s">
        <v>82</v>
      </c>
      <c r="P204" t="str">
        <f>"2170715268                    "</f>
        <v xml:space="preserve">2170715268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8.7899999999999991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1.2</v>
      </c>
      <c r="BJ204">
        <v>1.7</v>
      </c>
      <c r="BK204">
        <v>2</v>
      </c>
      <c r="BL204" s="4">
        <v>50.66</v>
      </c>
      <c r="BM204" s="4">
        <v>7.6</v>
      </c>
      <c r="BN204" s="4">
        <v>58.26</v>
      </c>
      <c r="BO204" s="4">
        <v>58.26</v>
      </c>
      <c r="BQ204" t="s">
        <v>109</v>
      </c>
      <c r="BR204" t="s">
        <v>84</v>
      </c>
      <c r="BS204" s="3">
        <v>43774</v>
      </c>
      <c r="BT204" s="5">
        <v>0.3430555555555555</v>
      </c>
      <c r="BU204" t="s">
        <v>539</v>
      </c>
      <c r="BV204" t="s">
        <v>86</v>
      </c>
      <c r="BY204">
        <v>8299.2000000000007</v>
      </c>
      <c r="CA204" t="s">
        <v>540</v>
      </c>
      <c r="CC204" t="s">
        <v>91</v>
      </c>
      <c r="CD204">
        <v>7530</v>
      </c>
      <c r="CE204" t="s">
        <v>147</v>
      </c>
      <c r="CF204" s="3">
        <v>43775</v>
      </c>
      <c r="CI204">
        <v>1</v>
      </c>
      <c r="CJ204">
        <v>1</v>
      </c>
      <c r="CK204">
        <v>21</v>
      </c>
      <c r="CL204" t="s">
        <v>89</v>
      </c>
    </row>
    <row r="205" spans="1:90">
      <c r="A205" t="s">
        <v>72</v>
      </c>
      <c r="B205" t="s">
        <v>73</v>
      </c>
      <c r="C205" t="s">
        <v>74</v>
      </c>
      <c r="E205" t="str">
        <f>"FES1162721068"</f>
        <v>FES1162721068</v>
      </c>
      <c r="F205" s="3">
        <v>43773</v>
      </c>
      <c r="G205">
        <v>202005</v>
      </c>
      <c r="H205" t="s">
        <v>75</v>
      </c>
      <c r="I205" t="s">
        <v>76</v>
      </c>
      <c r="J205" t="s">
        <v>77</v>
      </c>
      <c r="K205" t="s">
        <v>78</v>
      </c>
      <c r="L205" t="s">
        <v>90</v>
      </c>
      <c r="M205" t="s">
        <v>91</v>
      </c>
      <c r="N205" t="s">
        <v>541</v>
      </c>
      <c r="O205" t="s">
        <v>82</v>
      </c>
      <c r="P205" t="str">
        <f>"2170715335                    "</f>
        <v xml:space="preserve">2170715335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8.7899999999999991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0.8</v>
      </c>
      <c r="BJ205">
        <v>1.5</v>
      </c>
      <c r="BK205">
        <v>1.5</v>
      </c>
      <c r="BL205" s="4">
        <v>50.66</v>
      </c>
      <c r="BM205" s="4">
        <v>7.6</v>
      </c>
      <c r="BN205" s="4">
        <v>58.26</v>
      </c>
      <c r="BO205" s="4">
        <v>58.26</v>
      </c>
      <c r="BQ205" t="s">
        <v>187</v>
      </c>
      <c r="BR205" t="s">
        <v>84</v>
      </c>
      <c r="BS205" s="3">
        <v>43774</v>
      </c>
      <c r="BT205" s="5">
        <v>0.3611111111111111</v>
      </c>
      <c r="BU205" t="s">
        <v>542</v>
      </c>
      <c r="BV205" t="s">
        <v>86</v>
      </c>
      <c r="BY205">
        <v>7625.28</v>
      </c>
      <c r="CA205" t="s">
        <v>123</v>
      </c>
      <c r="CC205" t="s">
        <v>91</v>
      </c>
      <c r="CD205">
        <v>7441</v>
      </c>
      <c r="CE205" t="s">
        <v>147</v>
      </c>
      <c r="CF205" s="3">
        <v>43775</v>
      </c>
      <c r="CI205">
        <v>1</v>
      </c>
      <c r="CJ205">
        <v>1</v>
      </c>
      <c r="CK205">
        <v>21</v>
      </c>
      <c r="CL205" t="s">
        <v>89</v>
      </c>
    </row>
    <row r="206" spans="1:90">
      <c r="A206" t="s">
        <v>72</v>
      </c>
      <c r="B206" t="s">
        <v>73</v>
      </c>
      <c r="C206" t="s">
        <v>74</v>
      </c>
      <c r="E206" t="str">
        <f>"FES1162721021"</f>
        <v>FES1162721021</v>
      </c>
      <c r="F206" s="3">
        <v>43773</v>
      </c>
      <c r="G206">
        <v>202005</v>
      </c>
      <c r="H206" t="s">
        <v>75</v>
      </c>
      <c r="I206" t="s">
        <v>76</v>
      </c>
      <c r="J206" t="s">
        <v>77</v>
      </c>
      <c r="K206" t="s">
        <v>78</v>
      </c>
      <c r="L206" t="s">
        <v>349</v>
      </c>
      <c r="M206" t="s">
        <v>350</v>
      </c>
      <c r="N206" t="s">
        <v>351</v>
      </c>
      <c r="O206" t="s">
        <v>82</v>
      </c>
      <c r="P206" t="str">
        <f>"2170715305                    "</f>
        <v xml:space="preserve">2170715305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8.7899999999999991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0.2</v>
      </c>
      <c r="BJ206">
        <v>1.4</v>
      </c>
      <c r="BK206">
        <v>1.5</v>
      </c>
      <c r="BL206" s="4">
        <v>50.66</v>
      </c>
      <c r="BM206" s="4">
        <v>7.6</v>
      </c>
      <c r="BN206" s="4">
        <v>58.26</v>
      </c>
      <c r="BO206" s="4">
        <v>58.26</v>
      </c>
      <c r="BQ206" t="s">
        <v>109</v>
      </c>
      <c r="BR206" t="s">
        <v>84</v>
      </c>
      <c r="BS206" s="3">
        <v>43774</v>
      </c>
      <c r="BT206" s="5">
        <v>0.41875000000000001</v>
      </c>
      <c r="BU206" t="s">
        <v>543</v>
      </c>
      <c r="BV206" t="s">
        <v>86</v>
      </c>
      <c r="BY206">
        <v>7132.5</v>
      </c>
      <c r="CC206" t="s">
        <v>350</v>
      </c>
      <c r="CD206">
        <v>6536</v>
      </c>
      <c r="CE206" t="s">
        <v>147</v>
      </c>
      <c r="CF206" s="3">
        <v>43776</v>
      </c>
      <c r="CI206">
        <v>1</v>
      </c>
      <c r="CJ206">
        <v>1</v>
      </c>
      <c r="CK206">
        <v>21</v>
      </c>
      <c r="CL206" t="s">
        <v>89</v>
      </c>
    </row>
    <row r="207" spans="1:90">
      <c r="A207" t="s">
        <v>72</v>
      </c>
      <c r="B207" t="s">
        <v>73</v>
      </c>
      <c r="C207" t="s">
        <v>74</v>
      </c>
      <c r="E207" t="str">
        <f>"FES1162720947"</f>
        <v>FES1162720947</v>
      </c>
      <c r="F207" s="3">
        <v>43773</v>
      </c>
      <c r="G207">
        <v>202005</v>
      </c>
      <c r="H207" t="s">
        <v>75</v>
      </c>
      <c r="I207" t="s">
        <v>76</v>
      </c>
      <c r="J207" t="s">
        <v>77</v>
      </c>
      <c r="K207" t="s">
        <v>78</v>
      </c>
      <c r="L207" t="s">
        <v>482</v>
      </c>
      <c r="M207" t="s">
        <v>483</v>
      </c>
      <c r="N207" t="s">
        <v>544</v>
      </c>
      <c r="O207" t="s">
        <v>82</v>
      </c>
      <c r="P207" t="str">
        <f>"2170714951                    "</f>
        <v xml:space="preserve">2170714951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6.87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0.2</v>
      </c>
      <c r="BJ207">
        <v>0.4</v>
      </c>
      <c r="BK207">
        <v>0.5</v>
      </c>
      <c r="BL207" s="4">
        <v>39.58</v>
      </c>
      <c r="BM207" s="4">
        <v>5.94</v>
      </c>
      <c r="BN207" s="4">
        <v>45.52</v>
      </c>
      <c r="BO207" s="4">
        <v>45.52</v>
      </c>
      <c r="BQ207" t="s">
        <v>545</v>
      </c>
      <c r="BR207" t="s">
        <v>84</v>
      </c>
      <c r="BS207" s="3">
        <v>43774</v>
      </c>
      <c r="BT207" s="5">
        <v>0.4236111111111111</v>
      </c>
      <c r="BU207" t="s">
        <v>231</v>
      </c>
      <c r="BV207" t="s">
        <v>86</v>
      </c>
      <c r="BY207">
        <v>2113.02</v>
      </c>
      <c r="CC207" t="s">
        <v>483</v>
      </c>
      <c r="CD207">
        <v>1459</v>
      </c>
      <c r="CE207" t="s">
        <v>147</v>
      </c>
      <c r="CF207" s="3">
        <v>43775</v>
      </c>
      <c r="CI207">
        <v>1</v>
      </c>
      <c r="CJ207">
        <v>1</v>
      </c>
      <c r="CK207">
        <v>22</v>
      </c>
      <c r="CL207" t="s">
        <v>89</v>
      </c>
    </row>
    <row r="208" spans="1:90">
      <c r="A208" t="s">
        <v>72</v>
      </c>
      <c r="B208" t="s">
        <v>73</v>
      </c>
      <c r="C208" t="s">
        <v>74</v>
      </c>
      <c r="E208" t="str">
        <f>"FES116221003"</f>
        <v>FES116221003</v>
      </c>
      <c r="F208" s="3">
        <v>43773</v>
      </c>
      <c r="G208">
        <v>202005</v>
      </c>
      <c r="H208" t="s">
        <v>75</v>
      </c>
      <c r="I208" t="s">
        <v>76</v>
      </c>
      <c r="J208" t="s">
        <v>77</v>
      </c>
      <c r="K208" t="s">
        <v>78</v>
      </c>
      <c r="L208" t="s">
        <v>546</v>
      </c>
      <c r="M208" t="s">
        <v>547</v>
      </c>
      <c r="N208" t="s">
        <v>548</v>
      </c>
      <c r="O208" t="s">
        <v>82</v>
      </c>
      <c r="P208" t="str">
        <f>"2170715281                    "</f>
        <v xml:space="preserve">2170715281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11.81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5</v>
      </c>
      <c r="BJ208">
        <v>3.5</v>
      </c>
      <c r="BK208">
        <v>5</v>
      </c>
      <c r="BL208" s="4">
        <v>68.040000000000006</v>
      </c>
      <c r="BM208" s="4">
        <v>10.210000000000001</v>
      </c>
      <c r="BN208" s="4">
        <v>78.25</v>
      </c>
      <c r="BO208" s="4">
        <v>78.25</v>
      </c>
      <c r="BQ208" t="s">
        <v>109</v>
      </c>
      <c r="BR208" t="s">
        <v>84</v>
      </c>
      <c r="BS208" s="3">
        <v>43774</v>
      </c>
      <c r="BT208" s="5">
        <v>0.34722222222222227</v>
      </c>
      <c r="BU208" t="s">
        <v>549</v>
      </c>
      <c r="BV208" t="s">
        <v>86</v>
      </c>
      <c r="BY208">
        <v>17500.86</v>
      </c>
      <c r="CA208" t="s">
        <v>123</v>
      </c>
      <c r="CC208" t="s">
        <v>547</v>
      </c>
      <c r="CD208">
        <v>1724</v>
      </c>
      <c r="CE208" t="s">
        <v>88</v>
      </c>
      <c r="CI208">
        <v>1</v>
      </c>
      <c r="CJ208">
        <v>1</v>
      </c>
      <c r="CK208">
        <v>22</v>
      </c>
      <c r="CL208" t="s">
        <v>89</v>
      </c>
    </row>
    <row r="209" spans="1:90">
      <c r="A209" t="s">
        <v>72</v>
      </c>
      <c r="B209" t="s">
        <v>73</v>
      </c>
      <c r="C209" t="s">
        <v>74</v>
      </c>
      <c r="E209" t="str">
        <f>"FES1162721004"</f>
        <v>FES1162721004</v>
      </c>
      <c r="F209" s="3">
        <v>43773</v>
      </c>
      <c r="G209">
        <v>202005</v>
      </c>
      <c r="H209" t="s">
        <v>75</v>
      </c>
      <c r="I209" t="s">
        <v>76</v>
      </c>
      <c r="J209" t="s">
        <v>77</v>
      </c>
      <c r="K209" t="s">
        <v>78</v>
      </c>
      <c r="L209" t="s">
        <v>344</v>
      </c>
      <c r="M209" t="s">
        <v>345</v>
      </c>
      <c r="N209" t="s">
        <v>550</v>
      </c>
      <c r="O209" t="s">
        <v>82</v>
      </c>
      <c r="P209" t="str">
        <f>"2170715282                    "</f>
        <v xml:space="preserve">2170715282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10.16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3.8</v>
      </c>
      <c r="BJ209">
        <v>2.9</v>
      </c>
      <c r="BK209">
        <v>4</v>
      </c>
      <c r="BL209" s="4">
        <v>58.55</v>
      </c>
      <c r="BM209" s="4">
        <v>8.7799999999999994</v>
      </c>
      <c r="BN209" s="4">
        <v>67.33</v>
      </c>
      <c r="BO209" s="4">
        <v>67.33</v>
      </c>
      <c r="BQ209" t="s">
        <v>109</v>
      </c>
      <c r="BR209" t="s">
        <v>84</v>
      </c>
      <c r="BS209" s="3">
        <v>43774</v>
      </c>
      <c r="BT209" s="5">
        <v>0.33333333333333331</v>
      </c>
      <c r="BU209" t="s">
        <v>551</v>
      </c>
      <c r="BV209" t="s">
        <v>86</v>
      </c>
      <c r="BY209">
        <v>14404.24</v>
      </c>
      <c r="CC209" t="s">
        <v>345</v>
      </c>
      <c r="CD209">
        <v>2163</v>
      </c>
      <c r="CE209" t="s">
        <v>88</v>
      </c>
      <c r="CF209" s="3">
        <v>43775</v>
      </c>
      <c r="CI209">
        <v>1</v>
      </c>
      <c r="CJ209">
        <v>1</v>
      </c>
      <c r="CK209">
        <v>22</v>
      </c>
      <c r="CL209" t="s">
        <v>89</v>
      </c>
    </row>
    <row r="210" spans="1:90">
      <c r="A210" t="s">
        <v>72</v>
      </c>
      <c r="B210" t="s">
        <v>73</v>
      </c>
      <c r="C210" t="s">
        <v>74</v>
      </c>
      <c r="E210" t="str">
        <f>"FES1162720929"</f>
        <v>FES1162720929</v>
      </c>
      <c r="F210" s="3">
        <v>43773</v>
      </c>
      <c r="G210">
        <v>202005</v>
      </c>
      <c r="H210" t="s">
        <v>75</v>
      </c>
      <c r="I210" t="s">
        <v>76</v>
      </c>
      <c r="J210" t="s">
        <v>77</v>
      </c>
      <c r="K210" t="s">
        <v>78</v>
      </c>
      <c r="L210" t="s">
        <v>101</v>
      </c>
      <c r="M210" t="s">
        <v>102</v>
      </c>
      <c r="N210" t="s">
        <v>410</v>
      </c>
      <c r="O210" t="s">
        <v>82</v>
      </c>
      <c r="P210" t="str">
        <f>"2170714803                    "</f>
        <v xml:space="preserve">2170714803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10.99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2.2999999999999998</v>
      </c>
      <c r="BJ210">
        <v>1.4</v>
      </c>
      <c r="BK210">
        <v>2.5</v>
      </c>
      <c r="BL210" s="4">
        <v>63.32</v>
      </c>
      <c r="BM210" s="4">
        <v>9.5</v>
      </c>
      <c r="BN210" s="4">
        <v>72.819999999999993</v>
      </c>
      <c r="BO210" s="4">
        <v>72.819999999999993</v>
      </c>
      <c r="BQ210" t="s">
        <v>109</v>
      </c>
      <c r="BR210" t="s">
        <v>84</v>
      </c>
      <c r="BS210" s="3">
        <v>43774</v>
      </c>
      <c r="BT210" s="5">
        <v>0.32291666666666669</v>
      </c>
      <c r="BU210" t="s">
        <v>411</v>
      </c>
      <c r="BV210" t="s">
        <v>86</v>
      </c>
      <c r="BY210">
        <v>7171.89</v>
      </c>
      <c r="CA210" t="s">
        <v>359</v>
      </c>
      <c r="CC210" t="s">
        <v>102</v>
      </c>
      <c r="CD210">
        <v>184</v>
      </c>
      <c r="CE210" t="s">
        <v>88</v>
      </c>
      <c r="CF210" s="3">
        <v>43775</v>
      </c>
      <c r="CI210">
        <v>1</v>
      </c>
      <c r="CJ210">
        <v>1</v>
      </c>
      <c r="CK210">
        <v>21</v>
      </c>
      <c r="CL210" t="s">
        <v>89</v>
      </c>
    </row>
    <row r="211" spans="1:90">
      <c r="A211" t="s">
        <v>72</v>
      </c>
      <c r="B211" t="s">
        <v>73</v>
      </c>
      <c r="C211" t="s">
        <v>74</v>
      </c>
      <c r="E211" t="str">
        <f>"FES1162720944"</f>
        <v>FES1162720944</v>
      </c>
      <c r="F211" s="3">
        <v>43773</v>
      </c>
      <c r="G211">
        <v>202005</v>
      </c>
      <c r="H211" t="s">
        <v>75</v>
      </c>
      <c r="I211" t="s">
        <v>76</v>
      </c>
      <c r="J211" t="s">
        <v>77</v>
      </c>
      <c r="K211" t="s">
        <v>78</v>
      </c>
      <c r="L211" t="s">
        <v>552</v>
      </c>
      <c r="M211" t="s">
        <v>553</v>
      </c>
      <c r="N211" t="s">
        <v>554</v>
      </c>
      <c r="O211" t="s">
        <v>82</v>
      </c>
      <c r="P211" t="str">
        <f>"2170714922                    "</f>
        <v xml:space="preserve">2170714922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20.04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9.9</v>
      </c>
      <c r="BJ211">
        <v>3</v>
      </c>
      <c r="BK211">
        <v>10</v>
      </c>
      <c r="BL211" s="4">
        <v>115.47</v>
      </c>
      <c r="BM211" s="4">
        <v>17.32</v>
      </c>
      <c r="BN211" s="4">
        <v>132.79</v>
      </c>
      <c r="BO211" s="4">
        <v>132.79</v>
      </c>
      <c r="BQ211" t="s">
        <v>121</v>
      </c>
      <c r="BR211" t="s">
        <v>84</v>
      </c>
      <c r="BS211" s="3">
        <v>43774</v>
      </c>
      <c r="BT211" s="5">
        <v>0.3263888888888889</v>
      </c>
      <c r="BU211" t="s">
        <v>555</v>
      </c>
      <c r="BV211" t="s">
        <v>86</v>
      </c>
      <c r="BY211">
        <v>15169.45</v>
      </c>
      <c r="CA211" t="s">
        <v>556</v>
      </c>
      <c r="CC211" t="s">
        <v>553</v>
      </c>
      <c r="CD211">
        <v>1540</v>
      </c>
      <c r="CE211" t="s">
        <v>88</v>
      </c>
      <c r="CF211" s="3">
        <v>43775</v>
      </c>
      <c r="CI211">
        <v>1</v>
      </c>
      <c r="CJ211">
        <v>1</v>
      </c>
      <c r="CK211">
        <v>22</v>
      </c>
      <c r="CL211" t="s">
        <v>89</v>
      </c>
    </row>
    <row r="212" spans="1:90">
      <c r="A212" t="s">
        <v>72</v>
      </c>
      <c r="B212" t="s">
        <v>73</v>
      </c>
      <c r="C212" t="s">
        <v>74</v>
      </c>
      <c r="E212" t="str">
        <f>"FES1162720939"</f>
        <v>FES1162720939</v>
      </c>
      <c r="F212" s="3">
        <v>43773</v>
      </c>
      <c r="G212">
        <v>202005</v>
      </c>
      <c r="H212" t="s">
        <v>75</v>
      </c>
      <c r="I212" t="s">
        <v>76</v>
      </c>
      <c r="J212" t="s">
        <v>77</v>
      </c>
      <c r="K212" t="s">
        <v>78</v>
      </c>
      <c r="L212" t="s">
        <v>95</v>
      </c>
      <c r="M212" t="s">
        <v>96</v>
      </c>
      <c r="N212" t="s">
        <v>557</v>
      </c>
      <c r="O212" t="s">
        <v>82</v>
      </c>
      <c r="P212" t="str">
        <f>"2170714821                    "</f>
        <v xml:space="preserve">2170714821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20.86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10.3</v>
      </c>
      <c r="BJ212">
        <v>3.3</v>
      </c>
      <c r="BK212">
        <v>10.5</v>
      </c>
      <c r="BL212" s="4">
        <v>120.21</v>
      </c>
      <c r="BM212" s="4">
        <v>18.03</v>
      </c>
      <c r="BN212" s="4">
        <v>138.24</v>
      </c>
      <c r="BO212" s="4">
        <v>138.24</v>
      </c>
      <c r="BQ212" t="s">
        <v>121</v>
      </c>
      <c r="BR212" t="s">
        <v>84</v>
      </c>
      <c r="BS212" s="3">
        <v>43774</v>
      </c>
      <c r="BT212" s="5">
        <v>0.3576388888888889</v>
      </c>
      <c r="BU212" t="s">
        <v>378</v>
      </c>
      <c r="BV212" t="s">
        <v>86</v>
      </c>
      <c r="BY212">
        <v>16593.12</v>
      </c>
      <c r="CC212" t="s">
        <v>96</v>
      </c>
      <c r="CD212">
        <v>1451</v>
      </c>
      <c r="CE212" t="s">
        <v>88</v>
      </c>
      <c r="CF212" s="3">
        <v>43775</v>
      </c>
      <c r="CI212">
        <v>1</v>
      </c>
      <c r="CJ212">
        <v>1</v>
      </c>
      <c r="CK212">
        <v>22</v>
      </c>
      <c r="CL212" t="s">
        <v>89</v>
      </c>
    </row>
    <row r="213" spans="1:90">
      <c r="A213" t="s">
        <v>72</v>
      </c>
      <c r="B213" t="s">
        <v>73</v>
      </c>
      <c r="C213" t="s">
        <v>74</v>
      </c>
      <c r="E213" t="str">
        <f>"FES1162721041"</f>
        <v>FES1162721041</v>
      </c>
      <c r="F213" s="3">
        <v>43773</v>
      </c>
      <c r="G213">
        <v>202005</v>
      </c>
      <c r="H213" t="s">
        <v>75</v>
      </c>
      <c r="I213" t="s">
        <v>76</v>
      </c>
      <c r="J213" t="s">
        <v>77</v>
      </c>
      <c r="K213" t="s">
        <v>78</v>
      </c>
      <c r="L213" t="s">
        <v>192</v>
      </c>
      <c r="M213" t="s">
        <v>193</v>
      </c>
      <c r="N213" t="s">
        <v>558</v>
      </c>
      <c r="O213" t="s">
        <v>82</v>
      </c>
      <c r="P213" t="str">
        <f>"2170709967                    "</f>
        <v xml:space="preserve">2170709967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51.66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3.4</v>
      </c>
      <c r="BJ213">
        <v>6.1</v>
      </c>
      <c r="BK213">
        <v>6.5</v>
      </c>
      <c r="BL213" s="4">
        <v>297.66000000000003</v>
      </c>
      <c r="BM213" s="4">
        <v>44.65</v>
      </c>
      <c r="BN213" s="4">
        <v>342.31</v>
      </c>
      <c r="BO213" s="4">
        <v>342.31</v>
      </c>
      <c r="BQ213" t="s">
        <v>121</v>
      </c>
      <c r="BR213" t="s">
        <v>84</v>
      </c>
      <c r="BS213" s="3">
        <v>43774</v>
      </c>
      <c r="BT213" s="5">
        <v>0.41666666666666669</v>
      </c>
      <c r="BU213" t="s">
        <v>559</v>
      </c>
      <c r="BV213" t="s">
        <v>86</v>
      </c>
      <c r="BY213">
        <v>30714.69</v>
      </c>
      <c r="CA213" t="s">
        <v>123</v>
      </c>
      <c r="CC213" t="s">
        <v>193</v>
      </c>
      <c r="CD213">
        <v>7130</v>
      </c>
      <c r="CE213" t="s">
        <v>88</v>
      </c>
      <c r="CF213" s="3">
        <v>43775</v>
      </c>
      <c r="CI213">
        <v>1</v>
      </c>
      <c r="CJ213">
        <v>1</v>
      </c>
      <c r="CK213">
        <v>23</v>
      </c>
      <c r="CL213" t="s">
        <v>89</v>
      </c>
    </row>
    <row r="214" spans="1:90">
      <c r="A214" t="s">
        <v>72</v>
      </c>
      <c r="B214" t="s">
        <v>73</v>
      </c>
      <c r="C214" t="s">
        <v>74</v>
      </c>
      <c r="E214" t="str">
        <f>"FES1162720909"</f>
        <v>FES1162720909</v>
      </c>
      <c r="F214" s="3">
        <v>43773</v>
      </c>
      <c r="G214">
        <v>202005</v>
      </c>
      <c r="H214" t="s">
        <v>75</v>
      </c>
      <c r="I214" t="s">
        <v>76</v>
      </c>
      <c r="J214" t="s">
        <v>77</v>
      </c>
      <c r="K214" t="s">
        <v>78</v>
      </c>
      <c r="L214" t="s">
        <v>202</v>
      </c>
      <c r="M214" t="s">
        <v>203</v>
      </c>
      <c r="N214" t="s">
        <v>479</v>
      </c>
      <c r="O214" t="s">
        <v>82</v>
      </c>
      <c r="P214" t="str">
        <f>"21707145414                   "</f>
        <v xml:space="preserve">21707145414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6.87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0.2</v>
      </c>
      <c r="BJ214">
        <v>0.7</v>
      </c>
      <c r="BK214">
        <v>1</v>
      </c>
      <c r="BL214" s="4">
        <v>39.58</v>
      </c>
      <c r="BM214" s="4">
        <v>5.94</v>
      </c>
      <c r="BN214" s="4">
        <v>45.52</v>
      </c>
      <c r="BO214" s="4">
        <v>45.52</v>
      </c>
      <c r="BQ214" t="s">
        <v>142</v>
      </c>
      <c r="BR214" t="s">
        <v>84</v>
      </c>
      <c r="BS214" s="3">
        <v>43774</v>
      </c>
      <c r="BT214" s="5">
        <v>0.42083333333333334</v>
      </c>
      <c r="BU214" t="s">
        <v>480</v>
      </c>
      <c r="BV214" t="s">
        <v>86</v>
      </c>
      <c r="BY214">
        <v>3500.25</v>
      </c>
      <c r="CA214" t="s">
        <v>123</v>
      </c>
      <c r="CC214" t="s">
        <v>203</v>
      </c>
      <c r="CD214">
        <v>1401</v>
      </c>
      <c r="CE214" t="s">
        <v>147</v>
      </c>
      <c r="CF214" s="3">
        <v>43775</v>
      </c>
      <c r="CI214">
        <v>1</v>
      </c>
      <c r="CJ214">
        <v>1</v>
      </c>
      <c r="CK214">
        <v>22</v>
      </c>
      <c r="CL214" t="s">
        <v>89</v>
      </c>
    </row>
    <row r="215" spans="1:90">
      <c r="A215" t="s">
        <v>72</v>
      </c>
      <c r="B215" t="s">
        <v>73</v>
      </c>
      <c r="C215" t="s">
        <v>74</v>
      </c>
      <c r="E215" t="str">
        <f>"FES1162721045"</f>
        <v>FES1162721045</v>
      </c>
      <c r="F215" s="3">
        <v>43773</v>
      </c>
      <c r="G215">
        <v>202005</v>
      </c>
      <c r="H215" t="s">
        <v>75</v>
      </c>
      <c r="I215" t="s">
        <v>76</v>
      </c>
      <c r="J215" t="s">
        <v>77</v>
      </c>
      <c r="K215" t="s">
        <v>78</v>
      </c>
      <c r="L215" t="s">
        <v>214</v>
      </c>
      <c r="M215" t="s">
        <v>214</v>
      </c>
      <c r="N215" t="s">
        <v>314</v>
      </c>
      <c r="O215" t="s">
        <v>82</v>
      </c>
      <c r="P215" t="str">
        <f>"2170711308                    "</f>
        <v xml:space="preserve">2170711308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59.35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7.3</v>
      </c>
      <c r="BJ215">
        <v>2.6</v>
      </c>
      <c r="BK215">
        <v>7.5</v>
      </c>
      <c r="BL215" s="4">
        <v>341.99</v>
      </c>
      <c r="BM215" s="4">
        <v>51.3</v>
      </c>
      <c r="BN215" s="4">
        <v>393.29</v>
      </c>
      <c r="BO215" s="4">
        <v>393.29</v>
      </c>
      <c r="BQ215" t="s">
        <v>109</v>
      </c>
      <c r="BR215" t="s">
        <v>84</v>
      </c>
      <c r="BS215" s="3">
        <v>43774</v>
      </c>
      <c r="BT215" s="5">
        <v>0.47361111111111115</v>
      </c>
      <c r="BU215" t="s">
        <v>315</v>
      </c>
      <c r="BV215" t="s">
        <v>86</v>
      </c>
      <c r="BY215">
        <v>13218.77</v>
      </c>
      <c r="CA215" t="s">
        <v>217</v>
      </c>
      <c r="CC215" t="s">
        <v>214</v>
      </c>
      <c r="CD215">
        <v>7646</v>
      </c>
      <c r="CE215" t="s">
        <v>88</v>
      </c>
      <c r="CF215" s="3">
        <v>43775</v>
      </c>
      <c r="CI215">
        <v>1</v>
      </c>
      <c r="CJ215">
        <v>1</v>
      </c>
      <c r="CK215">
        <v>23</v>
      </c>
      <c r="CL215" t="s">
        <v>89</v>
      </c>
    </row>
    <row r="216" spans="1:90">
      <c r="A216" t="s">
        <v>72</v>
      </c>
      <c r="B216" t="s">
        <v>73</v>
      </c>
      <c r="C216" t="s">
        <v>74</v>
      </c>
      <c r="E216" t="str">
        <f>"FES1162720937"</f>
        <v>FES1162720937</v>
      </c>
      <c r="F216" s="3">
        <v>43773</v>
      </c>
      <c r="G216">
        <v>202005</v>
      </c>
      <c r="H216" t="s">
        <v>75</v>
      </c>
      <c r="I216" t="s">
        <v>76</v>
      </c>
      <c r="J216" t="s">
        <v>77</v>
      </c>
      <c r="K216" t="s">
        <v>78</v>
      </c>
      <c r="L216" t="s">
        <v>101</v>
      </c>
      <c r="M216" t="s">
        <v>102</v>
      </c>
      <c r="N216" t="s">
        <v>410</v>
      </c>
      <c r="O216" t="s">
        <v>82</v>
      </c>
      <c r="P216" t="str">
        <f>"2170714817                    "</f>
        <v xml:space="preserve">2170714817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8.7899999999999991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0.5</v>
      </c>
      <c r="BJ216">
        <v>1</v>
      </c>
      <c r="BK216">
        <v>1</v>
      </c>
      <c r="BL216" s="4">
        <v>50.66</v>
      </c>
      <c r="BM216" s="4">
        <v>7.6</v>
      </c>
      <c r="BN216" s="4">
        <v>58.26</v>
      </c>
      <c r="BO216" s="4">
        <v>58.26</v>
      </c>
      <c r="BQ216" t="s">
        <v>109</v>
      </c>
      <c r="BR216" t="s">
        <v>84</v>
      </c>
      <c r="BS216" s="3">
        <v>43774</v>
      </c>
      <c r="BT216" s="5">
        <v>0.32291666666666669</v>
      </c>
      <c r="BU216" t="s">
        <v>411</v>
      </c>
      <c r="BV216" t="s">
        <v>86</v>
      </c>
      <c r="BY216">
        <v>4920.62</v>
      </c>
      <c r="CA216" t="s">
        <v>359</v>
      </c>
      <c r="CC216" t="s">
        <v>102</v>
      </c>
      <c r="CD216">
        <v>184</v>
      </c>
      <c r="CE216" t="s">
        <v>147</v>
      </c>
      <c r="CF216" s="3">
        <v>43775</v>
      </c>
      <c r="CI216">
        <v>1</v>
      </c>
      <c r="CJ216">
        <v>1</v>
      </c>
      <c r="CK216">
        <v>21</v>
      </c>
      <c r="CL216" t="s">
        <v>89</v>
      </c>
    </row>
    <row r="217" spans="1:90">
      <c r="A217" t="s">
        <v>72</v>
      </c>
      <c r="B217" t="s">
        <v>73</v>
      </c>
      <c r="C217" t="s">
        <v>74</v>
      </c>
      <c r="E217" t="str">
        <f>"FES1162720876"</f>
        <v>FES1162720876</v>
      </c>
      <c r="F217" s="3">
        <v>43773</v>
      </c>
      <c r="G217">
        <v>202005</v>
      </c>
      <c r="H217" t="s">
        <v>75</v>
      </c>
      <c r="I217" t="s">
        <v>76</v>
      </c>
      <c r="J217" t="s">
        <v>77</v>
      </c>
      <c r="K217" t="s">
        <v>78</v>
      </c>
      <c r="L217" t="s">
        <v>339</v>
      </c>
      <c r="M217" t="s">
        <v>340</v>
      </c>
      <c r="N217" t="s">
        <v>560</v>
      </c>
      <c r="O217" t="s">
        <v>82</v>
      </c>
      <c r="P217" t="str">
        <f>"2170712988                    "</f>
        <v xml:space="preserve">2170712988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8.7899999999999991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0.7</v>
      </c>
      <c r="BJ217">
        <v>2</v>
      </c>
      <c r="BK217">
        <v>2</v>
      </c>
      <c r="BL217" s="4">
        <v>50.66</v>
      </c>
      <c r="BM217" s="4">
        <v>7.6</v>
      </c>
      <c r="BN217" s="4">
        <v>58.26</v>
      </c>
      <c r="BO217" s="4">
        <v>58.26</v>
      </c>
      <c r="BQ217" t="s">
        <v>121</v>
      </c>
      <c r="BR217" t="s">
        <v>84</v>
      </c>
      <c r="BS217" s="3">
        <v>43774</v>
      </c>
      <c r="BT217" s="5">
        <v>0.34722222222222227</v>
      </c>
      <c r="BU217" t="s">
        <v>561</v>
      </c>
      <c r="BV217" t="s">
        <v>86</v>
      </c>
      <c r="BY217">
        <v>9820.65</v>
      </c>
      <c r="CA217" t="s">
        <v>562</v>
      </c>
      <c r="CC217" t="s">
        <v>340</v>
      </c>
      <c r="CD217">
        <v>157</v>
      </c>
      <c r="CE217" t="s">
        <v>147</v>
      </c>
      <c r="CF217" s="3">
        <v>43777</v>
      </c>
      <c r="CI217">
        <v>1</v>
      </c>
      <c r="CJ217">
        <v>1</v>
      </c>
      <c r="CK217">
        <v>21</v>
      </c>
      <c r="CL217" t="s">
        <v>89</v>
      </c>
    </row>
    <row r="218" spans="1:90">
      <c r="A218" t="s">
        <v>72</v>
      </c>
      <c r="B218" t="s">
        <v>73</v>
      </c>
      <c r="C218" t="s">
        <v>74</v>
      </c>
      <c r="E218" t="str">
        <f>"FES1162721029"</f>
        <v>FES1162721029</v>
      </c>
      <c r="F218" s="3">
        <v>43773</v>
      </c>
      <c r="G218">
        <v>202005</v>
      </c>
      <c r="H218" t="s">
        <v>75</v>
      </c>
      <c r="I218" t="s">
        <v>76</v>
      </c>
      <c r="J218" t="s">
        <v>77</v>
      </c>
      <c r="K218" t="s">
        <v>78</v>
      </c>
      <c r="L218" t="s">
        <v>106</v>
      </c>
      <c r="M218" t="s">
        <v>107</v>
      </c>
      <c r="N218" t="s">
        <v>395</v>
      </c>
      <c r="O218" t="s">
        <v>82</v>
      </c>
      <c r="P218" t="str">
        <f>"2170715313                    "</f>
        <v xml:space="preserve">2170715313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8.7899999999999991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1.5</v>
      </c>
      <c r="BK218">
        <v>1.5</v>
      </c>
      <c r="BL218" s="4">
        <v>50.66</v>
      </c>
      <c r="BM218" s="4">
        <v>7.6</v>
      </c>
      <c r="BN218" s="4">
        <v>58.26</v>
      </c>
      <c r="BO218" s="4">
        <v>58.26</v>
      </c>
      <c r="BQ218" t="s">
        <v>121</v>
      </c>
      <c r="BR218" t="s">
        <v>84</v>
      </c>
      <c r="BS218" s="3">
        <v>43774</v>
      </c>
      <c r="BT218" s="5">
        <v>0.38472222222222219</v>
      </c>
      <c r="BU218" t="s">
        <v>563</v>
      </c>
      <c r="BV218" t="s">
        <v>86</v>
      </c>
      <c r="BY218">
        <v>7284.06</v>
      </c>
      <c r="CA218" t="s">
        <v>244</v>
      </c>
      <c r="CC218" t="s">
        <v>107</v>
      </c>
      <c r="CD218">
        <v>6001</v>
      </c>
      <c r="CE218" t="s">
        <v>147</v>
      </c>
      <c r="CF218" s="3">
        <v>43775</v>
      </c>
      <c r="CI218">
        <v>1</v>
      </c>
      <c r="CJ218">
        <v>1</v>
      </c>
      <c r="CK218">
        <v>21</v>
      </c>
      <c r="CL218" t="s">
        <v>89</v>
      </c>
    </row>
    <row r="219" spans="1:90">
      <c r="A219" t="s">
        <v>72</v>
      </c>
      <c r="B219" t="s">
        <v>73</v>
      </c>
      <c r="C219" t="s">
        <v>74</v>
      </c>
      <c r="E219" t="str">
        <f>"FES1162721034"</f>
        <v>FES1162721034</v>
      </c>
      <c r="F219" s="3">
        <v>43773</v>
      </c>
      <c r="G219">
        <v>202005</v>
      </c>
      <c r="H219" t="s">
        <v>75</v>
      </c>
      <c r="I219" t="s">
        <v>76</v>
      </c>
      <c r="J219" t="s">
        <v>77</v>
      </c>
      <c r="K219" t="s">
        <v>78</v>
      </c>
      <c r="L219" t="s">
        <v>90</v>
      </c>
      <c r="M219" t="s">
        <v>91</v>
      </c>
      <c r="N219" t="s">
        <v>401</v>
      </c>
      <c r="O219" t="s">
        <v>82</v>
      </c>
      <c r="P219" t="str">
        <f>"2170715318                    "</f>
        <v xml:space="preserve">2170715318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8.7899999999999991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0.7</v>
      </c>
      <c r="BJ219">
        <v>1</v>
      </c>
      <c r="BK219">
        <v>1</v>
      </c>
      <c r="BL219" s="4">
        <v>50.66</v>
      </c>
      <c r="BM219" s="4">
        <v>7.6</v>
      </c>
      <c r="BN219" s="4">
        <v>58.26</v>
      </c>
      <c r="BO219" s="4">
        <v>58.26</v>
      </c>
      <c r="BQ219" t="s">
        <v>109</v>
      </c>
      <c r="BR219" t="s">
        <v>84</v>
      </c>
      <c r="BS219" s="3">
        <v>43774</v>
      </c>
      <c r="BT219" s="5">
        <v>0.3756944444444445</v>
      </c>
      <c r="BU219" t="s">
        <v>402</v>
      </c>
      <c r="BV219" t="s">
        <v>86</v>
      </c>
      <c r="BY219">
        <v>5038.8</v>
      </c>
      <c r="CA219" t="s">
        <v>221</v>
      </c>
      <c r="CC219" t="s">
        <v>91</v>
      </c>
      <c r="CD219">
        <v>7441</v>
      </c>
      <c r="CE219" t="s">
        <v>88</v>
      </c>
      <c r="CF219" s="3">
        <v>43775</v>
      </c>
      <c r="CI219">
        <v>1</v>
      </c>
      <c r="CJ219">
        <v>1</v>
      </c>
      <c r="CK219">
        <v>21</v>
      </c>
      <c r="CL219" t="s">
        <v>89</v>
      </c>
    </row>
    <row r="220" spans="1:90">
      <c r="A220" t="s">
        <v>72</v>
      </c>
      <c r="B220" t="s">
        <v>73</v>
      </c>
      <c r="C220" t="s">
        <v>74</v>
      </c>
      <c r="E220" t="str">
        <f>"FES1162721046"</f>
        <v>FES1162721046</v>
      </c>
      <c r="F220" s="3">
        <v>43773</v>
      </c>
      <c r="G220">
        <v>202005</v>
      </c>
      <c r="H220" t="s">
        <v>75</v>
      </c>
      <c r="I220" t="s">
        <v>76</v>
      </c>
      <c r="J220" t="s">
        <v>77</v>
      </c>
      <c r="K220" t="s">
        <v>78</v>
      </c>
      <c r="L220" t="s">
        <v>192</v>
      </c>
      <c r="M220" t="s">
        <v>193</v>
      </c>
      <c r="N220" t="s">
        <v>194</v>
      </c>
      <c r="O220" t="s">
        <v>82</v>
      </c>
      <c r="P220" t="str">
        <f>"2170711612                    "</f>
        <v xml:space="preserve">2170711612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40.119999999999997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2</v>
      </c>
      <c r="BI220">
        <v>5</v>
      </c>
      <c r="BJ220">
        <v>3.4</v>
      </c>
      <c r="BK220">
        <v>5</v>
      </c>
      <c r="BL220" s="4">
        <v>231.16</v>
      </c>
      <c r="BM220" s="4">
        <v>34.67</v>
      </c>
      <c r="BN220" s="4">
        <v>265.83</v>
      </c>
      <c r="BO220" s="4">
        <v>265.83</v>
      </c>
      <c r="BQ220" t="s">
        <v>109</v>
      </c>
      <c r="BR220" t="s">
        <v>84</v>
      </c>
      <c r="BS220" s="3">
        <v>43774</v>
      </c>
      <c r="BT220" s="5">
        <v>0.41666666666666669</v>
      </c>
      <c r="BU220" t="s">
        <v>508</v>
      </c>
      <c r="BV220" t="s">
        <v>86</v>
      </c>
      <c r="BY220">
        <v>17131.310000000001</v>
      </c>
      <c r="CA220" t="s">
        <v>123</v>
      </c>
      <c r="CC220" t="s">
        <v>193</v>
      </c>
      <c r="CD220">
        <v>7130</v>
      </c>
      <c r="CE220" t="s">
        <v>88</v>
      </c>
      <c r="CF220" s="3">
        <v>43775</v>
      </c>
      <c r="CI220">
        <v>1</v>
      </c>
      <c r="CJ220">
        <v>1</v>
      </c>
      <c r="CK220">
        <v>23</v>
      </c>
      <c r="CL220" t="s">
        <v>89</v>
      </c>
    </row>
    <row r="221" spans="1:90">
      <c r="A221" t="s">
        <v>72</v>
      </c>
      <c r="B221" t="s">
        <v>73</v>
      </c>
      <c r="C221" t="s">
        <v>74</v>
      </c>
      <c r="E221" t="str">
        <f>"FES1162720873"</f>
        <v>FES1162720873</v>
      </c>
      <c r="F221" s="3">
        <v>43773</v>
      </c>
      <c r="G221">
        <v>202005</v>
      </c>
      <c r="H221" t="s">
        <v>75</v>
      </c>
      <c r="I221" t="s">
        <v>76</v>
      </c>
      <c r="J221" t="s">
        <v>77</v>
      </c>
      <c r="K221" t="s">
        <v>78</v>
      </c>
      <c r="L221" t="s">
        <v>106</v>
      </c>
      <c r="M221" t="s">
        <v>107</v>
      </c>
      <c r="N221" t="s">
        <v>489</v>
      </c>
      <c r="O221" t="s">
        <v>82</v>
      </c>
      <c r="P221" t="str">
        <f>"2170712817                    "</f>
        <v xml:space="preserve">2170712817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37.35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8</v>
      </c>
      <c r="BJ221">
        <v>8.3000000000000007</v>
      </c>
      <c r="BK221">
        <v>8.5</v>
      </c>
      <c r="BL221" s="4">
        <v>215.2</v>
      </c>
      <c r="BM221" s="4">
        <v>32.28</v>
      </c>
      <c r="BN221" s="4">
        <v>247.48</v>
      </c>
      <c r="BO221" s="4">
        <v>247.48</v>
      </c>
      <c r="BQ221" t="s">
        <v>121</v>
      </c>
      <c r="BR221" t="s">
        <v>84</v>
      </c>
      <c r="BS221" s="3">
        <v>43774</v>
      </c>
      <c r="BT221" s="5">
        <v>0.36805555555555558</v>
      </c>
      <c r="BU221" t="s">
        <v>564</v>
      </c>
      <c r="BV221" t="s">
        <v>86</v>
      </c>
      <c r="BY221">
        <v>41528.550000000003</v>
      </c>
      <c r="CA221" t="s">
        <v>491</v>
      </c>
      <c r="CC221" t="s">
        <v>107</v>
      </c>
      <c r="CD221">
        <v>6001</v>
      </c>
      <c r="CE221" t="s">
        <v>88</v>
      </c>
      <c r="CF221" s="3">
        <v>43775</v>
      </c>
      <c r="CI221">
        <v>1</v>
      </c>
      <c r="CJ221">
        <v>1</v>
      </c>
      <c r="CK221">
        <v>21</v>
      </c>
      <c r="CL221" t="s">
        <v>89</v>
      </c>
    </row>
    <row r="222" spans="1:90">
      <c r="A222" t="s">
        <v>72</v>
      </c>
      <c r="B222" t="s">
        <v>73</v>
      </c>
      <c r="C222" t="s">
        <v>74</v>
      </c>
      <c r="E222" t="str">
        <f>"FES1162721038"</f>
        <v>FES1162721038</v>
      </c>
      <c r="F222" s="3">
        <v>43773</v>
      </c>
      <c r="G222">
        <v>202005</v>
      </c>
      <c r="H222" t="s">
        <v>75</v>
      </c>
      <c r="I222" t="s">
        <v>76</v>
      </c>
      <c r="J222" t="s">
        <v>77</v>
      </c>
      <c r="K222" t="s">
        <v>78</v>
      </c>
      <c r="L222" t="s">
        <v>90</v>
      </c>
      <c r="M222" t="s">
        <v>91</v>
      </c>
      <c r="N222" t="s">
        <v>538</v>
      </c>
      <c r="O222" t="s">
        <v>82</v>
      </c>
      <c r="P222" t="str">
        <f>"217015323                     "</f>
        <v xml:space="preserve">217015323 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13.19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2.7</v>
      </c>
      <c r="BJ222">
        <v>1.2</v>
      </c>
      <c r="BK222">
        <v>3</v>
      </c>
      <c r="BL222" s="4">
        <v>75.98</v>
      </c>
      <c r="BM222" s="4">
        <v>11.4</v>
      </c>
      <c r="BN222" s="4">
        <v>87.38</v>
      </c>
      <c r="BO222" s="4">
        <v>87.38</v>
      </c>
      <c r="BQ222" t="s">
        <v>109</v>
      </c>
      <c r="BR222" t="s">
        <v>84</v>
      </c>
      <c r="BS222" s="3">
        <v>43774</v>
      </c>
      <c r="BT222" s="5">
        <v>0.3430555555555555</v>
      </c>
      <c r="BU222" t="s">
        <v>539</v>
      </c>
      <c r="BV222" t="s">
        <v>86</v>
      </c>
      <c r="BY222">
        <v>6228.04</v>
      </c>
      <c r="CA222" t="s">
        <v>540</v>
      </c>
      <c r="CC222" t="s">
        <v>91</v>
      </c>
      <c r="CD222">
        <v>7530</v>
      </c>
      <c r="CE222" t="s">
        <v>88</v>
      </c>
      <c r="CF222" s="3">
        <v>43775</v>
      </c>
      <c r="CI222">
        <v>1</v>
      </c>
      <c r="CJ222">
        <v>1</v>
      </c>
      <c r="CK222">
        <v>21</v>
      </c>
      <c r="CL222" t="s">
        <v>89</v>
      </c>
    </row>
    <row r="223" spans="1:90">
      <c r="A223" t="s">
        <v>72</v>
      </c>
      <c r="B223" t="s">
        <v>73</v>
      </c>
      <c r="C223" t="s">
        <v>74</v>
      </c>
      <c r="E223" t="str">
        <f>"FES1162721093"</f>
        <v>FES1162721093</v>
      </c>
      <c r="F223" s="3">
        <v>43773</v>
      </c>
      <c r="G223">
        <v>202005</v>
      </c>
      <c r="H223" t="s">
        <v>75</v>
      </c>
      <c r="I223" t="s">
        <v>76</v>
      </c>
      <c r="J223" t="s">
        <v>77</v>
      </c>
      <c r="K223" t="s">
        <v>78</v>
      </c>
      <c r="L223" t="s">
        <v>339</v>
      </c>
      <c r="M223" t="s">
        <v>340</v>
      </c>
      <c r="N223" t="s">
        <v>565</v>
      </c>
      <c r="O223" t="s">
        <v>82</v>
      </c>
      <c r="P223" t="str">
        <f>"2170715364                    "</f>
        <v xml:space="preserve">2170715364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8.7899999999999991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0.6</v>
      </c>
      <c r="BJ223">
        <v>0.9</v>
      </c>
      <c r="BK223">
        <v>1</v>
      </c>
      <c r="BL223" s="4">
        <v>50.66</v>
      </c>
      <c r="BM223" s="4">
        <v>7.6</v>
      </c>
      <c r="BN223" s="4">
        <v>58.26</v>
      </c>
      <c r="BO223" s="4">
        <v>58.26</v>
      </c>
      <c r="BR223" t="s">
        <v>84</v>
      </c>
      <c r="BS223" s="3">
        <v>43774</v>
      </c>
      <c r="BT223" s="5">
        <v>0.38541666666666669</v>
      </c>
      <c r="BU223" t="s">
        <v>342</v>
      </c>
      <c r="BV223" t="s">
        <v>86</v>
      </c>
      <c r="BY223">
        <v>4433.9399999999996</v>
      </c>
      <c r="CA223" t="s">
        <v>343</v>
      </c>
      <c r="CC223" t="s">
        <v>340</v>
      </c>
      <c r="CD223">
        <v>46</v>
      </c>
      <c r="CE223" t="s">
        <v>147</v>
      </c>
      <c r="CF223" s="3">
        <v>43777</v>
      </c>
      <c r="CI223">
        <v>1</v>
      </c>
      <c r="CJ223">
        <v>1</v>
      </c>
      <c r="CK223">
        <v>21</v>
      </c>
      <c r="CL223" t="s">
        <v>89</v>
      </c>
    </row>
    <row r="224" spans="1:90">
      <c r="A224" t="s">
        <v>72</v>
      </c>
      <c r="B224" t="s">
        <v>73</v>
      </c>
      <c r="C224" t="s">
        <v>74</v>
      </c>
      <c r="E224" t="str">
        <f>"FES1162721116"</f>
        <v>FES1162721116</v>
      </c>
      <c r="F224" s="3">
        <v>43773</v>
      </c>
      <c r="G224">
        <v>202005</v>
      </c>
      <c r="H224" t="s">
        <v>75</v>
      </c>
      <c r="I224" t="s">
        <v>76</v>
      </c>
      <c r="J224" t="s">
        <v>77</v>
      </c>
      <c r="K224" t="s">
        <v>78</v>
      </c>
      <c r="L224" t="s">
        <v>566</v>
      </c>
      <c r="M224" t="s">
        <v>567</v>
      </c>
      <c r="N224" t="s">
        <v>568</v>
      </c>
      <c r="O224" t="s">
        <v>82</v>
      </c>
      <c r="P224" t="str">
        <f>"2170715387                    "</f>
        <v xml:space="preserve">2170715387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12.36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0.2</v>
      </c>
      <c r="BJ224">
        <v>0.4</v>
      </c>
      <c r="BK224">
        <v>0.5</v>
      </c>
      <c r="BL224" s="4">
        <v>71.239999999999995</v>
      </c>
      <c r="BM224" s="4">
        <v>10.69</v>
      </c>
      <c r="BN224" s="4">
        <v>81.93</v>
      </c>
      <c r="BO224" s="4">
        <v>81.93</v>
      </c>
      <c r="BQ224" t="s">
        <v>121</v>
      </c>
      <c r="BR224" t="s">
        <v>84</v>
      </c>
      <c r="BS224" s="3">
        <v>43774</v>
      </c>
      <c r="BT224" s="5">
        <v>0.25</v>
      </c>
      <c r="BU224" t="s">
        <v>295</v>
      </c>
      <c r="BV224" t="s">
        <v>86</v>
      </c>
      <c r="BY224">
        <v>2098.62</v>
      </c>
      <c r="CC224" t="s">
        <v>567</v>
      </c>
      <c r="CD224">
        <v>2410</v>
      </c>
      <c r="CE224" t="s">
        <v>147</v>
      </c>
      <c r="CF224" s="3">
        <v>43775</v>
      </c>
      <c r="CI224">
        <v>1</v>
      </c>
      <c r="CJ224">
        <v>1</v>
      </c>
      <c r="CK224">
        <v>24</v>
      </c>
      <c r="CL224" t="s">
        <v>89</v>
      </c>
    </row>
    <row r="225" spans="1:90">
      <c r="A225" t="s">
        <v>72</v>
      </c>
      <c r="B225" t="s">
        <v>73</v>
      </c>
      <c r="C225" t="s">
        <v>74</v>
      </c>
      <c r="E225" t="str">
        <f>"FES1162721095"</f>
        <v>FES1162721095</v>
      </c>
      <c r="F225" s="3">
        <v>43773</v>
      </c>
      <c r="G225">
        <v>202005</v>
      </c>
      <c r="H225" t="s">
        <v>75</v>
      </c>
      <c r="I225" t="s">
        <v>76</v>
      </c>
      <c r="J225" t="s">
        <v>77</v>
      </c>
      <c r="K225" t="s">
        <v>78</v>
      </c>
      <c r="L225" t="s">
        <v>566</v>
      </c>
      <c r="M225" t="s">
        <v>567</v>
      </c>
      <c r="N225" t="s">
        <v>568</v>
      </c>
      <c r="O225" t="s">
        <v>82</v>
      </c>
      <c r="P225" t="str">
        <f>"2170715366                    "</f>
        <v xml:space="preserve">2170715366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12.36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0.2</v>
      </c>
      <c r="BJ225">
        <v>0.6</v>
      </c>
      <c r="BK225">
        <v>1</v>
      </c>
      <c r="BL225" s="4">
        <v>71.239999999999995</v>
      </c>
      <c r="BM225" s="4">
        <v>10.69</v>
      </c>
      <c r="BN225" s="4">
        <v>81.93</v>
      </c>
      <c r="BO225" s="4">
        <v>81.93</v>
      </c>
      <c r="BQ225" t="s">
        <v>121</v>
      </c>
      <c r="BR225" t="s">
        <v>84</v>
      </c>
      <c r="BS225" s="3">
        <v>43774</v>
      </c>
      <c r="BT225" s="5">
        <v>0.25</v>
      </c>
      <c r="BU225" t="s">
        <v>295</v>
      </c>
      <c r="BV225" t="s">
        <v>86</v>
      </c>
      <c r="BY225">
        <v>2827.44</v>
      </c>
      <c r="CC225" t="s">
        <v>567</v>
      </c>
      <c r="CD225">
        <v>2410</v>
      </c>
      <c r="CE225" t="s">
        <v>147</v>
      </c>
      <c r="CF225" s="3">
        <v>43775</v>
      </c>
      <c r="CI225">
        <v>1</v>
      </c>
      <c r="CJ225">
        <v>1</v>
      </c>
      <c r="CK225">
        <v>24</v>
      </c>
      <c r="CL225" t="s">
        <v>89</v>
      </c>
    </row>
    <row r="226" spans="1:90">
      <c r="A226" t="s">
        <v>72</v>
      </c>
      <c r="B226" t="s">
        <v>73</v>
      </c>
      <c r="C226" t="s">
        <v>74</v>
      </c>
      <c r="E226" t="str">
        <f>"FES1162721112"</f>
        <v>FES1162721112</v>
      </c>
      <c r="F226" s="3">
        <v>43773</v>
      </c>
      <c r="G226">
        <v>202005</v>
      </c>
      <c r="H226" t="s">
        <v>75</v>
      </c>
      <c r="I226" t="s">
        <v>76</v>
      </c>
      <c r="J226" t="s">
        <v>77</v>
      </c>
      <c r="K226" t="s">
        <v>78</v>
      </c>
      <c r="L226" t="s">
        <v>155</v>
      </c>
      <c r="M226" t="s">
        <v>156</v>
      </c>
      <c r="N226" t="s">
        <v>569</v>
      </c>
      <c r="O226" t="s">
        <v>82</v>
      </c>
      <c r="P226" t="str">
        <f>"2170715378                    "</f>
        <v xml:space="preserve">2170715378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7.69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0.2</v>
      </c>
      <c r="BJ226">
        <v>2.2000000000000002</v>
      </c>
      <c r="BK226">
        <v>2.5</v>
      </c>
      <c r="BL226" s="4">
        <v>44.32</v>
      </c>
      <c r="BM226" s="4">
        <v>6.65</v>
      </c>
      <c r="BN226" s="4">
        <v>50.97</v>
      </c>
      <c r="BO226" s="4">
        <v>50.97</v>
      </c>
      <c r="BQ226" t="s">
        <v>121</v>
      </c>
      <c r="BR226" t="s">
        <v>84</v>
      </c>
      <c r="BS226" s="3">
        <v>43774</v>
      </c>
      <c r="BT226" s="5">
        <v>0.375</v>
      </c>
      <c r="BU226" t="s">
        <v>570</v>
      </c>
      <c r="BV226" t="s">
        <v>86</v>
      </c>
      <c r="BY226">
        <v>10892.88</v>
      </c>
      <c r="CA226" t="s">
        <v>571</v>
      </c>
      <c r="CC226" t="s">
        <v>156</v>
      </c>
      <c r="CD226">
        <v>1685</v>
      </c>
      <c r="CE226" t="s">
        <v>147</v>
      </c>
      <c r="CF226" s="3">
        <v>43775</v>
      </c>
      <c r="CI226">
        <v>1</v>
      </c>
      <c r="CJ226">
        <v>1</v>
      </c>
      <c r="CK226">
        <v>22</v>
      </c>
      <c r="CL226" t="s">
        <v>89</v>
      </c>
    </row>
    <row r="227" spans="1:90">
      <c r="A227" t="s">
        <v>72</v>
      </c>
      <c r="B227" t="s">
        <v>73</v>
      </c>
      <c r="C227" t="s">
        <v>74</v>
      </c>
      <c r="E227" t="str">
        <f>"FES1162720901"</f>
        <v>FES1162720901</v>
      </c>
      <c r="F227" s="3">
        <v>43773</v>
      </c>
      <c r="G227">
        <v>202005</v>
      </c>
      <c r="H227" t="s">
        <v>75</v>
      </c>
      <c r="I227" t="s">
        <v>76</v>
      </c>
      <c r="J227" t="s">
        <v>77</v>
      </c>
      <c r="K227" t="s">
        <v>78</v>
      </c>
      <c r="L227" t="s">
        <v>124</v>
      </c>
      <c r="M227" t="s">
        <v>125</v>
      </c>
      <c r="N227" t="s">
        <v>572</v>
      </c>
      <c r="O227" t="s">
        <v>82</v>
      </c>
      <c r="P227" t="str">
        <f>"2170714367                    "</f>
        <v xml:space="preserve">2170714367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6.87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1.2</v>
      </c>
      <c r="BJ227">
        <v>1.9</v>
      </c>
      <c r="BK227">
        <v>2</v>
      </c>
      <c r="BL227" s="4">
        <v>39.58</v>
      </c>
      <c r="BM227" s="4">
        <v>5.94</v>
      </c>
      <c r="BN227" s="4">
        <v>45.52</v>
      </c>
      <c r="BO227" s="4">
        <v>45.52</v>
      </c>
      <c r="BR227" t="s">
        <v>84</v>
      </c>
      <c r="BS227" s="3">
        <v>43774</v>
      </c>
      <c r="BT227" s="5">
        <v>0.31944444444444448</v>
      </c>
      <c r="BU227" t="s">
        <v>573</v>
      </c>
      <c r="BV227" t="s">
        <v>86</v>
      </c>
      <c r="BY227">
        <v>9419.2000000000007</v>
      </c>
      <c r="CC227" t="s">
        <v>125</v>
      </c>
      <c r="CD227">
        <v>2013</v>
      </c>
      <c r="CE227" t="s">
        <v>147</v>
      </c>
      <c r="CF227" s="3">
        <v>43775</v>
      </c>
      <c r="CI227">
        <v>1</v>
      </c>
      <c r="CJ227">
        <v>1</v>
      </c>
      <c r="CK227">
        <v>22</v>
      </c>
      <c r="CL227" t="s">
        <v>89</v>
      </c>
    </row>
    <row r="228" spans="1:90">
      <c r="A228" t="s">
        <v>72</v>
      </c>
      <c r="B228" t="s">
        <v>73</v>
      </c>
      <c r="C228" t="s">
        <v>74</v>
      </c>
      <c r="E228" t="str">
        <f>"FES1162721126"</f>
        <v>FES1162721126</v>
      </c>
      <c r="F228" s="3">
        <v>43773</v>
      </c>
      <c r="G228">
        <v>202005</v>
      </c>
      <c r="H228" t="s">
        <v>75</v>
      </c>
      <c r="I228" t="s">
        <v>76</v>
      </c>
      <c r="J228" t="s">
        <v>77</v>
      </c>
      <c r="K228" t="s">
        <v>78</v>
      </c>
      <c r="L228" t="s">
        <v>106</v>
      </c>
      <c r="M228" t="s">
        <v>107</v>
      </c>
      <c r="N228" t="s">
        <v>574</v>
      </c>
      <c r="O228" t="s">
        <v>82</v>
      </c>
      <c r="P228" t="str">
        <f>"2170715401                    "</f>
        <v xml:space="preserve">2170715401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8.7899999999999991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0.2</v>
      </c>
      <c r="BJ228">
        <v>2</v>
      </c>
      <c r="BK228">
        <v>2</v>
      </c>
      <c r="BL228" s="4">
        <v>50.66</v>
      </c>
      <c r="BM228" s="4">
        <v>7.6</v>
      </c>
      <c r="BN228" s="4">
        <v>58.26</v>
      </c>
      <c r="BO228" s="4">
        <v>58.26</v>
      </c>
      <c r="BQ228" t="s">
        <v>142</v>
      </c>
      <c r="BR228" t="s">
        <v>84</v>
      </c>
      <c r="BS228" s="3">
        <v>43774</v>
      </c>
      <c r="BT228" s="5">
        <v>0.40625</v>
      </c>
      <c r="BU228" t="s">
        <v>575</v>
      </c>
      <c r="BV228" t="s">
        <v>86</v>
      </c>
      <c r="BY228">
        <v>9892.89</v>
      </c>
      <c r="CA228" t="s">
        <v>491</v>
      </c>
      <c r="CC228" t="s">
        <v>107</v>
      </c>
      <c r="CD228">
        <v>6012</v>
      </c>
      <c r="CE228" t="s">
        <v>147</v>
      </c>
      <c r="CF228" s="3">
        <v>43775</v>
      </c>
      <c r="CI228">
        <v>1</v>
      </c>
      <c r="CJ228">
        <v>1</v>
      </c>
      <c r="CK228">
        <v>21</v>
      </c>
      <c r="CL228" t="s">
        <v>89</v>
      </c>
    </row>
    <row r="229" spans="1:90">
      <c r="A229" t="s">
        <v>72</v>
      </c>
      <c r="B229" t="s">
        <v>73</v>
      </c>
      <c r="C229" t="s">
        <v>74</v>
      </c>
      <c r="E229" t="str">
        <f>"FES1162721129"</f>
        <v>FES1162721129</v>
      </c>
      <c r="F229" s="3">
        <v>43773</v>
      </c>
      <c r="G229">
        <v>202005</v>
      </c>
      <c r="H229" t="s">
        <v>75</v>
      </c>
      <c r="I229" t="s">
        <v>76</v>
      </c>
      <c r="J229" t="s">
        <v>77</v>
      </c>
      <c r="K229" t="s">
        <v>78</v>
      </c>
      <c r="L229" t="s">
        <v>90</v>
      </c>
      <c r="M229" t="s">
        <v>91</v>
      </c>
      <c r="N229" t="s">
        <v>527</v>
      </c>
      <c r="O229" t="s">
        <v>82</v>
      </c>
      <c r="P229" t="str">
        <f>"2170715404                    "</f>
        <v xml:space="preserve">2170715404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8.7899999999999991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0.2</v>
      </c>
      <c r="BJ229">
        <v>1.2</v>
      </c>
      <c r="BK229">
        <v>1.5</v>
      </c>
      <c r="BL229" s="4">
        <v>50.66</v>
      </c>
      <c r="BM229" s="4">
        <v>7.6</v>
      </c>
      <c r="BN229" s="4">
        <v>58.26</v>
      </c>
      <c r="BO229" s="4">
        <v>58.26</v>
      </c>
      <c r="BQ229" t="s">
        <v>109</v>
      </c>
      <c r="BR229" t="s">
        <v>84</v>
      </c>
      <c r="BS229" s="3">
        <v>43774</v>
      </c>
      <c r="BT229" s="5">
        <v>0.35000000000000003</v>
      </c>
      <c r="BU229" t="s">
        <v>528</v>
      </c>
      <c r="BV229" t="s">
        <v>86</v>
      </c>
      <c r="BY229">
        <v>5976.74</v>
      </c>
      <c r="CA229" t="s">
        <v>221</v>
      </c>
      <c r="CC229" t="s">
        <v>91</v>
      </c>
      <c r="CD229">
        <v>7405</v>
      </c>
      <c r="CE229" t="s">
        <v>147</v>
      </c>
      <c r="CF229" s="3">
        <v>43775</v>
      </c>
      <c r="CI229">
        <v>1</v>
      </c>
      <c r="CJ229">
        <v>1</v>
      </c>
      <c r="CK229">
        <v>21</v>
      </c>
      <c r="CL229" t="s">
        <v>89</v>
      </c>
    </row>
    <row r="230" spans="1:90">
      <c r="A230" t="s">
        <v>72</v>
      </c>
      <c r="B230" t="s">
        <v>73</v>
      </c>
      <c r="C230" t="s">
        <v>74</v>
      </c>
      <c r="E230" t="str">
        <f>"FES1162721090"</f>
        <v>FES1162721090</v>
      </c>
      <c r="F230" s="3">
        <v>43773</v>
      </c>
      <c r="G230">
        <v>202005</v>
      </c>
      <c r="H230" t="s">
        <v>75</v>
      </c>
      <c r="I230" t="s">
        <v>76</v>
      </c>
      <c r="J230" t="s">
        <v>77</v>
      </c>
      <c r="K230" t="s">
        <v>78</v>
      </c>
      <c r="L230" t="s">
        <v>90</v>
      </c>
      <c r="M230" t="s">
        <v>91</v>
      </c>
      <c r="N230" t="s">
        <v>527</v>
      </c>
      <c r="O230" t="s">
        <v>82</v>
      </c>
      <c r="P230" t="str">
        <f>"2170715050                    "</f>
        <v xml:space="preserve">2170715050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10.99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2.4</v>
      </c>
      <c r="BJ230">
        <v>1</v>
      </c>
      <c r="BK230">
        <v>2.5</v>
      </c>
      <c r="BL230" s="4">
        <v>63.32</v>
      </c>
      <c r="BM230" s="4">
        <v>9.5</v>
      </c>
      <c r="BN230" s="4">
        <v>72.819999999999993</v>
      </c>
      <c r="BO230" s="4">
        <v>72.819999999999993</v>
      </c>
      <c r="BQ230" t="s">
        <v>109</v>
      </c>
      <c r="BR230" t="s">
        <v>84</v>
      </c>
      <c r="BS230" s="3">
        <v>43774</v>
      </c>
      <c r="BT230" s="5">
        <v>0.35000000000000003</v>
      </c>
      <c r="BU230" t="s">
        <v>528</v>
      </c>
      <c r="BV230" t="s">
        <v>86</v>
      </c>
      <c r="BY230">
        <v>4791.57</v>
      </c>
      <c r="CA230" t="s">
        <v>221</v>
      </c>
      <c r="CC230" t="s">
        <v>91</v>
      </c>
      <c r="CD230">
        <v>7405</v>
      </c>
      <c r="CE230" t="s">
        <v>88</v>
      </c>
      <c r="CF230" s="3">
        <v>43775</v>
      </c>
      <c r="CI230">
        <v>1</v>
      </c>
      <c r="CJ230">
        <v>1</v>
      </c>
      <c r="CK230">
        <v>21</v>
      </c>
      <c r="CL230" t="s">
        <v>89</v>
      </c>
    </row>
    <row r="231" spans="1:90">
      <c r="A231" t="s">
        <v>72</v>
      </c>
      <c r="B231" t="s">
        <v>73</v>
      </c>
      <c r="C231" t="s">
        <v>74</v>
      </c>
      <c r="E231" t="str">
        <f>"FES1162721096"</f>
        <v>FES1162721096</v>
      </c>
      <c r="F231" s="3">
        <v>43773</v>
      </c>
      <c r="G231">
        <v>202005</v>
      </c>
      <c r="H231" t="s">
        <v>75</v>
      </c>
      <c r="I231" t="s">
        <v>76</v>
      </c>
      <c r="J231" t="s">
        <v>77</v>
      </c>
      <c r="K231" t="s">
        <v>78</v>
      </c>
      <c r="L231" t="s">
        <v>90</v>
      </c>
      <c r="M231" t="s">
        <v>91</v>
      </c>
      <c r="N231" t="s">
        <v>576</v>
      </c>
      <c r="O231" t="s">
        <v>82</v>
      </c>
      <c r="P231" t="str">
        <f>"2170715367                    "</f>
        <v xml:space="preserve">2170715367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19.78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2.9</v>
      </c>
      <c r="BJ231">
        <v>4.2</v>
      </c>
      <c r="BK231">
        <v>4.5</v>
      </c>
      <c r="BL231" s="4">
        <v>113.95</v>
      </c>
      <c r="BM231" s="4">
        <v>17.09</v>
      </c>
      <c r="BN231" s="4">
        <v>131.04</v>
      </c>
      <c r="BO231" s="4">
        <v>131.04</v>
      </c>
      <c r="BQ231" t="s">
        <v>109</v>
      </c>
      <c r="BR231" t="s">
        <v>84</v>
      </c>
      <c r="BS231" s="3">
        <v>43774</v>
      </c>
      <c r="BT231" s="5">
        <v>0.3888888888888889</v>
      </c>
      <c r="BU231" t="s">
        <v>577</v>
      </c>
      <c r="BV231" t="s">
        <v>86</v>
      </c>
      <c r="BY231">
        <v>21217.29</v>
      </c>
      <c r="CA231" t="s">
        <v>213</v>
      </c>
      <c r="CC231" t="s">
        <v>91</v>
      </c>
      <c r="CD231">
        <v>7441</v>
      </c>
      <c r="CE231" t="s">
        <v>88</v>
      </c>
      <c r="CF231" s="3">
        <v>43775</v>
      </c>
      <c r="CI231">
        <v>1</v>
      </c>
      <c r="CJ231">
        <v>1</v>
      </c>
      <c r="CK231">
        <v>21</v>
      </c>
      <c r="CL231" t="s">
        <v>89</v>
      </c>
    </row>
    <row r="232" spans="1:90">
      <c r="A232" t="s">
        <v>72</v>
      </c>
      <c r="B232" t="s">
        <v>73</v>
      </c>
      <c r="C232" t="s">
        <v>74</v>
      </c>
      <c r="E232" t="str">
        <f>"FES1162721155"</f>
        <v>FES1162721155</v>
      </c>
      <c r="F232" s="3">
        <v>43773</v>
      </c>
      <c r="G232">
        <v>202005</v>
      </c>
      <c r="H232" t="s">
        <v>75</v>
      </c>
      <c r="I232" t="s">
        <v>76</v>
      </c>
      <c r="J232" t="s">
        <v>77</v>
      </c>
      <c r="K232" t="s">
        <v>78</v>
      </c>
      <c r="L232" t="s">
        <v>578</v>
      </c>
      <c r="M232" t="s">
        <v>579</v>
      </c>
      <c r="N232" t="s">
        <v>580</v>
      </c>
      <c r="O232" t="s">
        <v>82</v>
      </c>
      <c r="P232" t="str">
        <f>"2170715430                    "</f>
        <v xml:space="preserve">2170715430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8.7899999999999991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0.2</v>
      </c>
      <c r="BJ232">
        <v>1.4</v>
      </c>
      <c r="BK232">
        <v>1.5</v>
      </c>
      <c r="BL232" s="4">
        <v>50.66</v>
      </c>
      <c r="BM232" s="4">
        <v>7.6</v>
      </c>
      <c r="BN232" s="4">
        <v>58.26</v>
      </c>
      <c r="BO232" s="4">
        <v>58.26</v>
      </c>
      <c r="BQ232" t="s">
        <v>581</v>
      </c>
      <c r="BR232" t="s">
        <v>84</v>
      </c>
      <c r="BS232" s="3">
        <v>43774</v>
      </c>
      <c r="BT232" s="5">
        <v>0.40277777777777773</v>
      </c>
      <c r="BU232" t="s">
        <v>582</v>
      </c>
      <c r="BV232" t="s">
        <v>86</v>
      </c>
      <c r="BY232">
        <v>7097.22</v>
      </c>
      <c r="CA232" t="s">
        <v>583</v>
      </c>
      <c r="CC232" t="s">
        <v>579</v>
      </c>
      <c r="CD232">
        <v>7599</v>
      </c>
      <c r="CE232" t="s">
        <v>147</v>
      </c>
      <c r="CF232" s="3">
        <v>43775</v>
      </c>
      <c r="CI232">
        <v>1</v>
      </c>
      <c r="CJ232">
        <v>1</v>
      </c>
      <c r="CK232">
        <v>21</v>
      </c>
      <c r="CL232" t="s">
        <v>89</v>
      </c>
    </row>
    <row r="233" spans="1:90">
      <c r="A233" t="s">
        <v>72</v>
      </c>
      <c r="B233" t="s">
        <v>73</v>
      </c>
      <c r="C233" t="s">
        <v>74</v>
      </c>
      <c r="E233" t="str">
        <f>"FES1162721140"</f>
        <v>FES1162721140</v>
      </c>
      <c r="F233" s="3">
        <v>43773</v>
      </c>
      <c r="G233">
        <v>202005</v>
      </c>
      <c r="H233" t="s">
        <v>75</v>
      </c>
      <c r="I233" t="s">
        <v>76</v>
      </c>
      <c r="J233" t="s">
        <v>77</v>
      </c>
      <c r="K233" t="s">
        <v>78</v>
      </c>
      <c r="L233" t="s">
        <v>124</v>
      </c>
      <c r="M233" t="s">
        <v>125</v>
      </c>
      <c r="N233" t="s">
        <v>218</v>
      </c>
      <c r="O233" t="s">
        <v>82</v>
      </c>
      <c r="P233" t="str">
        <f>"2170715412                    "</f>
        <v xml:space="preserve">2170715412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6.87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0.7</v>
      </c>
      <c r="BJ233">
        <v>1.6</v>
      </c>
      <c r="BK233">
        <v>2</v>
      </c>
      <c r="BL233" s="4">
        <v>39.58</v>
      </c>
      <c r="BM233" s="4">
        <v>5.94</v>
      </c>
      <c r="BN233" s="4">
        <v>45.52</v>
      </c>
      <c r="BO233" s="4">
        <v>45.52</v>
      </c>
      <c r="BQ233" t="s">
        <v>121</v>
      </c>
      <c r="BR233" t="s">
        <v>84</v>
      </c>
      <c r="BS233" s="3">
        <v>43774</v>
      </c>
      <c r="BT233" s="5">
        <v>0.3666666666666667</v>
      </c>
      <c r="BU233" t="s">
        <v>476</v>
      </c>
      <c r="BV233" t="s">
        <v>86</v>
      </c>
      <c r="BY233">
        <v>7824.44</v>
      </c>
      <c r="CA233" t="s">
        <v>415</v>
      </c>
      <c r="CC233" t="s">
        <v>125</v>
      </c>
      <c r="CD233">
        <v>2094</v>
      </c>
      <c r="CE233" t="s">
        <v>147</v>
      </c>
      <c r="CF233" s="3">
        <v>43775</v>
      </c>
      <c r="CI233">
        <v>1</v>
      </c>
      <c r="CJ233">
        <v>1</v>
      </c>
      <c r="CK233">
        <v>22</v>
      </c>
      <c r="CL233" t="s">
        <v>89</v>
      </c>
    </row>
    <row r="234" spans="1:90">
      <c r="A234" t="s">
        <v>72</v>
      </c>
      <c r="B234" t="s">
        <v>73</v>
      </c>
      <c r="C234" t="s">
        <v>74</v>
      </c>
      <c r="E234" t="str">
        <f>"FES1162721111"</f>
        <v>FES1162721111</v>
      </c>
      <c r="F234" s="3">
        <v>43773</v>
      </c>
      <c r="G234">
        <v>202005</v>
      </c>
      <c r="H234" t="s">
        <v>75</v>
      </c>
      <c r="I234" t="s">
        <v>76</v>
      </c>
      <c r="J234" t="s">
        <v>77</v>
      </c>
      <c r="K234" t="s">
        <v>78</v>
      </c>
      <c r="L234" t="s">
        <v>101</v>
      </c>
      <c r="M234" t="s">
        <v>102</v>
      </c>
      <c r="N234" t="s">
        <v>584</v>
      </c>
      <c r="O234" t="s">
        <v>82</v>
      </c>
      <c r="P234" t="str">
        <f>"2170715370                    "</f>
        <v xml:space="preserve">2170715370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8.7899999999999991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1.4</v>
      </c>
      <c r="BK234">
        <v>1.5</v>
      </c>
      <c r="BL234" s="4">
        <v>50.66</v>
      </c>
      <c r="BM234" s="4">
        <v>7.6</v>
      </c>
      <c r="BN234" s="4">
        <v>58.26</v>
      </c>
      <c r="BO234" s="4">
        <v>58.26</v>
      </c>
      <c r="BQ234" t="s">
        <v>585</v>
      </c>
      <c r="BR234" t="s">
        <v>84</v>
      </c>
      <c r="BS234" s="3">
        <v>43774</v>
      </c>
      <c r="BT234" s="5">
        <v>0.38541666666666669</v>
      </c>
      <c r="BU234" t="s">
        <v>586</v>
      </c>
      <c r="BV234" t="s">
        <v>86</v>
      </c>
      <c r="BY234">
        <v>6807.83</v>
      </c>
      <c r="CA234" t="s">
        <v>183</v>
      </c>
      <c r="CC234" t="s">
        <v>102</v>
      </c>
      <c r="CD234">
        <v>200</v>
      </c>
      <c r="CE234" t="s">
        <v>147</v>
      </c>
      <c r="CF234" s="3">
        <v>43775</v>
      </c>
      <c r="CI234">
        <v>1</v>
      </c>
      <c r="CJ234">
        <v>1</v>
      </c>
      <c r="CK234">
        <v>21</v>
      </c>
      <c r="CL234" t="s">
        <v>89</v>
      </c>
    </row>
    <row r="235" spans="1:90">
      <c r="A235" t="s">
        <v>72</v>
      </c>
      <c r="B235" t="s">
        <v>73</v>
      </c>
      <c r="C235" t="s">
        <v>74</v>
      </c>
      <c r="E235" t="str">
        <f>"FES1162721124"</f>
        <v>FES1162721124</v>
      </c>
      <c r="F235" s="3">
        <v>43773</v>
      </c>
      <c r="G235">
        <v>202005</v>
      </c>
      <c r="H235" t="s">
        <v>75</v>
      </c>
      <c r="I235" t="s">
        <v>76</v>
      </c>
      <c r="J235" t="s">
        <v>77</v>
      </c>
      <c r="K235" t="s">
        <v>78</v>
      </c>
      <c r="L235" t="s">
        <v>176</v>
      </c>
      <c r="M235" t="s">
        <v>177</v>
      </c>
      <c r="N235" t="s">
        <v>587</v>
      </c>
      <c r="O235" t="s">
        <v>82</v>
      </c>
      <c r="P235" t="str">
        <f>"2170715399                    "</f>
        <v xml:space="preserve">2170715399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8.7899999999999991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0.2</v>
      </c>
      <c r="BJ235">
        <v>0.5</v>
      </c>
      <c r="BK235">
        <v>0.5</v>
      </c>
      <c r="BL235" s="4">
        <v>50.66</v>
      </c>
      <c r="BM235" s="4">
        <v>7.6</v>
      </c>
      <c r="BN235" s="4">
        <v>58.26</v>
      </c>
      <c r="BO235" s="4">
        <v>58.26</v>
      </c>
      <c r="BQ235" t="s">
        <v>142</v>
      </c>
      <c r="BR235" t="s">
        <v>84</v>
      </c>
      <c r="BS235" s="3">
        <v>43774</v>
      </c>
      <c r="BT235" s="5">
        <v>0.4375</v>
      </c>
      <c r="BU235" t="s">
        <v>588</v>
      </c>
      <c r="BV235" t="s">
        <v>86</v>
      </c>
      <c r="BY235">
        <v>2690.4</v>
      </c>
      <c r="CA235" t="s">
        <v>224</v>
      </c>
      <c r="CC235" t="s">
        <v>177</v>
      </c>
      <c r="CD235">
        <v>3610</v>
      </c>
      <c r="CE235" t="s">
        <v>147</v>
      </c>
      <c r="CF235" s="3">
        <v>43776</v>
      </c>
      <c r="CI235">
        <v>1</v>
      </c>
      <c r="CJ235">
        <v>1</v>
      </c>
      <c r="CK235">
        <v>21</v>
      </c>
      <c r="CL235" t="s">
        <v>89</v>
      </c>
    </row>
    <row r="236" spans="1:90">
      <c r="A236" t="s">
        <v>72</v>
      </c>
      <c r="B236" t="s">
        <v>73</v>
      </c>
      <c r="C236" t="s">
        <v>74</v>
      </c>
      <c r="E236" t="str">
        <f>"FES1162721120"</f>
        <v>FES1162721120</v>
      </c>
      <c r="F236" s="3">
        <v>43773</v>
      </c>
      <c r="G236">
        <v>202005</v>
      </c>
      <c r="H236" t="s">
        <v>75</v>
      </c>
      <c r="I236" t="s">
        <v>76</v>
      </c>
      <c r="J236" t="s">
        <v>77</v>
      </c>
      <c r="K236" t="s">
        <v>78</v>
      </c>
      <c r="L236" t="s">
        <v>339</v>
      </c>
      <c r="M236" t="s">
        <v>340</v>
      </c>
      <c r="N236" t="s">
        <v>565</v>
      </c>
      <c r="O236" t="s">
        <v>82</v>
      </c>
      <c r="P236" t="str">
        <f>"2170715393                    "</f>
        <v xml:space="preserve">2170715393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8.7899999999999991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0.6</v>
      </c>
      <c r="BJ236">
        <v>2</v>
      </c>
      <c r="BK236">
        <v>2</v>
      </c>
      <c r="BL236" s="4">
        <v>50.66</v>
      </c>
      <c r="BM236" s="4">
        <v>7.6</v>
      </c>
      <c r="BN236" s="4">
        <v>58.26</v>
      </c>
      <c r="BO236" s="4">
        <v>58.26</v>
      </c>
      <c r="BR236" t="s">
        <v>84</v>
      </c>
      <c r="BS236" s="3">
        <v>43774</v>
      </c>
      <c r="BT236" s="5">
        <v>0.38541666666666669</v>
      </c>
      <c r="BU236" t="s">
        <v>342</v>
      </c>
      <c r="BV236" t="s">
        <v>86</v>
      </c>
      <c r="BY236">
        <v>10108.799999999999</v>
      </c>
      <c r="CA236" t="s">
        <v>343</v>
      </c>
      <c r="CC236" t="s">
        <v>340</v>
      </c>
      <c r="CD236">
        <v>46</v>
      </c>
      <c r="CE236" t="s">
        <v>147</v>
      </c>
      <c r="CF236" s="3">
        <v>43777</v>
      </c>
      <c r="CI236">
        <v>1</v>
      </c>
      <c r="CJ236">
        <v>1</v>
      </c>
      <c r="CK236">
        <v>21</v>
      </c>
      <c r="CL236" t="s">
        <v>89</v>
      </c>
    </row>
    <row r="237" spans="1:90">
      <c r="A237" t="s">
        <v>72</v>
      </c>
      <c r="B237" t="s">
        <v>73</v>
      </c>
      <c r="C237" t="s">
        <v>74</v>
      </c>
      <c r="E237" t="str">
        <f>"FES1162721121"</f>
        <v>FES1162721121</v>
      </c>
      <c r="F237" s="3">
        <v>43773</v>
      </c>
      <c r="G237">
        <v>202005</v>
      </c>
      <c r="H237" t="s">
        <v>75</v>
      </c>
      <c r="I237" t="s">
        <v>76</v>
      </c>
      <c r="J237" t="s">
        <v>77</v>
      </c>
      <c r="K237" t="s">
        <v>78</v>
      </c>
      <c r="L237" t="s">
        <v>90</v>
      </c>
      <c r="M237" t="s">
        <v>91</v>
      </c>
      <c r="N237" t="s">
        <v>393</v>
      </c>
      <c r="O237" t="s">
        <v>82</v>
      </c>
      <c r="P237" t="str">
        <f>"2170715395                    "</f>
        <v xml:space="preserve">2170715395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15.38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3.1</v>
      </c>
      <c r="BJ237">
        <v>1.7</v>
      </c>
      <c r="BK237">
        <v>3.5</v>
      </c>
      <c r="BL237" s="4">
        <v>88.63</v>
      </c>
      <c r="BM237" s="4">
        <v>13.29</v>
      </c>
      <c r="BN237" s="4">
        <v>101.92</v>
      </c>
      <c r="BO237" s="4">
        <v>101.92</v>
      </c>
      <c r="BQ237" t="s">
        <v>589</v>
      </c>
      <c r="BR237" t="s">
        <v>84</v>
      </c>
      <c r="BS237" s="3">
        <v>43774</v>
      </c>
      <c r="BT237" s="5">
        <v>0.47500000000000003</v>
      </c>
      <c r="BU237" t="s">
        <v>590</v>
      </c>
      <c r="BV237" t="s">
        <v>89</v>
      </c>
      <c r="BW237" t="s">
        <v>364</v>
      </c>
      <c r="BX237" t="s">
        <v>591</v>
      </c>
      <c r="BY237">
        <v>8452.49</v>
      </c>
      <c r="CA237" t="s">
        <v>221</v>
      </c>
      <c r="CC237" t="s">
        <v>91</v>
      </c>
      <c r="CD237">
        <v>7405</v>
      </c>
      <c r="CE237" t="s">
        <v>88</v>
      </c>
      <c r="CF237" s="3">
        <v>43775</v>
      </c>
      <c r="CI237">
        <v>1</v>
      </c>
      <c r="CJ237">
        <v>1</v>
      </c>
      <c r="CK237">
        <v>21</v>
      </c>
      <c r="CL237" t="s">
        <v>89</v>
      </c>
    </row>
    <row r="238" spans="1:90">
      <c r="A238" t="s">
        <v>72</v>
      </c>
      <c r="B238" t="s">
        <v>73</v>
      </c>
      <c r="C238" t="s">
        <v>74</v>
      </c>
      <c r="E238" t="str">
        <f>"FES1162721110"</f>
        <v>FES1162721110</v>
      </c>
      <c r="F238" s="3">
        <v>43773</v>
      </c>
      <c r="G238">
        <v>202005</v>
      </c>
      <c r="H238" t="s">
        <v>75</v>
      </c>
      <c r="I238" t="s">
        <v>76</v>
      </c>
      <c r="J238" t="s">
        <v>77</v>
      </c>
      <c r="K238" t="s">
        <v>78</v>
      </c>
      <c r="L238" t="s">
        <v>214</v>
      </c>
      <c r="M238" t="s">
        <v>214</v>
      </c>
      <c r="N238" t="s">
        <v>592</v>
      </c>
      <c r="O238" t="s">
        <v>82</v>
      </c>
      <c r="P238" t="str">
        <f>"                              "</f>
        <v xml:space="preserve">          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28.58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3.1</v>
      </c>
      <c r="BJ238">
        <v>1.1000000000000001</v>
      </c>
      <c r="BK238">
        <v>3.5</v>
      </c>
      <c r="BL238" s="4">
        <v>164.66</v>
      </c>
      <c r="BM238" s="4">
        <v>24.7</v>
      </c>
      <c r="BN238" s="4">
        <v>189.36</v>
      </c>
      <c r="BO238" s="4">
        <v>189.36</v>
      </c>
      <c r="BP238">
        <v>2170715382</v>
      </c>
      <c r="BQ238" t="s">
        <v>109</v>
      </c>
      <c r="BR238" t="s">
        <v>84</v>
      </c>
      <c r="BS238" s="3">
        <v>43774</v>
      </c>
      <c r="BT238" s="5">
        <v>0.51180555555555551</v>
      </c>
      <c r="BU238" t="s">
        <v>593</v>
      </c>
      <c r="BV238" t="s">
        <v>86</v>
      </c>
      <c r="BY238">
        <v>5383.84</v>
      </c>
      <c r="CA238" t="s">
        <v>217</v>
      </c>
      <c r="CC238" t="s">
        <v>214</v>
      </c>
      <c r="CD238">
        <v>7646</v>
      </c>
      <c r="CE238" t="s">
        <v>88</v>
      </c>
      <c r="CF238" s="3">
        <v>43775</v>
      </c>
      <c r="CI238">
        <v>1</v>
      </c>
      <c r="CJ238">
        <v>1</v>
      </c>
      <c r="CK238">
        <v>23</v>
      </c>
      <c r="CL238" t="s">
        <v>89</v>
      </c>
    </row>
    <row r="239" spans="1:90">
      <c r="A239" t="s">
        <v>72</v>
      </c>
      <c r="B239" t="s">
        <v>73</v>
      </c>
      <c r="C239" t="s">
        <v>74</v>
      </c>
      <c r="E239" t="str">
        <f>"FES1162720953"</f>
        <v>FES1162720953</v>
      </c>
      <c r="F239" s="3">
        <v>43773</v>
      </c>
      <c r="G239">
        <v>202005</v>
      </c>
      <c r="H239" t="s">
        <v>75</v>
      </c>
      <c r="I239" t="s">
        <v>76</v>
      </c>
      <c r="J239" t="s">
        <v>77</v>
      </c>
      <c r="K239" t="s">
        <v>78</v>
      </c>
      <c r="L239" t="s">
        <v>482</v>
      </c>
      <c r="M239" t="s">
        <v>483</v>
      </c>
      <c r="N239" t="s">
        <v>594</v>
      </c>
      <c r="O239" t="s">
        <v>82</v>
      </c>
      <c r="P239" t="str">
        <f>"2170715020                    "</f>
        <v xml:space="preserve">2170715020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15.1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5.7</v>
      </c>
      <c r="BJ239">
        <v>6.9</v>
      </c>
      <c r="BK239">
        <v>7</v>
      </c>
      <c r="BL239" s="4">
        <v>87.01</v>
      </c>
      <c r="BM239" s="4">
        <v>13.05</v>
      </c>
      <c r="BN239" s="4">
        <v>100.06</v>
      </c>
      <c r="BO239" s="4">
        <v>100.06</v>
      </c>
      <c r="BQ239" t="s">
        <v>109</v>
      </c>
      <c r="BR239" t="s">
        <v>84</v>
      </c>
      <c r="BS239" s="3">
        <v>43774</v>
      </c>
      <c r="BT239" s="5">
        <v>0.44444444444444442</v>
      </c>
      <c r="BU239" t="s">
        <v>595</v>
      </c>
      <c r="BV239" t="s">
        <v>89</v>
      </c>
      <c r="BW239" t="s">
        <v>596</v>
      </c>
      <c r="BX239" t="s">
        <v>597</v>
      </c>
      <c r="BY239">
        <v>34529.040000000001</v>
      </c>
      <c r="CC239" t="s">
        <v>483</v>
      </c>
      <c r="CD239">
        <v>1459</v>
      </c>
      <c r="CE239" t="s">
        <v>88</v>
      </c>
      <c r="CF239" s="3">
        <v>43775</v>
      </c>
      <c r="CI239">
        <v>1</v>
      </c>
      <c r="CJ239">
        <v>1</v>
      </c>
      <c r="CK239">
        <v>22</v>
      </c>
      <c r="CL239" t="s">
        <v>89</v>
      </c>
    </row>
    <row r="240" spans="1:90">
      <c r="A240" t="s">
        <v>72</v>
      </c>
      <c r="B240" t="s">
        <v>73</v>
      </c>
      <c r="C240" t="s">
        <v>74</v>
      </c>
      <c r="E240" t="str">
        <f>"FES1162721007"</f>
        <v>FES1162721007</v>
      </c>
      <c r="F240" s="3">
        <v>43773</v>
      </c>
      <c r="G240">
        <v>202005</v>
      </c>
      <c r="H240" t="s">
        <v>75</v>
      </c>
      <c r="I240" t="s">
        <v>76</v>
      </c>
      <c r="J240" t="s">
        <v>77</v>
      </c>
      <c r="K240" t="s">
        <v>78</v>
      </c>
      <c r="L240" t="s">
        <v>176</v>
      </c>
      <c r="M240" t="s">
        <v>177</v>
      </c>
      <c r="N240" t="s">
        <v>598</v>
      </c>
      <c r="O240" t="s">
        <v>82</v>
      </c>
      <c r="P240" t="str">
        <f>"2170715287                    "</f>
        <v xml:space="preserve">2170715287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8.7899999999999991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0.2</v>
      </c>
      <c r="BJ240">
        <v>1.3</v>
      </c>
      <c r="BK240">
        <v>1.5</v>
      </c>
      <c r="BL240" s="4">
        <v>50.66</v>
      </c>
      <c r="BM240" s="4">
        <v>7.6</v>
      </c>
      <c r="BN240" s="4">
        <v>58.26</v>
      </c>
      <c r="BO240" s="4">
        <v>58.26</v>
      </c>
      <c r="BQ240" t="s">
        <v>121</v>
      </c>
      <c r="BR240" t="s">
        <v>84</v>
      </c>
      <c r="BS240" s="3">
        <v>43774</v>
      </c>
      <c r="BT240" s="5">
        <v>0.3923611111111111</v>
      </c>
      <c r="BU240" t="s">
        <v>599</v>
      </c>
      <c r="BV240" t="s">
        <v>86</v>
      </c>
      <c r="BY240">
        <v>6429.74</v>
      </c>
      <c r="CA240" t="s">
        <v>224</v>
      </c>
      <c r="CC240" t="s">
        <v>177</v>
      </c>
      <c r="CD240">
        <v>3610</v>
      </c>
      <c r="CE240" t="s">
        <v>147</v>
      </c>
      <c r="CF240" s="3">
        <v>43776</v>
      </c>
      <c r="CI240">
        <v>1</v>
      </c>
      <c r="CJ240">
        <v>1</v>
      </c>
      <c r="CK240">
        <v>21</v>
      </c>
      <c r="CL240" t="s">
        <v>89</v>
      </c>
    </row>
    <row r="241" spans="1:90">
      <c r="A241" t="s">
        <v>72</v>
      </c>
      <c r="B241" t="s">
        <v>73</v>
      </c>
      <c r="C241" t="s">
        <v>74</v>
      </c>
      <c r="E241" t="str">
        <f>"FES1162721036"</f>
        <v>FES1162721036</v>
      </c>
      <c r="F241" s="3">
        <v>43773</v>
      </c>
      <c r="G241">
        <v>202005</v>
      </c>
      <c r="H241" t="s">
        <v>75</v>
      </c>
      <c r="I241" t="s">
        <v>76</v>
      </c>
      <c r="J241" t="s">
        <v>77</v>
      </c>
      <c r="K241" t="s">
        <v>78</v>
      </c>
      <c r="L241" t="s">
        <v>176</v>
      </c>
      <c r="M241" t="s">
        <v>177</v>
      </c>
      <c r="N241" t="s">
        <v>587</v>
      </c>
      <c r="O241" t="s">
        <v>82</v>
      </c>
      <c r="P241" t="str">
        <f>"2170715321                    "</f>
        <v xml:space="preserve">2170715321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8.7899999999999991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0.2</v>
      </c>
      <c r="BJ241">
        <v>1.3</v>
      </c>
      <c r="BK241">
        <v>1.5</v>
      </c>
      <c r="BL241" s="4">
        <v>50.66</v>
      </c>
      <c r="BM241" s="4">
        <v>7.6</v>
      </c>
      <c r="BN241" s="4">
        <v>58.26</v>
      </c>
      <c r="BO241" s="4">
        <v>58.26</v>
      </c>
      <c r="BQ241" t="s">
        <v>142</v>
      </c>
      <c r="BR241" t="s">
        <v>84</v>
      </c>
      <c r="BS241" s="3">
        <v>43774</v>
      </c>
      <c r="BT241" s="5">
        <v>0.4375</v>
      </c>
      <c r="BU241" t="s">
        <v>588</v>
      </c>
      <c r="BV241" t="s">
        <v>86</v>
      </c>
      <c r="BY241">
        <v>6484.4</v>
      </c>
      <c r="CA241" t="s">
        <v>224</v>
      </c>
      <c r="CC241" t="s">
        <v>177</v>
      </c>
      <c r="CD241">
        <v>3610</v>
      </c>
      <c r="CE241" t="s">
        <v>147</v>
      </c>
      <c r="CF241" s="3">
        <v>43776</v>
      </c>
      <c r="CI241">
        <v>1</v>
      </c>
      <c r="CJ241">
        <v>1</v>
      </c>
      <c r="CK241">
        <v>21</v>
      </c>
      <c r="CL241" t="s">
        <v>89</v>
      </c>
    </row>
    <row r="242" spans="1:90">
      <c r="A242" t="s">
        <v>72</v>
      </c>
      <c r="B242" t="s">
        <v>73</v>
      </c>
      <c r="C242" t="s">
        <v>74</v>
      </c>
      <c r="E242" t="str">
        <f>"FES1162721008"</f>
        <v>FES1162721008</v>
      </c>
      <c r="F242" s="3">
        <v>43773</v>
      </c>
      <c r="G242">
        <v>202005</v>
      </c>
      <c r="H242" t="s">
        <v>75</v>
      </c>
      <c r="I242" t="s">
        <v>76</v>
      </c>
      <c r="J242" t="s">
        <v>77</v>
      </c>
      <c r="K242" t="s">
        <v>78</v>
      </c>
      <c r="L242" t="s">
        <v>176</v>
      </c>
      <c r="M242" t="s">
        <v>177</v>
      </c>
      <c r="N242" t="s">
        <v>600</v>
      </c>
      <c r="O242" t="s">
        <v>82</v>
      </c>
      <c r="P242" t="str">
        <f>"2170715289                    "</f>
        <v xml:space="preserve">2170715289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8.7899999999999991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0.2</v>
      </c>
      <c r="BJ242">
        <v>0.8</v>
      </c>
      <c r="BK242">
        <v>1</v>
      </c>
      <c r="BL242" s="4">
        <v>50.66</v>
      </c>
      <c r="BM242" s="4">
        <v>7.6</v>
      </c>
      <c r="BN242" s="4">
        <v>58.26</v>
      </c>
      <c r="BO242" s="4">
        <v>58.26</v>
      </c>
      <c r="BQ242" t="s">
        <v>109</v>
      </c>
      <c r="BR242" t="s">
        <v>84</v>
      </c>
      <c r="BS242" s="3">
        <v>43774</v>
      </c>
      <c r="BT242" s="5">
        <v>0.35347222222222219</v>
      </c>
      <c r="BU242" t="s">
        <v>601</v>
      </c>
      <c r="BV242" t="s">
        <v>86</v>
      </c>
      <c r="BY242">
        <v>3783.24</v>
      </c>
      <c r="CA242" t="s">
        <v>224</v>
      </c>
      <c r="CC242" t="s">
        <v>177</v>
      </c>
      <c r="CD242">
        <v>3610</v>
      </c>
      <c r="CE242" t="s">
        <v>147</v>
      </c>
      <c r="CF242" s="3">
        <v>43776</v>
      </c>
      <c r="CI242">
        <v>1</v>
      </c>
      <c r="CJ242">
        <v>1</v>
      </c>
      <c r="CK242">
        <v>21</v>
      </c>
      <c r="CL242" t="s">
        <v>89</v>
      </c>
    </row>
    <row r="243" spans="1:90">
      <c r="A243" t="s">
        <v>72</v>
      </c>
      <c r="B243" t="s">
        <v>73</v>
      </c>
      <c r="C243" t="s">
        <v>74</v>
      </c>
      <c r="E243" t="str">
        <f>"FES1162721076"</f>
        <v>FES1162721076</v>
      </c>
      <c r="F243" s="3">
        <v>43773</v>
      </c>
      <c r="G243">
        <v>202005</v>
      </c>
      <c r="H243" t="s">
        <v>75</v>
      </c>
      <c r="I243" t="s">
        <v>76</v>
      </c>
      <c r="J243" t="s">
        <v>77</v>
      </c>
      <c r="K243" t="s">
        <v>78</v>
      </c>
      <c r="L243" t="s">
        <v>176</v>
      </c>
      <c r="M243" t="s">
        <v>177</v>
      </c>
      <c r="N243" t="s">
        <v>602</v>
      </c>
      <c r="O243" t="s">
        <v>82</v>
      </c>
      <c r="P243" t="str">
        <f>"                              "</f>
        <v xml:space="preserve">          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61.51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13.1</v>
      </c>
      <c r="BJ243">
        <v>14</v>
      </c>
      <c r="BK243">
        <v>14</v>
      </c>
      <c r="BL243" s="4">
        <v>354.42</v>
      </c>
      <c r="BM243" s="4">
        <v>53.16</v>
      </c>
      <c r="BN243" s="4">
        <v>407.58</v>
      </c>
      <c r="BO243" s="4">
        <v>407.58</v>
      </c>
      <c r="BP243">
        <v>2170710625</v>
      </c>
      <c r="BQ243" t="s">
        <v>142</v>
      </c>
      <c r="BR243" t="s">
        <v>84</v>
      </c>
      <c r="BS243" s="3">
        <v>43774</v>
      </c>
      <c r="BT243" s="5">
        <v>0.40902777777777777</v>
      </c>
      <c r="BU243" t="s">
        <v>603</v>
      </c>
      <c r="BV243" t="s">
        <v>86</v>
      </c>
      <c r="BY243">
        <v>69824.289999999994</v>
      </c>
      <c r="CA243" t="s">
        <v>604</v>
      </c>
      <c r="CC243" t="s">
        <v>177</v>
      </c>
      <c r="CD243">
        <v>3600</v>
      </c>
      <c r="CE243" t="s">
        <v>88</v>
      </c>
      <c r="CF243" s="3">
        <v>43777</v>
      </c>
      <c r="CI243">
        <v>1</v>
      </c>
      <c r="CJ243">
        <v>1</v>
      </c>
      <c r="CK243">
        <v>21</v>
      </c>
      <c r="CL243" t="s">
        <v>89</v>
      </c>
    </row>
    <row r="244" spans="1:90">
      <c r="A244" t="s">
        <v>72</v>
      </c>
      <c r="B244" t="s">
        <v>73</v>
      </c>
      <c r="C244" t="s">
        <v>74</v>
      </c>
      <c r="E244" t="str">
        <f>"FES1162721091"</f>
        <v>FES1162721091</v>
      </c>
      <c r="F244" s="3">
        <v>43773</v>
      </c>
      <c r="G244">
        <v>202005</v>
      </c>
      <c r="H244" t="s">
        <v>75</v>
      </c>
      <c r="I244" t="s">
        <v>76</v>
      </c>
      <c r="J244" t="s">
        <v>77</v>
      </c>
      <c r="K244" t="s">
        <v>78</v>
      </c>
      <c r="L244" t="s">
        <v>605</v>
      </c>
      <c r="M244" t="s">
        <v>606</v>
      </c>
      <c r="N244" t="s">
        <v>607</v>
      </c>
      <c r="O244" t="s">
        <v>82</v>
      </c>
      <c r="P244" t="str">
        <f>"2170715230                    "</f>
        <v xml:space="preserve">2170715230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12.36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1.6</v>
      </c>
      <c r="BK244">
        <v>2</v>
      </c>
      <c r="BL244" s="4">
        <v>71.239999999999995</v>
      </c>
      <c r="BM244" s="4">
        <v>10.69</v>
      </c>
      <c r="BN244" s="4">
        <v>81.93</v>
      </c>
      <c r="BO244" s="4">
        <v>81.93</v>
      </c>
      <c r="BQ244" t="s">
        <v>608</v>
      </c>
      <c r="BR244" t="s">
        <v>84</v>
      </c>
      <c r="BS244" s="3">
        <v>43774</v>
      </c>
      <c r="BT244" s="5">
        <v>0.52847222222222223</v>
      </c>
      <c r="BU244" t="s">
        <v>609</v>
      </c>
      <c r="BV244" t="s">
        <v>86</v>
      </c>
      <c r="BY244">
        <v>8095.8</v>
      </c>
      <c r="CA244" t="s">
        <v>610</v>
      </c>
      <c r="CC244" t="s">
        <v>606</v>
      </c>
      <c r="CD244">
        <v>208</v>
      </c>
      <c r="CE244" t="s">
        <v>147</v>
      </c>
      <c r="CF244" s="3">
        <v>43777</v>
      </c>
      <c r="CI244">
        <v>1</v>
      </c>
      <c r="CJ244">
        <v>1</v>
      </c>
      <c r="CK244">
        <v>24</v>
      </c>
      <c r="CL244" t="s">
        <v>89</v>
      </c>
    </row>
    <row r="245" spans="1:90">
      <c r="A245" t="s">
        <v>72</v>
      </c>
      <c r="B245" t="s">
        <v>73</v>
      </c>
      <c r="C245" t="s">
        <v>74</v>
      </c>
      <c r="E245" t="str">
        <f>"FES1162721024"</f>
        <v>FES1162721024</v>
      </c>
      <c r="F245" s="3">
        <v>43773</v>
      </c>
      <c r="G245">
        <v>202005</v>
      </c>
      <c r="H245" t="s">
        <v>75</v>
      </c>
      <c r="I245" t="s">
        <v>76</v>
      </c>
      <c r="J245" t="s">
        <v>77</v>
      </c>
      <c r="K245" t="s">
        <v>78</v>
      </c>
      <c r="L245" t="s">
        <v>176</v>
      </c>
      <c r="M245" t="s">
        <v>177</v>
      </c>
      <c r="N245" t="s">
        <v>611</v>
      </c>
      <c r="O245" t="s">
        <v>82</v>
      </c>
      <c r="P245" t="str">
        <f>"2170715308                    "</f>
        <v xml:space="preserve">2170715308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8.7899999999999991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0.2</v>
      </c>
      <c r="BJ245">
        <v>1.3</v>
      </c>
      <c r="BK245">
        <v>1.5</v>
      </c>
      <c r="BL245" s="4">
        <v>50.66</v>
      </c>
      <c r="BM245" s="4">
        <v>7.6</v>
      </c>
      <c r="BN245" s="4">
        <v>58.26</v>
      </c>
      <c r="BO245" s="4">
        <v>58.26</v>
      </c>
      <c r="BQ245" t="s">
        <v>121</v>
      </c>
      <c r="BR245" t="s">
        <v>84</v>
      </c>
      <c r="BS245" s="3">
        <v>43774</v>
      </c>
      <c r="BT245" s="5">
        <v>0.43402777777777773</v>
      </c>
      <c r="BU245" t="s">
        <v>612</v>
      </c>
      <c r="BV245" t="s">
        <v>86</v>
      </c>
      <c r="BY245">
        <v>6337.26</v>
      </c>
      <c r="CA245" t="s">
        <v>224</v>
      </c>
      <c r="CC245" t="s">
        <v>177</v>
      </c>
      <c r="CD245">
        <v>3610</v>
      </c>
      <c r="CE245" t="s">
        <v>147</v>
      </c>
      <c r="CF245" s="3">
        <v>43776</v>
      </c>
      <c r="CI245">
        <v>1</v>
      </c>
      <c r="CJ245">
        <v>1</v>
      </c>
      <c r="CK245">
        <v>21</v>
      </c>
      <c r="CL245" t="s">
        <v>89</v>
      </c>
    </row>
    <row r="246" spans="1:90">
      <c r="A246" t="s">
        <v>72</v>
      </c>
      <c r="B246" t="s">
        <v>73</v>
      </c>
      <c r="C246" t="s">
        <v>74</v>
      </c>
      <c r="E246" t="str">
        <f>"FES1162721016"</f>
        <v>FES1162721016</v>
      </c>
      <c r="F246" s="3">
        <v>43773</v>
      </c>
      <c r="G246">
        <v>202005</v>
      </c>
      <c r="H246" t="s">
        <v>75</v>
      </c>
      <c r="I246" t="s">
        <v>76</v>
      </c>
      <c r="J246" t="s">
        <v>77</v>
      </c>
      <c r="K246" t="s">
        <v>78</v>
      </c>
      <c r="L246" t="s">
        <v>451</v>
      </c>
      <c r="M246" t="s">
        <v>452</v>
      </c>
      <c r="N246" t="s">
        <v>613</v>
      </c>
      <c r="O246" t="s">
        <v>82</v>
      </c>
      <c r="P246" t="str">
        <f>"2170715300                    "</f>
        <v xml:space="preserve">2170715300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8.7899999999999991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0.2</v>
      </c>
      <c r="BJ246">
        <v>1.2</v>
      </c>
      <c r="BK246">
        <v>1.5</v>
      </c>
      <c r="BL246" s="4">
        <v>50.66</v>
      </c>
      <c r="BM246" s="4">
        <v>7.6</v>
      </c>
      <c r="BN246" s="4">
        <v>58.26</v>
      </c>
      <c r="BO246" s="4">
        <v>58.26</v>
      </c>
      <c r="BQ246" t="s">
        <v>142</v>
      </c>
      <c r="BR246" t="s">
        <v>84</v>
      </c>
      <c r="BS246" s="3">
        <v>43774</v>
      </c>
      <c r="BT246" s="5">
        <v>0.52569444444444446</v>
      </c>
      <c r="BU246" t="s">
        <v>614</v>
      </c>
      <c r="BV246" t="s">
        <v>86</v>
      </c>
      <c r="BY246">
        <v>5878.29</v>
      </c>
      <c r="CA246" t="s">
        <v>455</v>
      </c>
      <c r="CC246" t="s">
        <v>452</v>
      </c>
      <c r="CD246">
        <v>3310</v>
      </c>
      <c r="CE246" t="s">
        <v>147</v>
      </c>
      <c r="CF246" s="3">
        <v>43776</v>
      </c>
      <c r="CI246">
        <v>1</v>
      </c>
      <c r="CJ246">
        <v>1</v>
      </c>
      <c r="CK246">
        <v>21</v>
      </c>
      <c r="CL246" t="s">
        <v>89</v>
      </c>
    </row>
    <row r="247" spans="1:90">
      <c r="A247" t="s">
        <v>72</v>
      </c>
      <c r="B247" t="s">
        <v>73</v>
      </c>
      <c r="C247" t="s">
        <v>74</v>
      </c>
      <c r="E247" t="str">
        <f>"FES1162721106"</f>
        <v>FES1162721106</v>
      </c>
      <c r="F247" s="3">
        <v>43773</v>
      </c>
      <c r="G247">
        <v>202005</v>
      </c>
      <c r="H247" t="s">
        <v>75</v>
      </c>
      <c r="I247" t="s">
        <v>76</v>
      </c>
      <c r="J247" t="s">
        <v>77</v>
      </c>
      <c r="K247" t="s">
        <v>78</v>
      </c>
      <c r="L247" t="s">
        <v>176</v>
      </c>
      <c r="M247" t="s">
        <v>177</v>
      </c>
      <c r="N247" t="s">
        <v>611</v>
      </c>
      <c r="O247" t="s">
        <v>82</v>
      </c>
      <c r="P247" t="str">
        <f>"2170715377                    "</f>
        <v xml:space="preserve">2170715377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8.7899999999999991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0.2</v>
      </c>
      <c r="BJ247">
        <v>0.8</v>
      </c>
      <c r="BK247">
        <v>1</v>
      </c>
      <c r="BL247" s="4">
        <v>50.66</v>
      </c>
      <c r="BM247" s="4">
        <v>7.6</v>
      </c>
      <c r="BN247" s="4">
        <v>58.26</v>
      </c>
      <c r="BO247" s="4">
        <v>58.26</v>
      </c>
      <c r="BQ247" t="s">
        <v>121</v>
      </c>
      <c r="BR247" t="s">
        <v>84</v>
      </c>
      <c r="BS247" s="3">
        <v>43774</v>
      </c>
      <c r="BT247" s="5">
        <v>0.43402777777777773</v>
      </c>
      <c r="BU247" t="s">
        <v>612</v>
      </c>
      <c r="BV247" t="s">
        <v>86</v>
      </c>
      <c r="BY247">
        <v>4103.72</v>
      </c>
      <c r="CA247" t="s">
        <v>224</v>
      </c>
      <c r="CC247" t="s">
        <v>177</v>
      </c>
      <c r="CD247">
        <v>3610</v>
      </c>
      <c r="CE247" t="s">
        <v>147</v>
      </c>
      <c r="CF247" s="3">
        <v>43776</v>
      </c>
      <c r="CI247">
        <v>1</v>
      </c>
      <c r="CJ247">
        <v>1</v>
      </c>
      <c r="CK247">
        <v>21</v>
      </c>
      <c r="CL247" t="s">
        <v>89</v>
      </c>
    </row>
    <row r="248" spans="1:90">
      <c r="A248" t="s">
        <v>72</v>
      </c>
      <c r="B248" t="s">
        <v>73</v>
      </c>
      <c r="C248" t="s">
        <v>74</v>
      </c>
      <c r="E248" t="str">
        <f>"FES1162721032"</f>
        <v>FES1162721032</v>
      </c>
      <c r="F248" s="3">
        <v>43773</v>
      </c>
      <c r="G248">
        <v>202005</v>
      </c>
      <c r="H248" t="s">
        <v>75</v>
      </c>
      <c r="I248" t="s">
        <v>76</v>
      </c>
      <c r="J248" t="s">
        <v>77</v>
      </c>
      <c r="K248" t="s">
        <v>78</v>
      </c>
      <c r="L248" t="s">
        <v>339</v>
      </c>
      <c r="M248" t="s">
        <v>340</v>
      </c>
      <c r="N248" t="s">
        <v>615</v>
      </c>
      <c r="O248" t="s">
        <v>82</v>
      </c>
      <c r="P248" t="str">
        <f>"217074516                     "</f>
        <v xml:space="preserve">217074516 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15.38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1.4</v>
      </c>
      <c r="BJ248">
        <v>3.2</v>
      </c>
      <c r="BK248">
        <v>3.5</v>
      </c>
      <c r="BL248" s="4">
        <v>88.63</v>
      </c>
      <c r="BM248" s="4">
        <v>13.29</v>
      </c>
      <c r="BN248" s="4">
        <v>101.92</v>
      </c>
      <c r="BO248" s="4">
        <v>101.92</v>
      </c>
      <c r="BR248" t="s">
        <v>84</v>
      </c>
      <c r="BS248" s="3">
        <v>43774</v>
      </c>
      <c r="BT248" s="5">
        <v>0.33333333333333331</v>
      </c>
      <c r="BU248" t="s">
        <v>616</v>
      </c>
      <c r="BV248" t="s">
        <v>86</v>
      </c>
      <c r="BY248">
        <v>15876.9</v>
      </c>
      <c r="CA248" t="s">
        <v>343</v>
      </c>
      <c r="CC248" t="s">
        <v>340</v>
      </c>
      <c r="CD248">
        <v>157</v>
      </c>
      <c r="CE248" t="s">
        <v>147</v>
      </c>
      <c r="CF248" s="3">
        <v>43777</v>
      </c>
      <c r="CI248">
        <v>1</v>
      </c>
      <c r="CJ248">
        <v>1</v>
      </c>
      <c r="CK248">
        <v>21</v>
      </c>
      <c r="CL248" t="s">
        <v>89</v>
      </c>
    </row>
    <row r="249" spans="1:90">
      <c r="A249" t="s">
        <v>72</v>
      </c>
      <c r="B249" t="s">
        <v>73</v>
      </c>
      <c r="C249" t="s">
        <v>74</v>
      </c>
      <c r="E249" t="str">
        <f>"FES1162721136"</f>
        <v>FES1162721136</v>
      </c>
      <c r="F249" s="3">
        <v>43773</v>
      </c>
      <c r="G249">
        <v>202005</v>
      </c>
      <c r="H249" t="s">
        <v>75</v>
      </c>
      <c r="I249" t="s">
        <v>76</v>
      </c>
      <c r="J249" t="s">
        <v>77</v>
      </c>
      <c r="K249" t="s">
        <v>78</v>
      </c>
      <c r="L249" t="s">
        <v>106</v>
      </c>
      <c r="M249" t="s">
        <v>107</v>
      </c>
      <c r="N249" t="s">
        <v>574</v>
      </c>
      <c r="O249" t="s">
        <v>82</v>
      </c>
      <c r="P249" t="str">
        <f>"2170715407                    "</f>
        <v xml:space="preserve">2170715407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26.37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3.4</v>
      </c>
      <c r="BJ249">
        <v>5.8</v>
      </c>
      <c r="BK249">
        <v>6</v>
      </c>
      <c r="BL249" s="4">
        <v>151.91999999999999</v>
      </c>
      <c r="BM249" s="4">
        <v>22.79</v>
      </c>
      <c r="BN249" s="4">
        <v>174.71</v>
      </c>
      <c r="BO249" s="4">
        <v>174.71</v>
      </c>
      <c r="BQ249" t="s">
        <v>142</v>
      </c>
      <c r="BR249" t="s">
        <v>84</v>
      </c>
      <c r="BS249" s="3">
        <v>43774</v>
      </c>
      <c r="BT249" s="5">
        <v>0.40625</v>
      </c>
      <c r="BU249" t="s">
        <v>575</v>
      </c>
      <c r="BV249" t="s">
        <v>86</v>
      </c>
      <c r="BY249">
        <v>29059.8</v>
      </c>
      <c r="CA249" t="s">
        <v>491</v>
      </c>
      <c r="CC249" t="s">
        <v>107</v>
      </c>
      <c r="CD249">
        <v>6012</v>
      </c>
      <c r="CE249" t="s">
        <v>88</v>
      </c>
      <c r="CF249" s="3">
        <v>43775</v>
      </c>
      <c r="CI249">
        <v>1</v>
      </c>
      <c r="CJ249">
        <v>1</v>
      </c>
      <c r="CK249">
        <v>21</v>
      </c>
      <c r="CL249" t="s">
        <v>89</v>
      </c>
    </row>
    <row r="250" spans="1:90">
      <c r="A250" t="s">
        <v>72</v>
      </c>
      <c r="B250" t="s">
        <v>73</v>
      </c>
      <c r="C250" t="s">
        <v>74</v>
      </c>
      <c r="E250" t="str">
        <f>"FES1162721125"</f>
        <v>FES1162721125</v>
      </c>
      <c r="F250" s="3">
        <v>43773</v>
      </c>
      <c r="G250">
        <v>202005</v>
      </c>
      <c r="H250" t="s">
        <v>75</v>
      </c>
      <c r="I250" t="s">
        <v>76</v>
      </c>
      <c r="J250" t="s">
        <v>77</v>
      </c>
      <c r="K250" t="s">
        <v>78</v>
      </c>
      <c r="L250" t="s">
        <v>112</v>
      </c>
      <c r="M250" t="s">
        <v>113</v>
      </c>
      <c r="N250" t="s">
        <v>336</v>
      </c>
      <c r="O250" t="s">
        <v>82</v>
      </c>
      <c r="P250" t="str">
        <f>"2170715400                    "</f>
        <v xml:space="preserve">2170715400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17.579999999999998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1.8</v>
      </c>
      <c r="BJ250">
        <v>3.7</v>
      </c>
      <c r="BK250">
        <v>4</v>
      </c>
      <c r="BL250" s="4">
        <v>101.29</v>
      </c>
      <c r="BM250" s="4">
        <v>15.19</v>
      </c>
      <c r="BN250" s="4">
        <v>116.48</v>
      </c>
      <c r="BO250" s="4">
        <v>116.48</v>
      </c>
      <c r="BQ250" t="s">
        <v>337</v>
      </c>
      <c r="BR250" t="s">
        <v>84</v>
      </c>
      <c r="BS250" s="3">
        <v>43774</v>
      </c>
      <c r="BT250" s="5">
        <v>0.4069444444444445</v>
      </c>
      <c r="BU250" t="s">
        <v>617</v>
      </c>
      <c r="BV250" t="s">
        <v>86</v>
      </c>
      <c r="BY250">
        <v>18715.71</v>
      </c>
      <c r="CA250" t="s">
        <v>428</v>
      </c>
      <c r="CC250" t="s">
        <v>113</v>
      </c>
      <c r="CD250">
        <v>4052</v>
      </c>
      <c r="CE250" t="s">
        <v>88</v>
      </c>
      <c r="CF250" s="3">
        <v>43776</v>
      </c>
      <c r="CI250">
        <v>1</v>
      </c>
      <c r="CJ250">
        <v>1</v>
      </c>
      <c r="CK250">
        <v>21</v>
      </c>
      <c r="CL250" t="s">
        <v>89</v>
      </c>
    </row>
    <row r="251" spans="1:90">
      <c r="A251" t="s">
        <v>72</v>
      </c>
      <c r="B251" t="s">
        <v>73</v>
      </c>
      <c r="C251" t="s">
        <v>74</v>
      </c>
      <c r="E251" t="str">
        <f>"FES1162721123"</f>
        <v>FES1162721123</v>
      </c>
      <c r="F251" s="3">
        <v>43773</v>
      </c>
      <c r="G251">
        <v>202005</v>
      </c>
      <c r="H251" t="s">
        <v>75</v>
      </c>
      <c r="I251" t="s">
        <v>76</v>
      </c>
      <c r="J251" t="s">
        <v>77</v>
      </c>
      <c r="K251" t="s">
        <v>78</v>
      </c>
      <c r="L251" t="s">
        <v>106</v>
      </c>
      <c r="M251" t="s">
        <v>107</v>
      </c>
      <c r="N251" t="s">
        <v>324</v>
      </c>
      <c r="O251" t="s">
        <v>82</v>
      </c>
      <c r="P251" t="str">
        <f>"2170715398                    "</f>
        <v xml:space="preserve">2170715398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21.97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4.8</v>
      </c>
      <c r="BJ251">
        <v>1.2</v>
      </c>
      <c r="BK251">
        <v>5</v>
      </c>
      <c r="BL251" s="4">
        <v>126.6</v>
      </c>
      <c r="BM251" s="4">
        <v>18.989999999999998</v>
      </c>
      <c r="BN251" s="4">
        <v>145.59</v>
      </c>
      <c r="BO251" s="4">
        <v>145.59</v>
      </c>
      <c r="BQ251" t="s">
        <v>121</v>
      </c>
      <c r="BR251" t="s">
        <v>84</v>
      </c>
      <c r="BS251" s="3">
        <v>43774</v>
      </c>
      <c r="BT251" s="5">
        <v>0.37638888888888888</v>
      </c>
      <c r="BU251" t="s">
        <v>318</v>
      </c>
      <c r="BV251" t="s">
        <v>86</v>
      </c>
      <c r="BY251">
        <v>6145.5</v>
      </c>
      <c r="CA251" t="s">
        <v>111</v>
      </c>
      <c r="CC251" t="s">
        <v>107</v>
      </c>
      <c r="CD251">
        <v>6001</v>
      </c>
      <c r="CE251" t="s">
        <v>88</v>
      </c>
      <c r="CF251" s="3">
        <v>43775</v>
      </c>
      <c r="CI251">
        <v>1</v>
      </c>
      <c r="CJ251">
        <v>1</v>
      </c>
      <c r="CK251">
        <v>21</v>
      </c>
      <c r="CL251" t="s">
        <v>89</v>
      </c>
    </row>
    <row r="252" spans="1:90">
      <c r="A252" t="s">
        <v>72</v>
      </c>
      <c r="B252" t="s">
        <v>73</v>
      </c>
      <c r="C252" t="s">
        <v>74</v>
      </c>
      <c r="E252" t="str">
        <f>"FES1162721122"</f>
        <v>FES1162721122</v>
      </c>
      <c r="F252" s="3">
        <v>43773</v>
      </c>
      <c r="G252">
        <v>202005</v>
      </c>
      <c r="H252" t="s">
        <v>75</v>
      </c>
      <c r="I252" t="s">
        <v>76</v>
      </c>
      <c r="J252" t="s">
        <v>77</v>
      </c>
      <c r="K252" t="s">
        <v>78</v>
      </c>
      <c r="L252" t="s">
        <v>270</v>
      </c>
      <c r="M252" t="s">
        <v>271</v>
      </c>
      <c r="N252" t="s">
        <v>618</v>
      </c>
      <c r="O252" t="s">
        <v>82</v>
      </c>
      <c r="P252" t="str">
        <f>"2170715397                    "</f>
        <v xml:space="preserve">2170715397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8.7899999999999991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1.3</v>
      </c>
      <c r="BJ252">
        <v>1.5</v>
      </c>
      <c r="BK252">
        <v>1.5</v>
      </c>
      <c r="BL252" s="4">
        <v>50.66</v>
      </c>
      <c r="BM252" s="4">
        <v>7.6</v>
      </c>
      <c r="BN252" s="4">
        <v>58.26</v>
      </c>
      <c r="BO252" s="4">
        <v>58.26</v>
      </c>
      <c r="BQ252" t="s">
        <v>121</v>
      </c>
      <c r="BR252" t="s">
        <v>84</v>
      </c>
      <c r="BS252" s="3">
        <v>43774</v>
      </c>
      <c r="BT252" s="5">
        <v>0.43402777777777773</v>
      </c>
      <c r="BU252" t="s">
        <v>619</v>
      </c>
      <c r="BV252" t="s">
        <v>86</v>
      </c>
      <c r="BY252">
        <v>7424.22</v>
      </c>
      <c r="CA252" t="s">
        <v>491</v>
      </c>
      <c r="CC252" t="s">
        <v>271</v>
      </c>
      <c r="CD252">
        <v>6220</v>
      </c>
      <c r="CE252" t="s">
        <v>88</v>
      </c>
      <c r="CF252" s="3">
        <v>43775</v>
      </c>
      <c r="CI252">
        <v>1</v>
      </c>
      <c r="CJ252">
        <v>1</v>
      </c>
      <c r="CK252">
        <v>21</v>
      </c>
      <c r="CL252" t="s">
        <v>89</v>
      </c>
    </row>
    <row r="253" spans="1:90">
      <c r="A253" t="s">
        <v>72</v>
      </c>
      <c r="B253" t="s">
        <v>73</v>
      </c>
      <c r="C253" t="s">
        <v>74</v>
      </c>
      <c r="E253" t="str">
        <f>"FES1162721057"</f>
        <v>FES1162721057</v>
      </c>
      <c r="F253" s="3">
        <v>43773</v>
      </c>
      <c r="G253">
        <v>202005</v>
      </c>
      <c r="H253" t="s">
        <v>75</v>
      </c>
      <c r="I253" t="s">
        <v>76</v>
      </c>
      <c r="J253" t="s">
        <v>77</v>
      </c>
      <c r="K253" t="s">
        <v>78</v>
      </c>
      <c r="L253" t="s">
        <v>112</v>
      </c>
      <c r="M253" t="s">
        <v>113</v>
      </c>
      <c r="N253" t="s">
        <v>444</v>
      </c>
      <c r="O253" t="s">
        <v>82</v>
      </c>
      <c r="P253" t="str">
        <f>"2170713457                    "</f>
        <v xml:space="preserve">2170713457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8.7899999999999991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1.4</v>
      </c>
      <c r="BJ253">
        <v>1.5</v>
      </c>
      <c r="BK253">
        <v>1.5</v>
      </c>
      <c r="BL253" s="4">
        <v>50.66</v>
      </c>
      <c r="BM253" s="4">
        <v>7.6</v>
      </c>
      <c r="BN253" s="4">
        <v>58.26</v>
      </c>
      <c r="BO253" s="4">
        <v>58.26</v>
      </c>
      <c r="BQ253" t="s">
        <v>121</v>
      </c>
      <c r="BR253" t="s">
        <v>84</v>
      </c>
      <c r="BS253" s="3">
        <v>43774</v>
      </c>
      <c r="BT253" s="5">
        <v>0.41736111111111113</v>
      </c>
      <c r="BU253" t="s">
        <v>445</v>
      </c>
      <c r="BV253" t="s">
        <v>86</v>
      </c>
      <c r="BY253">
        <v>7419.66</v>
      </c>
      <c r="CA253" t="s">
        <v>428</v>
      </c>
      <c r="CC253" t="s">
        <v>113</v>
      </c>
      <c r="CD253">
        <v>4052</v>
      </c>
      <c r="CE253" t="s">
        <v>88</v>
      </c>
      <c r="CF253" s="3">
        <v>43776</v>
      </c>
      <c r="CI253">
        <v>1</v>
      </c>
      <c r="CJ253">
        <v>1</v>
      </c>
      <c r="CK253">
        <v>21</v>
      </c>
      <c r="CL253" t="s">
        <v>89</v>
      </c>
    </row>
    <row r="254" spans="1:90">
      <c r="A254" t="s">
        <v>72</v>
      </c>
      <c r="B254" t="s">
        <v>73</v>
      </c>
      <c r="C254" t="s">
        <v>74</v>
      </c>
      <c r="E254" t="str">
        <f>"FES1162721049"</f>
        <v>FES1162721049</v>
      </c>
      <c r="F254" s="3">
        <v>43773</v>
      </c>
      <c r="G254">
        <v>202005</v>
      </c>
      <c r="H254" t="s">
        <v>75</v>
      </c>
      <c r="I254" t="s">
        <v>76</v>
      </c>
      <c r="J254" t="s">
        <v>77</v>
      </c>
      <c r="K254" t="s">
        <v>78</v>
      </c>
      <c r="L254" t="s">
        <v>112</v>
      </c>
      <c r="M254" t="s">
        <v>113</v>
      </c>
      <c r="N254" t="s">
        <v>160</v>
      </c>
      <c r="O254" t="s">
        <v>82</v>
      </c>
      <c r="P254" t="str">
        <f>"                              "</f>
        <v xml:space="preserve">          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13.19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1.3</v>
      </c>
      <c r="BJ254">
        <v>2.8</v>
      </c>
      <c r="BK254">
        <v>3</v>
      </c>
      <c r="BL254" s="4">
        <v>75.98</v>
      </c>
      <c r="BM254" s="4">
        <v>11.4</v>
      </c>
      <c r="BN254" s="4">
        <v>87.38</v>
      </c>
      <c r="BO254" s="4">
        <v>87.38</v>
      </c>
      <c r="BQ254" t="s">
        <v>161</v>
      </c>
      <c r="BR254" t="s">
        <v>84</v>
      </c>
      <c r="BS254" s="3">
        <v>43774</v>
      </c>
      <c r="BT254" s="5">
        <v>0.35486111111111113</v>
      </c>
      <c r="BU254" t="s">
        <v>162</v>
      </c>
      <c r="BV254" t="s">
        <v>86</v>
      </c>
      <c r="BY254">
        <v>13778.8</v>
      </c>
      <c r="CA254" t="s">
        <v>163</v>
      </c>
      <c r="CC254" t="s">
        <v>113</v>
      </c>
      <c r="CD254">
        <v>4000</v>
      </c>
      <c r="CE254" t="s">
        <v>88</v>
      </c>
      <c r="CF254" s="3">
        <v>43776</v>
      </c>
      <c r="CI254">
        <v>1</v>
      </c>
      <c r="CJ254">
        <v>1</v>
      </c>
      <c r="CK254">
        <v>21</v>
      </c>
      <c r="CL254" t="s">
        <v>89</v>
      </c>
    </row>
    <row r="255" spans="1:90">
      <c r="A255" t="s">
        <v>72</v>
      </c>
      <c r="B255" t="s">
        <v>73</v>
      </c>
      <c r="C255" t="s">
        <v>74</v>
      </c>
      <c r="E255" t="str">
        <f>"FES1162721161"</f>
        <v>FES1162721161</v>
      </c>
      <c r="F255" s="3">
        <v>43773</v>
      </c>
      <c r="G255">
        <v>202005</v>
      </c>
      <c r="H255" t="s">
        <v>75</v>
      </c>
      <c r="I255" t="s">
        <v>76</v>
      </c>
      <c r="J255" t="s">
        <v>77</v>
      </c>
      <c r="K255" t="s">
        <v>78</v>
      </c>
      <c r="L255" t="s">
        <v>112</v>
      </c>
      <c r="M255" t="s">
        <v>113</v>
      </c>
      <c r="N255" t="s">
        <v>620</v>
      </c>
      <c r="O255" t="s">
        <v>82</v>
      </c>
      <c r="P255" t="str">
        <f>"2170715439                    "</f>
        <v xml:space="preserve">2170715439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8.7899999999999991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0.5</v>
      </c>
      <c r="BJ255">
        <v>1.7</v>
      </c>
      <c r="BK255">
        <v>2</v>
      </c>
      <c r="BL255" s="4">
        <v>50.66</v>
      </c>
      <c r="BM255" s="4">
        <v>7.6</v>
      </c>
      <c r="BN255" s="4">
        <v>58.26</v>
      </c>
      <c r="BO255" s="4">
        <v>58.26</v>
      </c>
      <c r="BQ255" t="s">
        <v>109</v>
      </c>
      <c r="BR255" t="s">
        <v>84</v>
      </c>
      <c r="BS255" s="3">
        <v>43774</v>
      </c>
      <c r="BT255" s="5">
        <v>0.4375</v>
      </c>
      <c r="BU255" t="s">
        <v>621</v>
      </c>
      <c r="BV255" t="s">
        <v>86</v>
      </c>
      <c r="BY255">
        <v>8371.35</v>
      </c>
      <c r="CC255" t="s">
        <v>113</v>
      </c>
      <c r="CD255">
        <v>4302</v>
      </c>
      <c r="CE255" t="s">
        <v>147</v>
      </c>
      <c r="CF255" s="3">
        <v>43776</v>
      </c>
      <c r="CI255">
        <v>1</v>
      </c>
      <c r="CJ255">
        <v>1</v>
      </c>
      <c r="CK255">
        <v>21</v>
      </c>
      <c r="CL255" t="s">
        <v>89</v>
      </c>
    </row>
    <row r="256" spans="1:90">
      <c r="A256" t="s">
        <v>72</v>
      </c>
      <c r="B256" t="s">
        <v>73</v>
      </c>
      <c r="C256" t="s">
        <v>74</v>
      </c>
      <c r="E256" t="str">
        <f>"FES1162721159"</f>
        <v>FES1162721159</v>
      </c>
      <c r="F256" s="3">
        <v>43773</v>
      </c>
      <c r="G256">
        <v>202005</v>
      </c>
      <c r="H256" t="s">
        <v>75</v>
      </c>
      <c r="I256" t="s">
        <v>76</v>
      </c>
      <c r="J256" t="s">
        <v>77</v>
      </c>
      <c r="K256" t="s">
        <v>78</v>
      </c>
      <c r="L256" t="s">
        <v>112</v>
      </c>
      <c r="M256" t="s">
        <v>113</v>
      </c>
      <c r="N256" t="s">
        <v>373</v>
      </c>
      <c r="O256" t="s">
        <v>82</v>
      </c>
      <c r="P256" t="str">
        <f>"2170715436                    "</f>
        <v xml:space="preserve">2170715436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8.7899999999999991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0.2</v>
      </c>
      <c r="BJ256">
        <v>1.2</v>
      </c>
      <c r="BK256">
        <v>1.5</v>
      </c>
      <c r="BL256" s="4">
        <v>50.66</v>
      </c>
      <c r="BM256" s="4">
        <v>7.6</v>
      </c>
      <c r="BN256" s="4">
        <v>58.26</v>
      </c>
      <c r="BO256" s="4">
        <v>58.26</v>
      </c>
      <c r="BQ256" t="s">
        <v>121</v>
      </c>
      <c r="BR256" t="s">
        <v>84</v>
      </c>
      <c r="BS256" s="3">
        <v>43774</v>
      </c>
      <c r="BT256" s="5">
        <v>0.3840277777777778</v>
      </c>
      <c r="BU256" t="s">
        <v>622</v>
      </c>
      <c r="BV256" t="s">
        <v>86</v>
      </c>
      <c r="BY256">
        <v>6244.56</v>
      </c>
      <c r="CA256" t="s">
        <v>448</v>
      </c>
      <c r="CC256" t="s">
        <v>113</v>
      </c>
      <c r="CD256">
        <v>4052</v>
      </c>
      <c r="CE256" t="s">
        <v>147</v>
      </c>
      <c r="CF256" s="3">
        <v>43776</v>
      </c>
      <c r="CI256">
        <v>1</v>
      </c>
      <c r="CJ256">
        <v>1</v>
      </c>
      <c r="CK256">
        <v>21</v>
      </c>
      <c r="CL256" t="s">
        <v>89</v>
      </c>
    </row>
    <row r="257" spans="1:90">
      <c r="A257" t="s">
        <v>72</v>
      </c>
      <c r="B257" t="s">
        <v>73</v>
      </c>
      <c r="C257" t="s">
        <v>74</v>
      </c>
      <c r="E257" t="str">
        <f>"FES1162721127"</f>
        <v>FES1162721127</v>
      </c>
      <c r="F257" s="3">
        <v>43773</v>
      </c>
      <c r="G257">
        <v>202005</v>
      </c>
      <c r="H257" t="s">
        <v>75</v>
      </c>
      <c r="I257" t="s">
        <v>76</v>
      </c>
      <c r="J257" t="s">
        <v>77</v>
      </c>
      <c r="K257" t="s">
        <v>78</v>
      </c>
      <c r="L257" t="s">
        <v>118</v>
      </c>
      <c r="M257" t="s">
        <v>119</v>
      </c>
      <c r="N257" t="s">
        <v>120</v>
      </c>
      <c r="O257" t="s">
        <v>82</v>
      </c>
      <c r="P257" t="str">
        <f>"2170715403                    "</f>
        <v xml:space="preserve">2170715403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32.96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7.3</v>
      </c>
      <c r="BJ257">
        <v>3.4</v>
      </c>
      <c r="BK257">
        <v>7.5</v>
      </c>
      <c r="BL257" s="4">
        <v>189.89</v>
      </c>
      <c r="BM257" s="4">
        <v>28.48</v>
      </c>
      <c r="BN257" s="4">
        <v>218.37</v>
      </c>
      <c r="BO257" s="4">
        <v>218.37</v>
      </c>
      <c r="BQ257" t="s">
        <v>121</v>
      </c>
      <c r="BR257" t="s">
        <v>84</v>
      </c>
      <c r="BS257" s="3">
        <v>43774</v>
      </c>
      <c r="BT257" s="5">
        <v>0.36736111111111108</v>
      </c>
      <c r="BU257" t="s">
        <v>623</v>
      </c>
      <c r="BV257" t="s">
        <v>86</v>
      </c>
      <c r="BY257">
        <v>16751.62</v>
      </c>
      <c r="CA257" t="s">
        <v>435</v>
      </c>
      <c r="CC257" t="s">
        <v>119</v>
      </c>
      <c r="CD257">
        <v>3201</v>
      </c>
      <c r="CE257" t="s">
        <v>88</v>
      </c>
      <c r="CF257" s="3">
        <v>43776</v>
      </c>
      <c r="CI257">
        <v>1</v>
      </c>
      <c r="CJ257">
        <v>1</v>
      </c>
      <c r="CK257">
        <v>21</v>
      </c>
      <c r="CL257" t="s">
        <v>89</v>
      </c>
    </row>
    <row r="258" spans="1:90">
      <c r="A258" t="s">
        <v>72</v>
      </c>
      <c r="B258" t="s">
        <v>73</v>
      </c>
      <c r="C258" t="s">
        <v>74</v>
      </c>
      <c r="E258" t="str">
        <f>"FES1162721166"</f>
        <v>FES1162721166</v>
      </c>
      <c r="F258" s="3">
        <v>43773</v>
      </c>
      <c r="G258">
        <v>202005</v>
      </c>
      <c r="H258" t="s">
        <v>75</v>
      </c>
      <c r="I258" t="s">
        <v>76</v>
      </c>
      <c r="J258" t="s">
        <v>77</v>
      </c>
      <c r="K258" t="s">
        <v>78</v>
      </c>
      <c r="L258" t="s">
        <v>624</v>
      </c>
      <c r="M258" t="s">
        <v>625</v>
      </c>
      <c r="N258" t="s">
        <v>626</v>
      </c>
      <c r="O258" t="s">
        <v>82</v>
      </c>
      <c r="P258" t="str">
        <f>"2170715449                    "</f>
        <v xml:space="preserve">2170715449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17.04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0.2</v>
      </c>
      <c r="BJ258">
        <v>1.2</v>
      </c>
      <c r="BK258">
        <v>1.5</v>
      </c>
      <c r="BL258" s="4">
        <v>98.16</v>
      </c>
      <c r="BM258" s="4">
        <v>14.72</v>
      </c>
      <c r="BN258" s="4">
        <v>112.88</v>
      </c>
      <c r="BO258" s="4">
        <v>112.88</v>
      </c>
      <c r="BQ258" t="s">
        <v>142</v>
      </c>
      <c r="BR258" t="s">
        <v>84</v>
      </c>
      <c r="BS258" s="3">
        <v>43774</v>
      </c>
      <c r="BT258" s="5">
        <v>0.53749999999999998</v>
      </c>
      <c r="BU258" t="s">
        <v>627</v>
      </c>
      <c r="BV258" t="s">
        <v>86</v>
      </c>
      <c r="BY258">
        <v>6164</v>
      </c>
      <c r="CA258" t="s">
        <v>628</v>
      </c>
      <c r="CC258" t="s">
        <v>625</v>
      </c>
      <c r="CD258">
        <v>4170</v>
      </c>
      <c r="CE258" t="s">
        <v>147</v>
      </c>
      <c r="CF258" s="3">
        <v>43776</v>
      </c>
      <c r="CI258">
        <v>1</v>
      </c>
      <c r="CJ258">
        <v>1</v>
      </c>
      <c r="CK258">
        <v>23</v>
      </c>
      <c r="CL258" t="s">
        <v>89</v>
      </c>
    </row>
    <row r="259" spans="1:90">
      <c r="A259" t="s">
        <v>72</v>
      </c>
      <c r="B259" t="s">
        <v>73</v>
      </c>
      <c r="C259" t="s">
        <v>74</v>
      </c>
      <c r="E259" t="str">
        <f>"FES1162721168"</f>
        <v>FES1162721168</v>
      </c>
      <c r="F259" s="3">
        <v>43773</v>
      </c>
      <c r="G259">
        <v>202005</v>
      </c>
      <c r="H259" t="s">
        <v>75</v>
      </c>
      <c r="I259" t="s">
        <v>76</v>
      </c>
      <c r="J259" t="s">
        <v>77</v>
      </c>
      <c r="K259" t="s">
        <v>78</v>
      </c>
      <c r="L259" t="s">
        <v>79</v>
      </c>
      <c r="M259" t="s">
        <v>80</v>
      </c>
      <c r="N259" t="s">
        <v>511</v>
      </c>
      <c r="O259" t="s">
        <v>82</v>
      </c>
      <c r="P259" t="str">
        <f>"2170715453                    "</f>
        <v xml:space="preserve">2170715453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8.7899999999999991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0.2</v>
      </c>
      <c r="BJ259">
        <v>1.4</v>
      </c>
      <c r="BK259">
        <v>1.5</v>
      </c>
      <c r="BL259" s="4">
        <v>50.66</v>
      </c>
      <c r="BM259" s="4">
        <v>7.6</v>
      </c>
      <c r="BN259" s="4">
        <v>58.26</v>
      </c>
      <c r="BO259" s="4">
        <v>58.26</v>
      </c>
      <c r="BQ259" t="s">
        <v>109</v>
      </c>
      <c r="BR259" t="s">
        <v>84</v>
      </c>
      <c r="BS259" s="3">
        <v>43774</v>
      </c>
      <c r="BT259" s="5">
        <v>0.3576388888888889</v>
      </c>
      <c r="BU259" t="s">
        <v>512</v>
      </c>
      <c r="BV259" t="s">
        <v>86</v>
      </c>
      <c r="BY259">
        <v>6791.4</v>
      </c>
      <c r="CA259" t="s">
        <v>87</v>
      </c>
      <c r="CC259" t="s">
        <v>80</v>
      </c>
      <c r="CD259">
        <v>6229</v>
      </c>
      <c r="CE259" t="s">
        <v>147</v>
      </c>
      <c r="CF259" s="3">
        <v>43775</v>
      </c>
      <c r="CI259">
        <v>1</v>
      </c>
      <c r="CJ259">
        <v>1</v>
      </c>
      <c r="CK259">
        <v>21</v>
      </c>
      <c r="CL259" t="s">
        <v>89</v>
      </c>
    </row>
    <row r="260" spans="1:90">
      <c r="A260" t="s">
        <v>72</v>
      </c>
      <c r="B260" t="s">
        <v>73</v>
      </c>
      <c r="C260" t="s">
        <v>74</v>
      </c>
      <c r="E260" t="str">
        <f>"FES1162720879"</f>
        <v>FES1162720879</v>
      </c>
      <c r="F260" s="3">
        <v>43773</v>
      </c>
      <c r="G260">
        <v>202005</v>
      </c>
      <c r="H260" t="s">
        <v>75</v>
      </c>
      <c r="I260" t="s">
        <v>76</v>
      </c>
      <c r="J260" t="s">
        <v>77</v>
      </c>
      <c r="K260" t="s">
        <v>78</v>
      </c>
      <c r="L260" t="s">
        <v>112</v>
      </c>
      <c r="M260" t="s">
        <v>113</v>
      </c>
      <c r="N260" t="s">
        <v>268</v>
      </c>
      <c r="O260" t="s">
        <v>82</v>
      </c>
      <c r="P260" t="str">
        <f>"2170713456                    "</f>
        <v xml:space="preserve">2170713456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15.38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3.4</v>
      </c>
      <c r="BJ260">
        <v>2.1</v>
      </c>
      <c r="BK260">
        <v>3.5</v>
      </c>
      <c r="BL260" s="4">
        <v>88.63</v>
      </c>
      <c r="BM260" s="4">
        <v>13.29</v>
      </c>
      <c r="BN260" s="4">
        <v>101.92</v>
      </c>
      <c r="BO260" s="4">
        <v>101.92</v>
      </c>
      <c r="BQ260" t="s">
        <v>109</v>
      </c>
      <c r="BR260" t="s">
        <v>84</v>
      </c>
      <c r="BS260" s="3">
        <v>43774</v>
      </c>
      <c r="BT260" s="5">
        <v>0.42569444444444443</v>
      </c>
      <c r="BU260" t="s">
        <v>629</v>
      </c>
      <c r="BV260" t="s">
        <v>86</v>
      </c>
      <c r="BY260">
        <v>10578.51</v>
      </c>
      <c r="CA260" t="s">
        <v>448</v>
      </c>
      <c r="CC260" t="s">
        <v>113</v>
      </c>
      <c r="CD260">
        <v>4001</v>
      </c>
      <c r="CE260" t="s">
        <v>88</v>
      </c>
      <c r="CF260" s="3">
        <v>43776</v>
      </c>
      <c r="CI260">
        <v>1</v>
      </c>
      <c r="CJ260">
        <v>1</v>
      </c>
      <c r="CK260">
        <v>21</v>
      </c>
      <c r="CL260" t="s">
        <v>89</v>
      </c>
    </row>
    <row r="261" spans="1:90">
      <c r="A261" t="s">
        <v>72</v>
      </c>
      <c r="B261" t="s">
        <v>73</v>
      </c>
      <c r="C261" t="s">
        <v>74</v>
      </c>
      <c r="E261" t="str">
        <f>"FES1162721089"</f>
        <v>FES1162721089</v>
      </c>
      <c r="F261" s="3">
        <v>43773</v>
      </c>
      <c r="G261">
        <v>202005</v>
      </c>
      <c r="H261" t="s">
        <v>75</v>
      </c>
      <c r="I261" t="s">
        <v>76</v>
      </c>
      <c r="J261" t="s">
        <v>77</v>
      </c>
      <c r="K261" t="s">
        <v>78</v>
      </c>
      <c r="L261" t="s">
        <v>118</v>
      </c>
      <c r="M261" t="s">
        <v>119</v>
      </c>
      <c r="N261" t="s">
        <v>630</v>
      </c>
      <c r="O261" t="s">
        <v>82</v>
      </c>
      <c r="P261" t="str">
        <f>"2170715359                    "</f>
        <v xml:space="preserve">2170715359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21.97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5</v>
      </c>
      <c r="BJ261">
        <v>2.9</v>
      </c>
      <c r="BK261">
        <v>5</v>
      </c>
      <c r="BL261" s="4">
        <v>126.6</v>
      </c>
      <c r="BM261" s="4">
        <v>18.989999999999998</v>
      </c>
      <c r="BN261" s="4">
        <v>145.59</v>
      </c>
      <c r="BO261" s="4">
        <v>145.59</v>
      </c>
      <c r="BQ261" t="s">
        <v>121</v>
      </c>
      <c r="BR261" t="s">
        <v>84</v>
      </c>
      <c r="BS261" s="3">
        <v>43774</v>
      </c>
      <c r="BT261" s="5">
        <v>0.34027777777777773</v>
      </c>
      <c r="BU261" t="s">
        <v>631</v>
      </c>
      <c r="BV261" t="s">
        <v>86</v>
      </c>
      <c r="BY261">
        <v>14349.26</v>
      </c>
      <c r="CA261" t="s">
        <v>632</v>
      </c>
      <c r="CC261" t="s">
        <v>119</v>
      </c>
      <c r="CD261">
        <v>3201</v>
      </c>
      <c r="CE261" t="s">
        <v>88</v>
      </c>
      <c r="CF261" s="3">
        <v>43776</v>
      </c>
      <c r="CI261">
        <v>1</v>
      </c>
      <c r="CJ261">
        <v>1</v>
      </c>
      <c r="CK261">
        <v>21</v>
      </c>
      <c r="CL261" t="s">
        <v>89</v>
      </c>
    </row>
    <row r="262" spans="1:90">
      <c r="A262" t="s">
        <v>72</v>
      </c>
      <c r="B262" t="s">
        <v>73</v>
      </c>
      <c r="C262" t="s">
        <v>74</v>
      </c>
      <c r="E262" t="str">
        <f>"FES1162720998"</f>
        <v>FES1162720998</v>
      </c>
      <c r="F262" s="3">
        <v>43773</v>
      </c>
      <c r="G262">
        <v>202005</v>
      </c>
      <c r="H262" t="s">
        <v>75</v>
      </c>
      <c r="I262" t="s">
        <v>76</v>
      </c>
      <c r="J262" t="s">
        <v>77</v>
      </c>
      <c r="K262" t="s">
        <v>78</v>
      </c>
      <c r="L262" t="s">
        <v>225</v>
      </c>
      <c r="M262" t="s">
        <v>226</v>
      </c>
      <c r="N262" t="s">
        <v>227</v>
      </c>
      <c r="O262" t="s">
        <v>82</v>
      </c>
      <c r="P262" t="str">
        <f>"2170715275                    "</f>
        <v xml:space="preserve">2170715275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19.78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1.6</v>
      </c>
      <c r="BJ262">
        <v>4.5</v>
      </c>
      <c r="BK262">
        <v>4.5</v>
      </c>
      <c r="BL262" s="4">
        <v>113.95</v>
      </c>
      <c r="BM262" s="4">
        <v>17.09</v>
      </c>
      <c r="BN262" s="4">
        <v>131.04</v>
      </c>
      <c r="BO262" s="4">
        <v>131.04</v>
      </c>
      <c r="BQ262" t="s">
        <v>121</v>
      </c>
      <c r="BR262" t="s">
        <v>84</v>
      </c>
      <c r="BS262" s="3">
        <v>43774</v>
      </c>
      <c r="BT262" s="5">
        <v>0.38055555555555554</v>
      </c>
      <c r="BU262" t="s">
        <v>228</v>
      </c>
      <c r="BV262" t="s">
        <v>86</v>
      </c>
      <c r="BY262">
        <v>22479.63</v>
      </c>
      <c r="CA262" t="s">
        <v>229</v>
      </c>
      <c r="CC262" t="s">
        <v>226</v>
      </c>
      <c r="CD262">
        <v>4026</v>
      </c>
      <c r="CE262" t="s">
        <v>88</v>
      </c>
      <c r="CF262" s="3">
        <v>43776</v>
      </c>
      <c r="CI262">
        <v>1</v>
      </c>
      <c r="CJ262">
        <v>1</v>
      </c>
      <c r="CK262">
        <v>21</v>
      </c>
      <c r="CL262" t="s">
        <v>89</v>
      </c>
    </row>
    <row r="263" spans="1:90">
      <c r="A263" t="s">
        <v>72</v>
      </c>
      <c r="B263" t="s">
        <v>73</v>
      </c>
      <c r="C263" t="s">
        <v>74</v>
      </c>
      <c r="E263" t="str">
        <f>"FES1162721128"</f>
        <v>FES1162721128</v>
      </c>
      <c r="F263" s="3">
        <v>43773</v>
      </c>
      <c r="G263">
        <v>202005</v>
      </c>
      <c r="H263" t="s">
        <v>75</v>
      </c>
      <c r="I263" t="s">
        <v>76</v>
      </c>
      <c r="J263" t="s">
        <v>77</v>
      </c>
      <c r="K263" t="s">
        <v>78</v>
      </c>
      <c r="L263" t="s">
        <v>225</v>
      </c>
      <c r="M263" t="s">
        <v>226</v>
      </c>
      <c r="N263" t="s">
        <v>227</v>
      </c>
      <c r="O263" t="s">
        <v>82</v>
      </c>
      <c r="P263" t="str">
        <f>"2170715404                    "</f>
        <v xml:space="preserve">2170715404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24.17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5.0999999999999996</v>
      </c>
      <c r="BJ263">
        <v>1.7</v>
      </c>
      <c r="BK263">
        <v>5.5</v>
      </c>
      <c r="BL263" s="4">
        <v>139.26</v>
      </c>
      <c r="BM263" s="4">
        <v>20.89</v>
      </c>
      <c r="BN263" s="4">
        <v>160.15</v>
      </c>
      <c r="BO263" s="4">
        <v>160.15</v>
      </c>
      <c r="BQ263" t="s">
        <v>121</v>
      </c>
      <c r="BR263" t="s">
        <v>84</v>
      </c>
      <c r="BS263" s="3">
        <v>43774</v>
      </c>
      <c r="BT263" s="5">
        <v>0.38055555555555554</v>
      </c>
      <c r="BU263" t="s">
        <v>228</v>
      </c>
      <c r="BV263" t="s">
        <v>86</v>
      </c>
      <c r="BY263">
        <v>8648.64</v>
      </c>
      <c r="CA263" t="s">
        <v>229</v>
      </c>
      <c r="CC263" t="s">
        <v>226</v>
      </c>
      <c r="CD263">
        <v>4026</v>
      </c>
      <c r="CE263" t="s">
        <v>88</v>
      </c>
      <c r="CF263" s="3">
        <v>43776</v>
      </c>
      <c r="CI263">
        <v>1</v>
      </c>
      <c r="CJ263">
        <v>1</v>
      </c>
      <c r="CK263">
        <v>21</v>
      </c>
      <c r="CL263" t="s">
        <v>89</v>
      </c>
    </row>
    <row r="264" spans="1:90">
      <c r="A264" t="s">
        <v>72</v>
      </c>
      <c r="B264" t="s">
        <v>73</v>
      </c>
      <c r="C264" t="s">
        <v>74</v>
      </c>
      <c r="E264" t="str">
        <f>"FES1162721094"</f>
        <v>FES1162721094</v>
      </c>
      <c r="F264" s="3">
        <v>43773</v>
      </c>
      <c r="G264">
        <v>202005</v>
      </c>
      <c r="H264" t="s">
        <v>75</v>
      </c>
      <c r="I264" t="s">
        <v>76</v>
      </c>
      <c r="J264" t="s">
        <v>77</v>
      </c>
      <c r="K264" t="s">
        <v>78</v>
      </c>
      <c r="L264" t="s">
        <v>112</v>
      </c>
      <c r="M264" t="s">
        <v>113</v>
      </c>
      <c r="N264" t="s">
        <v>633</v>
      </c>
      <c r="O264" t="s">
        <v>82</v>
      </c>
      <c r="P264" t="str">
        <f>"2170715365                    "</f>
        <v xml:space="preserve">2170715365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83.48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5.3</v>
      </c>
      <c r="BJ264">
        <v>18.8</v>
      </c>
      <c r="BK264">
        <v>19</v>
      </c>
      <c r="BL264" s="4">
        <v>480.99</v>
      </c>
      <c r="BM264" s="4">
        <v>72.150000000000006</v>
      </c>
      <c r="BN264" s="4">
        <v>553.14</v>
      </c>
      <c r="BO264" s="4">
        <v>553.14</v>
      </c>
      <c r="BQ264" t="s">
        <v>121</v>
      </c>
      <c r="BR264" t="s">
        <v>84</v>
      </c>
      <c r="BS264" s="3">
        <v>43774</v>
      </c>
      <c r="BT264" s="5">
        <v>0.37847222222222227</v>
      </c>
      <c r="BU264" t="s">
        <v>634</v>
      </c>
      <c r="BV264" t="s">
        <v>86</v>
      </c>
      <c r="BY264">
        <v>94019.07</v>
      </c>
      <c r="CA264" t="s">
        <v>426</v>
      </c>
      <c r="CC264" t="s">
        <v>113</v>
      </c>
      <c r="CD264">
        <v>4017</v>
      </c>
      <c r="CE264" t="s">
        <v>88</v>
      </c>
      <c r="CF264" s="3">
        <v>43776</v>
      </c>
      <c r="CI264">
        <v>1</v>
      </c>
      <c r="CJ264">
        <v>1</v>
      </c>
      <c r="CK264">
        <v>21</v>
      </c>
      <c r="CL264" t="s">
        <v>89</v>
      </c>
    </row>
    <row r="265" spans="1:90">
      <c r="A265" t="s">
        <v>72</v>
      </c>
      <c r="B265" t="s">
        <v>73</v>
      </c>
      <c r="C265" t="s">
        <v>74</v>
      </c>
      <c r="E265" t="str">
        <f>"FES1162721172"</f>
        <v>FES1162721172</v>
      </c>
      <c r="F265" s="3">
        <v>43773</v>
      </c>
      <c r="G265">
        <v>202005</v>
      </c>
      <c r="H265" t="s">
        <v>75</v>
      </c>
      <c r="I265" t="s">
        <v>76</v>
      </c>
      <c r="J265" t="s">
        <v>77</v>
      </c>
      <c r="K265" t="s">
        <v>78</v>
      </c>
      <c r="L265" t="s">
        <v>106</v>
      </c>
      <c r="M265" t="s">
        <v>107</v>
      </c>
      <c r="N265" t="s">
        <v>635</v>
      </c>
      <c r="O265" t="s">
        <v>82</v>
      </c>
      <c r="P265" t="str">
        <f>"2170715454                    "</f>
        <v xml:space="preserve">2170715454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8.7899999999999991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0.2</v>
      </c>
      <c r="BJ265">
        <v>1.5</v>
      </c>
      <c r="BK265">
        <v>1.5</v>
      </c>
      <c r="BL265" s="4">
        <v>50.66</v>
      </c>
      <c r="BM265" s="4">
        <v>7.6</v>
      </c>
      <c r="BN265" s="4">
        <v>58.26</v>
      </c>
      <c r="BO265" s="4">
        <v>58.26</v>
      </c>
      <c r="BQ265" t="s">
        <v>121</v>
      </c>
      <c r="BR265" t="s">
        <v>84</v>
      </c>
      <c r="BS265" s="3">
        <v>43774</v>
      </c>
      <c r="BT265" s="5">
        <v>0.34722222222222227</v>
      </c>
      <c r="BU265" t="s">
        <v>636</v>
      </c>
      <c r="BV265" t="s">
        <v>86</v>
      </c>
      <c r="BY265">
        <v>7310.94</v>
      </c>
      <c r="CA265" t="s">
        <v>491</v>
      </c>
      <c r="CC265" t="s">
        <v>107</v>
      </c>
      <c r="CD265">
        <v>6001</v>
      </c>
      <c r="CE265" t="s">
        <v>147</v>
      </c>
      <c r="CF265" s="3">
        <v>43775</v>
      </c>
      <c r="CI265">
        <v>1</v>
      </c>
      <c r="CJ265">
        <v>1</v>
      </c>
      <c r="CK265">
        <v>21</v>
      </c>
      <c r="CL265" t="s">
        <v>89</v>
      </c>
    </row>
    <row r="266" spans="1:90">
      <c r="A266" t="s">
        <v>72</v>
      </c>
      <c r="B266" t="s">
        <v>73</v>
      </c>
      <c r="C266" t="s">
        <v>74</v>
      </c>
      <c r="E266" t="str">
        <f>"FES1162721171"</f>
        <v>FES1162721171</v>
      </c>
      <c r="F266" s="3">
        <v>43773</v>
      </c>
      <c r="G266">
        <v>202005</v>
      </c>
      <c r="H266" t="s">
        <v>75</v>
      </c>
      <c r="I266" t="s">
        <v>76</v>
      </c>
      <c r="J266" t="s">
        <v>77</v>
      </c>
      <c r="K266" t="s">
        <v>78</v>
      </c>
      <c r="L266" t="s">
        <v>106</v>
      </c>
      <c r="M266" t="s">
        <v>107</v>
      </c>
      <c r="N266" t="s">
        <v>574</v>
      </c>
      <c r="O266" t="s">
        <v>82</v>
      </c>
      <c r="P266" t="str">
        <f>"2170715394                    "</f>
        <v xml:space="preserve">2170715394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8.7899999999999991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1.3</v>
      </c>
      <c r="BJ266">
        <v>1.4</v>
      </c>
      <c r="BK266">
        <v>1.5</v>
      </c>
      <c r="BL266" s="4">
        <v>50.66</v>
      </c>
      <c r="BM266" s="4">
        <v>7.6</v>
      </c>
      <c r="BN266" s="4">
        <v>58.26</v>
      </c>
      <c r="BO266" s="4">
        <v>58.26</v>
      </c>
      <c r="BQ266" t="s">
        <v>142</v>
      </c>
      <c r="BR266" t="s">
        <v>84</v>
      </c>
      <c r="BS266" s="3">
        <v>43774</v>
      </c>
      <c r="BT266" s="5">
        <v>0.36458333333333331</v>
      </c>
      <c r="BU266" t="s">
        <v>636</v>
      </c>
      <c r="BV266" t="s">
        <v>86</v>
      </c>
      <c r="BY266">
        <v>6826.4</v>
      </c>
      <c r="CA266" t="s">
        <v>491</v>
      </c>
      <c r="CC266" t="s">
        <v>107</v>
      </c>
      <c r="CD266">
        <v>6012</v>
      </c>
      <c r="CE266" t="s">
        <v>147</v>
      </c>
      <c r="CF266" s="3">
        <v>43775</v>
      </c>
      <c r="CI266">
        <v>1</v>
      </c>
      <c r="CJ266">
        <v>1</v>
      </c>
      <c r="CK266">
        <v>21</v>
      </c>
      <c r="CL266" t="s">
        <v>89</v>
      </c>
    </row>
    <row r="267" spans="1:90">
      <c r="A267" t="s">
        <v>72</v>
      </c>
      <c r="B267" t="s">
        <v>73</v>
      </c>
      <c r="C267" t="s">
        <v>74</v>
      </c>
      <c r="E267" t="str">
        <f>"FES1162721079"</f>
        <v>FES1162721079</v>
      </c>
      <c r="F267" s="3">
        <v>43773</v>
      </c>
      <c r="G267">
        <v>202005</v>
      </c>
      <c r="H267" t="s">
        <v>75</v>
      </c>
      <c r="I267" t="s">
        <v>76</v>
      </c>
      <c r="J267" t="s">
        <v>77</v>
      </c>
      <c r="K267" t="s">
        <v>78</v>
      </c>
      <c r="L267" t="s">
        <v>176</v>
      </c>
      <c r="M267" t="s">
        <v>177</v>
      </c>
      <c r="N267" t="s">
        <v>611</v>
      </c>
      <c r="O267" t="s">
        <v>82</v>
      </c>
      <c r="P267" t="str">
        <f>"2170715350                    "</f>
        <v xml:space="preserve">2170715350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8.7899999999999991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1.6</v>
      </c>
      <c r="BJ267">
        <v>1.3</v>
      </c>
      <c r="BK267">
        <v>2</v>
      </c>
      <c r="BL267" s="4">
        <v>50.66</v>
      </c>
      <c r="BM267" s="4">
        <v>7.6</v>
      </c>
      <c r="BN267" s="4">
        <v>58.26</v>
      </c>
      <c r="BO267" s="4">
        <v>58.26</v>
      </c>
      <c r="BQ267" t="s">
        <v>121</v>
      </c>
      <c r="BR267" t="s">
        <v>84</v>
      </c>
      <c r="BS267" s="3">
        <v>43774</v>
      </c>
      <c r="BT267" s="5">
        <v>0.43402777777777773</v>
      </c>
      <c r="BU267" t="s">
        <v>612</v>
      </c>
      <c r="BV267" t="s">
        <v>86</v>
      </c>
      <c r="BY267">
        <v>6572.26</v>
      </c>
      <c r="CA267" t="s">
        <v>224</v>
      </c>
      <c r="CC267" t="s">
        <v>177</v>
      </c>
      <c r="CD267">
        <v>3610</v>
      </c>
      <c r="CE267" t="s">
        <v>88</v>
      </c>
      <c r="CF267" s="3">
        <v>43776</v>
      </c>
      <c r="CI267">
        <v>1</v>
      </c>
      <c r="CJ267">
        <v>1</v>
      </c>
      <c r="CK267">
        <v>21</v>
      </c>
      <c r="CL267" t="s">
        <v>89</v>
      </c>
    </row>
    <row r="268" spans="1:90">
      <c r="A268" t="s">
        <v>72</v>
      </c>
      <c r="B268" t="s">
        <v>73</v>
      </c>
      <c r="C268" t="s">
        <v>74</v>
      </c>
      <c r="E268" t="str">
        <f>"FES1162721031"</f>
        <v>FES1162721031</v>
      </c>
      <c r="F268" s="3">
        <v>43773</v>
      </c>
      <c r="G268">
        <v>202005</v>
      </c>
      <c r="H268" t="s">
        <v>75</v>
      </c>
      <c r="I268" t="s">
        <v>76</v>
      </c>
      <c r="J268" t="s">
        <v>77</v>
      </c>
      <c r="K268" t="s">
        <v>78</v>
      </c>
      <c r="L268" t="s">
        <v>112</v>
      </c>
      <c r="M268" t="s">
        <v>113</v>
      </c>
      <c r="N268" t="s">
        <v>637</v>
      </c>
      <c r="O268" t="s">
        <v>82</v>
      </c>
      <c r="P268" t="str">
        <f>"2170715315                    "</f>
        <v xml:space="preserve">2170715315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8.7899999999999991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1.8</v>
      </c>
      <c r="BJ268">
        <v>1.2</v>
      </c>
      <c r="BK268">
        <v>2</v>
      </c>
      <c r="BL268" s="4">
        <v>50.66</v>
      </c>
      <c r="BM268" s="4">
        <v>7.6</v>
      </c>
      <c r="BN268" s="4">
        <v>58.26</v>
      </c>
      <c r="BO268" s="4">
        <v>58.26</v>
      </c>
      <c r="BQ268" t="s">
        <v>121</v>
      </c>
      <c r="BR268" t="s">
        <v>84</v>
      </c>
      <c r="BS268" s="3">
        <v>43774</v>
      </c>
      <c r="BT268" s="5">
        <v>0.38263888888888892</v>
      </c>
      <c r="BU268" t="s">
        <v>638</v>
      </c>
      <c r="BV268" t="s">
        <v>86</v>
      </c>
      <c r="BY268">
        <v>5888.46</v>
      </c>
      <c r="CA268" t="s">
        <v>639</v>
      </c>
      <c r="CC268" t="s">
        <v>113</v>
      </c>
      <c r="CD268">
        <v>4094</v>
      </c>
      <c r="CE268" t="s">
        <v>88</v>
      </c>
      <c r="CF268" s="3">
        <v>43776</v>
      </c>
      <c r="CI268">
        <v>1</v>
      </c>
      <c r="CJ268">
        <v>1</v>
      </c>
      <c r="CK268">
        <v>21</v>
      </c>
      <c r="CL268" t="s">
        <v>89</v>
      </c>
    </row>
    <row r="269" spans="1:90">
      <c r="A269" t="s">
        <v>72</v>
      </c>
      <c r="B269" t="s">
        <v>73</v>
      </c>
      <c r="C269" t="s">
        <v>74</v>
      </c>
      <c r="E269" t="str">
        <f>"FES1162721081"</f>
        <v>FES1162721081</v>
      </c>
      <c r="F269" s="3">
        <v>43773</v>
      </c>
      <c r="G269">
        <v>202005</v>
      </c>
      <c r="H269" t="s">
        <v>75</v>
      </c>
      <c r="I269" t="s">
        <v>76</v>
      </c>
      <c r="J269" t="s">
        <v>77</v>
      </c>
      <c r="K269" t="s">
        <v>78</v>
      </c>
      <c r="L269" t="s">
        <v>112</v>
      </c>
      <c r="M269" t="s">
        <v>113</v>
      </c>
      <c r="N269" t="s">
        <v>640</v>
      </c>
      <c r="O269" t="s">
        <v>82</v>
      </c>
      <c r="P269" t="str">
        <f>"2170715352                    "</f>
        <v xml:space="preserve">2170715352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13.19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2.9</v>
      </c>
      <c r="BJ269">
        <v>1.1000000000000001</v>
      </c>
      <c r="BK269">
        <v>3</v>
      </c>
      <c r="BL269" s="4">
        <v>75.98</v>
      </c>
      <c r="BM269" s="4">
        <v>11.4</v>
      </c>
      <c r="BN269" s="4">
        <v>87.38</v>
      </c>
      <c r="BO269" s="4">
        <v>87.38</v>
      </c>
      <c r="BQ269" t="s">
        <v>121</v>
      </c>
      <c r="BR269" t="s">
        <v>84</v>
      </c>
      <c r="BS269" s="3">
        <v>43774</v>
      </c>
      <c r="BT269" s="5">
        <v>0.35555555555555557</v>
      </c>
      <c r="BU269" t="s">
        <v>641</v>
      </c>
      <c r="BV269" t="s">
        <v>86</v>
      </c>
      <c r="BY269">
        <v>5525.89</v>
      </c>
      <c r="CA269" t="s">
        <v>163</v>
      </c>
      <c r="CC269" t="s">
        <v>113</v>
      </c>
      <c r="CD269">
        <v>4051</v>
      </c>
      <c r="CE269" t="s">
        <v>88</v>
      </c>
      <c r="CF269" s="3">
        <v>43776</v>
      </c>
      <c r="CI269">
        <v>1</v>
      </c>
      <c r="CJ269">
        <v>1</v>
      </c>
      <c r="CK269">
        <v>21</v>
      </c>
      <c r="CL269" t="s">
        <v>89</v>
      </c>
    </row>
    <row r="270" spans="1:90">
      <c r="A270" t="s">
        <v>72</v>
      </c>
      <c r="B270" t="s">
        <v>73</v>
      </c>
      <c r="C270" t="s">
        <v>74</v>
      </c>
      <c r="E270" t="str">
        <f>"FES1162721138"</f>
        <v>FES1162721138</v>
      </c>
      <c r="F270" s="3">
        <v>43773</v>
      </c>
      <c r="G270">
        <v>202005</v>
      </c>
      <c r="H270" t="s">
        <v>75</v>
      </c>
      <c r="I270" t="s">
        <v>76</v>
      </c>
      <c r="J270" t="s">
        <v>77</v>
      </c>
      <c r="K270" t="s">
        <v>78</v>
      </c>
      <c r="L270" t="s">
        <v>124</v>
      </c>
      <c r="M270" t="s">
        <v>125</v>
      </c>
      <c r="N270" t="s">
        <v>642</v>
      </c>
      <c r="O270" t="s">
        <v>82</v>
      </c>
      <c r="P270" t="str">
        <f>"2170715410                    "</f>
        <v xml:space="preserve">2170715410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9.34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2</v>
      </c>
      <c r="BJ270">
        <v>3.2</v>
      </c>
      <c r="BK270">
        <v>3.5</v>
      </c>
      <c r="BL270" s="4">
        <v>53.81</v>
      </c>
      <c r="BM270" s="4">
        <v>8.07</v>
      </c>
      <c r="BN270" s="4">
        <v>61.88</v>
      </c>
      <c r="BO270" s="4">
        <v>61.88</v>
      </c>
      <c r="BQ270" t="s">
        <v>121</v>
      </c>
      <c r="BR270" t="s">
        <v>84</v>
      </c>
      <c r="BS270" s="3">
        <v>43774</v>
      </c>
      <c r="BT270" s="5">
        <v>0.38055555555555554</v>
      </c>
      <c r="BU270" t="s">
        <v>643</v>
      </c>
      <c r="BV270" t="s">
        <v>86</v>
      </c>
      <c r="BY270">
        <v>16134.98</v>
      </c>
      <c r="CC270" t="s">
        <v>125</v>
      </c>
      <c r="CD270">
        <v>2091</v>
      </c>
      <c r="CE270" t="s">
        <v>88</v>
      </c>
      <c r="CF270" s="3">
        <v>43775</v>
      </c>
      <c r="CI270">
        <v>1</v>
      </c>
      <c r="CJ270">
        <v>1</v>
      </c>
      <c r="CK270">
        <v>22</v>
      </c>
      <c r="CL270" t="s">
        <v>89</v>
      </c>
    </row>
    <row r="271" spans="1:90">
      <c r="A271" t="s">
        <v>72</v>
      </c>
      <c r="B271" t="s">
        <v>73</v>
      </c>
      <c r="C271" t="s">
        <v>74</v>
      </c>
      <c r="E271" t="str">
        <f>"FES1162721142"</f>
        <v>FES1162721142</v>
      </c>
      <c r="F271" s="3">
        <v>43773</v>
      </c>
      <c r="G271">
        <v>202005</v>
      </c>
      <c r="H271" t="s">
        <v>75</v>
      </c>
      <c r="I271" t="s">
        <v>76</v>
      </c>
      <c r="J271" t="s">
        <v>77</v>
      </c>
      <c r="K271" t="s">
        <v>78</v>
      </c>
      <c r="L271" t="s">
        <v>124</v>
      </c>
      <c r="M271" t="s">
        <v>125</v>
      </c>
      <c r="N271" t="s">
        <v>218</v>
      </c>
      <c r="O271" t="s">
        <v>82</v>
      </c>
      <c r="P271" t="str">
        <f>"2170715414                    "</f>
        <v xml:space="preserve">2170715414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6.87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2</v>
      </c>
      <c r="BJ271">
        <v>1.5</v>
      </c>
      <c r="BK271">
        <v>2</v>
      </c>
      <c r="BL271" s="4">
        <v>39.58</v>
      </c>
      <c r="BM271" s="4">
        <v>5.94</v>
      </c>
      <c r="BN271" s="4">
        <v>45.52</v>
      </c>
      <c r="BO271" s="4">
        <v>45.52</v>
      </c>
      <c r="BQ271" t="s">
        <v>121</v>
      </c>
      <c r="BR271" t="s">
        <v>84</v>
      </c>
      <c r="BS271" s="3">
        <v>43774</v>
      </c>
      <c r="BT271" s="5">
        <v>0.3659722222222222</v>
      </c>
      <c r="BU271" t="s">
        <v>476</v>
      </c>
      <c r="BV271" t="s">
        <v>86</v>
      </c>
      <c r="BY271">
        <v>7429.5</v>
      </c>
      <c r="CA271" t="s">
        <v>415</v>
      </c>
      <c r="CC271" t="s">
        <v>125</v>
      </c>
      <c r="CD271">
        <v>2094</v>
      </c>
      <c r="CE271" t="s">
        <v>88</v>
      </c>
      <c r="CF271" s="3">
        <v>43775</v>
      </c>
      <c r="CI271">
        <v>1</v>
      </c>
      <c r="CJ271">
        <v>1</v>
      </c>
      <c r="CK271">
        <v>22</v>
      </c>
      <c r="CL271" t="s">
        <v>89</v>
      </c>
    </row>
    <row r="272" spans="1:90">
      <c r="A272" t="s">
        <v>72</v>
      </c>
      <c r="B272" t="s">
        <v>73</v>
      </c>
      <c r="C272" t="s">
        <v>74</v>
      </c>
      <c r="E272" t="str">
        <f>"FES1162721054"</f>
        <v>FES1162721054</v>
      </c>
      <c r="F272" s="3">
        <v>43773</v>
      </c>
      <c r="G272">
        <v>202005</v>
      </c>
      <c r="H272" t="s">
        <v>75</v>
      </c>
      <c r="I272" t="s">
        <v>76</v>
      </c>
      <c r="J272" t="s">
        <v>77</v>
      </c>
      <c r="K272" t="s">
        <v>78</v>
      </c>
      <c r="L272" t="s">
        <v>124</v>
      </c>
      <c r="M272" t="s">
        <v>125</v>
      </c>
      <c r="N272" t="s">
        <v>230</v>
      </c>
      <c r="O272" t="s">
        <v>82</v>
      </c>
      <c r="P272" t="str">
        <f>"2170712793                    "</f>
        <v xml:space="preserve">2170712793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14.28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6.1</v>
      </c>
      <c r="BJ272">
        <v>4.0999999999999996</v>
      </c>
      <c r="BK272">
        <v>6.5</v>
      </c>
      <c r="BL272" s="4">
        <v>82.27</v>
      </c>
      <c r="BM272" s="4">
        <v>12.34</v>
      </c>
      <c r="BN272" s="4">
        <v>94.61</v>
      </c>
      <c r="BO272" s="4">
        <v>94.61</v>
      </c>
      <c r="BQ272" t="s">
        <v>109</v>
      </c>
      <c r="BR272" t="s">
        <v>84</v>
      </c>
      <c r="BS272" s="3">
        <v>43774</v>
      </c>
      <c r="BT272" s="5">
        <v>0.41666666666666669</v>
      </c>
      <c r="BU272" t="s">
        <v>231</v>
      </c>
      <c r="BV272" t="s">
        <v>86</v>
      </c>
      <c r="BY272">
        <v>20567.82</v>
      </c>
      <c r="CC272" t="s">
        <v>125</v>
      </c>
      <c r="CD272">
        <v>2091</v>
      </c>
      <c r="CE272" t="s">
        <v>88</v>
      </c>
      <c r="CF272" s="3">
        <v>43775</v>
      </c>
      <c r="CI272">
        <v>1</v>
      </c>
      <c r="CJ272">
        <v>1</v>
      </c>
      <c r="CK272">
        <v>22</v>
      </c>
      <c r="CL272" t="s">
        <v>89</v>
      </c>
    </row>
    <row r="273" spans="1:90">
      <c r="A273" t="s">
        <v>72</v>
      </c>
      <c r="B273" t="s">
        <v>73</v>
      </c>
      <c r="C273" t="s">
        <v>74</v>
      </c>
      <c r="E273" t="str">
        <f>"FES1162721130"</f>
        <v>FES1162721130</v>
      </c>
      <c r="F273" s="3">
        <v>43773</v>
      </c>
      <c r="G273">
        <v>202005</v>
      </c>
      <c r="H273" t="s">
        <v>75</v>
      </c>
      <c r="I273" t="s">
        <v>76</v>
      </c>
      <c r="J273" t="s">
        <v>77</v>
      </c>
      <c r="K273" t="s">
        <v>78</v>
      </c>
      <c r="L273" t="s">
        <v>124</v>
      </c>
      <c r="M273" t="s">
        <v>125</v>
      </c>
      <c r="N273" t="s">
        <v>644</v>
      </c>
      <c r="O273" t="s">
        <v>82</v>
      </c>
      <c r="P273" t="str">
        <f>"2170713309                    "</f>
        <v xml:space="preserve">2170713309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6.87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1.8</v>
      </c>
      <c r="BJ273">
        <v>1.7</v>
      </c>
      <c r="BK273">
        <v>2</v>
      </c>
      <c r="BL273" s="4">
        <v>39.58</v>
      </c>
      <c r="BM273" s="4">
        <v>5.94</v>
      </c>
      <c r="BN273" s="4">
        <v>45.52</v>
      </c>
      <c r="BO273" s="4">
        <v>45.52</v>
      </c>
      <c r="BQ273" t="s">
        <v>109</v>
      </c>
      <c r="BR273" t="s">
        <v>84</v>
      </c>
      <c r="BS273" s="3">
        <v>43774</v>
      </c>
      <c r="BT273" s="5">
        <v>0.40069444444444446</v>
      </c>
      <c r="BU273" t="s">
        <v>645</v>
      </c>
      <c r="BV273" t="s">
        <v>86</v>
      </c>
      <c r="BY273">
        <v>8379.17</v>
      </c>
      <c r="CA273" t="s">
        <v>646</v>
      </c>
      <c r="CC273" t="s">
        <v>125</v>
      </c>
      <c r="CD273">
        <v>2092</v>
      </c>
      <c r="CE273" t="s">
        <v>88</v>
      </c>
      <c r="CF273" s="3">
        <v>43775</v>
      </c>
      <c r="CI273">
        <v>1</v>
      </c>
      <c r="CJ273">
        <v>1</v>
      </c>
      <c r="CK273">
        <v>22</v>
      </c>
      <c r="CL273" t="s">
        <v>89</v>
      </c>
    </row>
    <row r="274" spans="1:90">
      <c r="A274" t="s">
        <v>72</v>
      </c>
      <c r="B274" t="s">
        <v>73</v>
      </c>
      <c r="C274" t="s">
        <v>74</v>
      </c>
      <c r="E274" t="str">
        <f>"FES1162721131"</f>
        <v>FES1162721131</v>
      </c>
      <c r="F274" s="3">
        <v>43773</v>
      </c>
      <c r="G274">
        <v>202005</v>
      </c>
      <c r="H274" t="s">
        <v>75</v>
      </c>
      <c r="I274" t="s">
        <v>76</v>
      </c>
      <c r="J274" t="s">
        <v>77</v>
      </c>
      <c r="K274" t="s">
        <v>78</v>
      </c>
      <c r="L274" t="s">
        <v>75</v>
      </c>
      <c r="M274" t="s">
        <v>76</v>
      </c>
      <c r="N274" t="s">
        <v>647</v>
      </c>
      <c r="O274" t="s">
        <v>82</v>
      </c>
      <c r="P274" t="str">
        <f>"2170713911                    "</f>
        <v xml:space="preserve">2170713911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14.28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6.1</v>
      </c>
      <c r="BJ274">
        <v>3.1</v>
      </c>
      <c r="BK274">
        <v>6.5</v>
      </c>
      <c r="BL274" s="4">
        <v>82.27</v>
      </c>
      <c r="BM274" s="4">
        <v>12.34</v>
      </c>
      <c r="BN274" s="4">
        <v>94.61</v>
      </c>
      <c r="BO274" s="4">
        <v>94.61</v>
      </c>
      <c r="BQ274" t="s">
        <v>648</v>
      </c>
      <c r="BR274" t="s">
        <v>84</v>
      </c>
      <c r="BS274" s="3">
        <v>43774</v>
      </c>
      <c r="BT274" s="5">
        <v>0.30069444444444443</v>
      </c>
      <c r="BU274" t="s">
        <v>649</v>
      </c>
      <c r="BV274" t="s">
        <v>86</v>
      </c>
      <c r="BY274">
        <v>15715.7</v>
      </c>
      <c r="CA274" t="s">
        <v>362</v>
      </c>
      <c r="CC274" t="s">
        <v>76</v>
      </c>
      <c r="CD274">
        <v>1645</v>
      </c>
      <c r="CE274" t="s">
        <v>88</v>
      </c>
      <c r="CF274" s="3">
        <v>43775</v>
      </c>
      <c r="CI274">
        <v>1</v>
      </c>
      <c r="CJ274">
        <v>1</v>
      </c>
      <c r="CK274">
        <v>22</v>
      </c>
      <c r="CL274" t="s">
        <v>89</v>
      </c>
    </row>
    <row r="275" spans="1:90">
      <c r="A275" t="s">
        <v>72</v>
      </c>
      <c r="B275" t="s">
        <v>73</v>
      </c>
      <c r="C275" t="s">
        <v>74</v>
      </c>
      <c r="E275" t="str">
        <f>"FES1162721134"</f>
        <v>FES1162721134</v>
      </c>
      <c r="F275" s="3">
        <v>43773</v>
      </c>
      <c r="G275">
        <v>202005</v>
      </c>
      <c r="H275" t="s">
        <v>75</v>
      </c>
      <c r="I275" t="s">
        <v>76</v>
      </c>
      <c r="J275" t="s">
        <v>77</v>
      </c>
      <c r="K275" t="s">
        <v>78</v>
      </c>
      <c r="L275" t="s">
        <v>90</v>
      </c>
      <c r="M275" t="s">
        <v>91</v>
      </c>
      <c r="N275" t="s">
        <v>650</v>
      </c>
      <c r="O275" t="s">
        <v>82</v>
      </c>
      <c r="P275" t="str">
        <f>"2170714974                    "</f>
        <v xml:space="preserve">2170714974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8.7899999999999991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1.1000000000000001</v>
      </c>
      <c r="BJ275">
        <v>0.9</v>
      </c>
      <c r="BK275">
        <v>1.5</v>
      </c>
      <c r="BL275" s="4">
        <v>50.66</v>
      </c>
      <c r="BM275" s="4">
        <v>7.6</v>
      </c>
      <c r="BN275" s="4">
        <v>58.26</v>
      </c>
      <c r="BO275" s="4">
        <v>58.26</v>
      </c>
      <c r="BQ275" t="s">
        <v>121</v>
      </c>
      <c r="BR275" t="s">
        <v>84</v>
      </c>
      <c r="BS275" s="3">
        <v>43774</v>
      </c>
      <c r="BT275" s="5">
        <v>0.4375</v>
      </c>
      <c r="BU275" t="s">
        <v>651</v>
      </c>
      <c r="BV275" t="s">
        <v>86</v>
      </c>
      <c r="BY275">
        <v>4294.68</v>
      </c>
      <c r="CA275" t="s">
        <v>213</v>
      </c>
      <c r="CC275" t="s">
        <v>91</v>
      </c>
      <c r="CD275">
        <v>7441</v>
      </c>
      <c r="CE275" t="s">
        <v>88</v>
      </c>
      <c r="CF275" s="3">
        <v>43775</v>
      </c>
      <c r="CI275">
        <v>1</v>
      </c>
      <c r="CJ275">
        <v>1</v>
      </c>
      <c r="CK275">
        <v>21</v>
      </c>
      <c r="CL275" t="s">
        <v>89</v>
      </c>
    </row>
    <row r="276" spans="1:90">
      <c r="A276" t="s">
        <v>72</v>
      </c>
      <c r="B276" t="s">
        <v>73</v>
      </c>
      <c r="C276" t="s">
        <v>74</v>
      </c>
      <c r="E276" t="str">
        <f>"FES1162721153"</f>
        <v>FES1162721153</v>
      </c>
      <c r="F276" s="3">
        <v>43773</v>
      </c>
      <c r="G276">
        <v>202005</v>
      </c>
      <c r="H276" t="s">
        <v>75</v>
      </c>
      <c r="I276" t="s">
        <v>76</v>
      </c>
      <c r="J276" t="s">
        <v>77</v>
      </c>
      <c r="K276" t="s">
        <v>78</v>
      </c>
      <c r="L276" t="s">
        <v>106</v>
      </c>
      <c r="M276" t="s">
        <v>107</v>
      </c>
      <c r="N276" t="s">
        <v>386</v>
      </c>
      <c r="O276" t="s">
        <v>82</v>
      </c>
      <c r="P276" t="str">
        <f>"2170715428                    "</f>
        <v xml:space="preserve">2170715428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10.99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2.2999999999999998</v>
      </c>
      <c r="BJ276">
        <v>1.3</v>
      </c>
      <c r="BK276">
        <v>2.5</v>
      </c>
      <c r="BL276" s="4">
        <v>63.32</v>
      </c>
      <c r="BM276" s="4">
        <v>9.5</v>
      </c>
      <c r="BN276" s="4">
        <v>72.819999999999993</v>
      </c>
      <c r="BO276" s="4">
        <v>72.819999999999993</v>
      </c>
      <c r="BQ276" t="s">
        <v>387</v>
      </c>
      <c r="BR276" t="s">
        <v>84</v>
      </c>
      <c r="BS276" s="3">
        <v>43774</v>
      </c>
      <c r="BT276" s="5">
        <v>0.37916666666666665</v>
      </c>
      <c r="BU276" t="s">
        <v>652</v>
      </c>
      <c r="BV276" t="s">
        <v>86</v>
      </c>
      <c r="BY276">
        <v>6396.22</v>
      </c>
      <c r="CA276" t="s">
        <v>111</v>
      </c>
      <c r="CC276" t="s">
        <v>107</v>
      </c>
      <c r="CD276">
        <v>6001</v>
      </c>
      <c r="CE276" t="s">
        <v>88</v>
      </c>
      <c r="CF276" s="3">
        <v>43775</v>
      </c>
      <c r="CI276">
        <v>1</v>
      </c>
      <c r="CJ276">
        <v>1</v>
      </c>
      <c r="CK276">
        <v>21</v>
      </c>
      <c r="CL276" t="s">
        <v>89</v>
      </c>
    </row>
    <row r="277" spans="1:90">
      <c r="A277" t="s">
        <v>72</v>
      </c>
      <c r="B277" t="s">
        <v>73</v>
      </c>
      <c r="C277" t="s">
        <v>74</v>
      </c>
      <c r="E277" t="str">
        <f>"FES1162721101"</f>
        <v>FES1162721101</v>
      </c>
      <c r="F277" s="3">
        <v>43773</v>
      </c>
      <c r="G277">
        <v>202005</v>
      </c>
      <c r="H277" t="s">
        <v>75</v>
      </c>
      <c r="I277" t="s">
        <v>76</v>
      </c>
      <c r="J277" t="s">
        <v>77</v>
      </c>
      <c r="K277" t="s">
        <v>78</v>
      </c>
      <c r="L277" t="s">
        <v>90</v>
      </c>
      <c r="M277" t="s">
        <v>91</v>
      </c>
      <c r="N277" t="s">
        <v>538</v>
      </c>
      <c r="O277" t="s">
        <v>82</v>
      </c>
      <c r="P277" t="str">
        <f>"2170710797                    "</f>
        <v xml:space="preserve">2170710797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48.33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6.4</v>
      </c>
      <c r="BJ277">
        <v>10.8</v>
      </c>
      <c r="BK277">
        <v>11</v>
      </c>
      <c r="BL277" s="4">
        <v>278.48</v>
      </c>
      <c r="BM277" s="4">
        <v>41.77</v>
      </c>
      <c r="BN277" s="4">
        <v>320.25</v>
      </c>
      <c r="BO277" s="4">
        <v>320.25</v>
      </c>
      <c r="BQ277" t="s">
        <v>109</v>
      </c>
      <c r="BR277" t="s">
        <v>84</v>
      </c>
      <c r="BS277" s="3">
        <v>43774</v>
      </c>
      <c r="BT277" s="5">
        <v>0.3430555555555555</v>
      </c>
      <c r="BU277" t="s">
        <v>539</v>
      </c>
      <c r="BV277" t="s">
        <v>86</v>
      </c>
      <c r="BY277">
        <v>53851.92</v>
      </c>
      <c r="CA277" t="s">
        <v>540</v>
      </c>
      <c r="CC277" t="s">
        <v>91</v>
      </c>
      <c r="CD277">
        <v>7530</v>
      </c>
      <c r="CE277" t="s">
        <v>88</v>
      </c>
      <c r="CF277" s="3">
        <v>43775</v>
      </c>
      <c r="CI277">
        <v>1</v>
      </c>
      <c r="CJ277">
        <v>1</v>
      </c>
      <c r="CK277">
        <v>21</v>
      </c>
      <c r="CL277" t="s">
        <v>89</v>
      </c>
    </row>
    <row r="278" spans="1:90">
      <c r="A278" t="s">
        <v>72</v>
      </c>
      <c r="B278" t="s">
        <v>73</v>
      </c>
      <c r="C278" t="s">
        <v>74</v>
      </c>
      <c r="E278" t="str">
        <f>"FES1162720855"</f>
        <v>FES1162720855</v>
      </c>
      <c r="F278" s="3">
        <v>43773</v>
      </c>
      <c r="G278">
        <v>202005</v>
      </c>
      <c r="H278" t="s">
        <v>75</v>
      </c>
      <c r="I278" t="s">
        <v>76</v>
      </c>
      <c r="J278" t="s">
        <v>77</v>
      </c>
      <c r="K278" t="s">
        <v>78</v>
      </c>
      <c r="L278" t="s">
        <v>653</v>
      </c>
      <c r="M278" t="s">
        <v>654</v>
      </c>
      <c r="N278" t="s">
        <v>655</v>
      </c>
      <c r="O278" t="s">
        <v>82</v>
      </c>
      <c r="P278" t="str">
        <f>"2170710686                    "</f>
        <v xml:space="preserve">2170710686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10.99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2.1</v>
      </c>
      <c r="BJ278">
        <v>1.3</v>
      </c>
      <c r="BK278">
        <v>2.5</v>
      </c>
      <c r="BL278" s="4">
        <v>63.32</v>
      </c>
      <c r="BM278" s="4">
        <v>9.5</v>
      </c>
      <c r="BN278" s="4">
        <v>72.819999999999993</v>
      </c>
      <c r="BO278" s="4">
        <v>72.819999999999993</v>
      </c>
      <c r="BQ278" t="s">
        <v>109</v>
      </c>
      <c r="BR278" t="s">
        <v>84</v>
      </c>
      <c r="BS278" s="3">
        <v>43774</v>
      </c>
      <c r="BT278" s="5">
        <v>0.4375</v>
      </c>
      <c r="BU278" t="s">
        <v>656</v>
      </c>
      <c r="BV278" t="s">
        <v>86</v>
      </c>
      <c r="BY278">
        <v>6285.18</v>
      </c>
      <c r="CC278" t="s">
        <v>654</v>
      </c>
      <c r="CD278">
        <v>4300</v>
      </c>
      <c r="CE278" t="s">
        <v>88</v>
      </c>
      <c r="CF278" s="3">
        <v>43776</v>
      </c>
      <c r="CI278">
        <v>1</v>
      </c>
      <c r="CJ278">
        <v>1</v>
      </c>
      <c r="CK278">
        <v>21</v>
      </c>
      <c r="CL278" t="s">
        <v>89</v>
      </c>
    </row>
    <row r="279" spans="1:90">
      <c r="A279" t="s">
        <v>72</v>
      </c>
      <c r="B279" t="s">
        <v>73</v>
      </c>
      <c r="C279" t="s">
        <v>74</v>
      </c>
      <c r="E279" t="str">
        <f>"FES1162720914"</f>
        <v>FES1162720914</v>
      </c>
      <c r="F279" s="3">
        <v>43773</v>
      </c>
      <c r="G279">
        <v>202005</v>
      </c>
      <c r="H279" t="s">
        <v>75</v>
      </c>
      <c r="I279" t="s">
        <v>76</v>
      </c>
      <c r="J279" t="s">
        <v>77</v>
      </c>
      <c r="K279" t="s">
        <v>78</v>
      </c>
      <c r="L279" t="s">
        <v>176</v>
      </c>
      <c r="M279" t="s">
        <v>177</v>
      </c>
      <c r="N279" t="s">
        <v>334</v>
      </c>
      <c r="O279" t="s">
        <v>82</v>
      </c>
      <c r="P279" t="str">
        <f>"2170714624                    "</f>
        <v xml:space="preserve">2170714624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8.7899999999999991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0.2</v>
      </c>
      <c r="BJ279">
        <v>1.5</v>
      </c>
      <c r="BK279">
        <v>1.5</v>
      </c>
      <c r="BL279" s="4">
        <v>50.66</v>
      </c>
      <c r="BM279" s="4">
        <v>7.6</v>
      </c>
      <c r="BN279" s="4">
        <v>58.26</v>
      </c>
      <c r="BO279" s="4">
        <v>58.26</v>
      </c>
      <c r="BQ279" t="s">
        <v>121</v>
      </c>
      <c r="BR279" t="s">
        <v>84</v>
      </c>
      <c r="BS279" s="3">
        <v>43774</v>
      </c>
      <c r="BT279" s="5">
        <v>0.42708333333333331</v>
      </c>
      <c r="BU279" t="s">
        <v>302</v>
      </c>
      <c r="BV279" t="s">
        <v>86</v>
      </c>
      <c r="BY279">
        <v>7364.4</v>
      </c>
      <c r="CA279" t="s">
        <v>180</v>
      </c>
      <c r="CC279" t="s">
        <v>177</v>
      </c>
      <c r="CD279">
        <v>3610</v>
      </c>
      <c r="CE279" t="s">
        <v>147</v>
      </c>
      <c r="CF279" s="3">
        <v>43776</v>
      </c>
      <c r="CI279">
        <v>1</v>
      </c>
      <c r="CJ279">
        <v>1</v>
      </c>
      <c r="CK279">
        <v>21</v>
      </c>
      <c r="CL279" t="s">
        <v>89</v>
      </c>
    </row>
    <row r="280" spans="1:90">
      <c r="A280" t="s">
        <v>72</v>
      </c>
      <c r="B280" t="s">
        <v>73</v>
      </c>
      <c r="C280" t="s">
        <v>74</v>
      </c>
      <c r="E280" t="str">
        <f>"FES1162720989"</f>
        <v>FES1162720989</v>
      </c>
      <c r="F280" s="3">
        <v>43773</v>
      </c>
      <c r="G280">
        <v>202005</v>
      </c>
      <c r="H280" t="s">
        <v>75</v>
      </c>
      <c r="I280" t="s">
        <v>76</v>
      </c>
      <c r="J280" t="s">
        <v>77</v>
      </c>
      <c r="K280" t="s">
        <v>78</v>
      </c>
      <c r="L280" t="s">
        <v>106</v>
      </c>
      <c r="M280" t="s">
        <v>107</v>
      </c>
      <c r="N280" t="s">
        <v>128</v>
      </c>
      <c r="O280" t="s">
        <v>82</v>
      </c>
      <c r="P280" t="str">
        <f>"2170715265                    "</f>
        <v xml:space="preserve">2170715265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13.19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2.4</v>
      </c>
      <c r="BJ280">
        <v>2.9</v>
      </c>
      <c r="BK280">
        <v>3</v>
      </c>
      <c r="BL280" s="4">
        <v>75.98</v>
      </c>
      <c r="BM280" s="4">
        <v>11.4</v>
      </c>
      <c r="BN280" s="4">
        <v>87.38</v>
      </c>
      <c r="BO280" s="4">
        <v>87.38</v>
      </c>
      <c r="BQ280" t="s">
        <v>121</v>
      </c>
      <c r="BR280" t="s">
        <v>84</v>
      </c>
      <c r="BS280" s="3">
        <v>43774</v>
      </c>
      <c r="BT280" s="5">
        <v>0.34027777777777773</v>
      </c>
      <c r="BU280" t="s">
        <v>657</v>
      </c>
      <c r="BV280" t="s">
        <v>86</v>
      </c>
      <c r="BY280">
        <v>14594.43</v>
      </c>
      <c r="CA280" t="s">
        <v>87</v>
      </c>
      <c r="CC280" t="s">
        <v>107</v>
      </c>
      <c r="CD280">
        <v>6001</v>
      </c>
      <c r="CE280" t="s">
        <v>88</v>
      </c>
      <c r="CF280" s="3">
        <v>43775</v>
      </c>
      <c r="CI280">
        <v>1</v>
      </c>
      <c r="CJ280">
        <v>1</v>
      </c>
      <c r="CK280">
        <v>21</v>
      </c>
      <c r="CL280" t="s">
        <v>89</v>
      </c>
    </row>
    <row r="281" spans="1:90">
      <c r="A281" t="s">
        <v>72</v>
      </c>
      <c r="B281" t="s">
        <v>73</v>
      </c>
      <c r="C281" t="s">
        <v>74</v>
      </c>
      <c r="E281" t="str">
        <f>"FES1162720848"</f>
        <v>FES1162720848</v>
      </c>
      <c r="F281" s="3">
        <v>43773</v>
      </c>
      <c r="G281">
        <v>202005</v>
      </c>
      <c r="H281" t="s">
        <v>75</v>
      </c>
      <c r="I281" t="s">
        <v>76</v>
      </c>
      <c r="J281" t="s">
        <v>77</v>
      </c>
      <c r="K281" t="s">
        <v>78</v>
      </c>
      <c r="L281" t="s">
        <v>106</v>
      </c>
      <c r="M281" t="s">
        <v>107</v>
      </c>
      <c r="N281" t="s">
        <v>128</v>
      </c>
      <c r="O281" t="s">
        <v>82</v>
      </c>
      <c r="P281" t="str">
        <f>"2170709643                    "</f>
        <v xml:space="preserve">2170709643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8.7899999999999991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1.8</v>
      </c>
      <c r="BJ281">
        <v>1.3</v>
      </c>
      <c r="BK281">
        <v>2</v>
      </c>
      <c r="BL281" s="4">
        <v>50.66</v>
      </c>
      <c r="BM281" s="4">
        <v>7.6</v>
      </c>
      <c r="BN281" s="4">
        <v>58.26</v>
      </c>
      <c r="BO281" s="4">
        <v>58.26</v>
      </c>
      <c r="BQ281" t="s">
        <v>121</v>
      </c>
      <c r="BR281" t="s">
        <v>84</v>
      </c>
      <c r="BS281" s="3">
        <v>43774</v>
      </c>
      <c r="BT281" s="5">
        <v>0.33333333333333331</v>
      </c>
      <c r="BU281" t="s">
        <v>129</v>
      </c>
      <c r="BV281" t="s">
        <v>86</v>
      </c>
      <c r="BY281">
        <v>6296.66</v>
      </c>
      <c r="CA281" t="s">
        <v>87</v>
      </c>
      <c r="CC281" t="s">
        <v>107</v>
      </c>
      <c r="CD281">
        <v>6001</v>
      </c>
      <c r="CE281" t="s">
        <v>88</v>
      </c>
      <c r="CF281" s="3">
        <v>43775</v>
      </c>
      <c r="CI281">
        <v>1</v>
      </c>
      <c r="CJ281">
        <v>1</v>
      </c>
      <c r="CK281">
        <v>21</v>
      </c>
      <c r="CL281" t="s">
        <v>89</v>
      </c>
    </row>
    <row r="282" spans="1:90">
      <c r="A282" t="s">
        <v>72</v>
      </c>
      <c r="B282" t="s">
        <v>73</v>
      </c>
      <c r="C282" t="s">
        <v>74</v>
      </c>
      <c r="E282" t="str">
        <f>"FES1162720890"</f>
        <v>FES1162720890</v>
      </c>
      <c r="F282" s="3">
        <v>43773</v>
      </c>
      <c r="G282">
        <v>202005</v>
      </c>
      <c r="H282" t="s">
        <v>75</v>
      </c>
      <c r="I282" t="s">
        <v>76</v>
      </c>
      <c r="J282" t="s">
        <v>77</v>
      </c>
      <c r="K282" t="s">
        <v>78</v>
      </c>
      <c r="L282" t="s">
        <v>296</v>
      </c>
      <c r="M282" t="s">
        <v>297</v>
      </c>
      <c r="N282" t="s">
        <v>298</v>
      </c>
      <c r="O282" t="s">
        <v>82</v>
      </c>
      <c r="P282" t="str">
        <f>"2170714049                    "</f>
        <v xml:space="preserve">2170714049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24.73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3</v>
      </c>
      <c r="BJ282">
        <v>1.2</v>
      </c>
      <c r="BK282">
        <v>3</v>
      </c>
      <c r="BL282" s="4">
        <v>142.49</v>
      </c>
      <c r="BM282" s="4">
        <v>21.37</v>
      </c>
      <c r="BN282" s="4">
        <v>163.86</v>
      </c>
      <c r="BO282" s="4">
        <v>163.86</v>
      </c>
      <c r="BQ282" t="s">
        <v>121</v>
      </c>
      <c r="BR282" t="s">
        <v>84</v>
      </c>
      <c r="BS282" s="3">
        <v>43775</v>
      </c>
      <c r="BT282" s="5">
        <v>0.57013888888888886</v>
      </c>
      <c r="BU282" t="s">
        <v>658</v>
      </c>
      <c r="BV282" t="s">
        <v>86</v>
      </c>
      <c r="BY282">
        <v>6187.28</v>
      </c>
      <c r="CA282" t="s">
        <v>300</v>
      </c>
      <c r="CC282" t="s">
        <v>297</v>
      </c>
      <c r="CD282">
        <v>6849</v>
      </c>
      <c r="CE282" t="s">
        <v>88</v>
      </c>
      <c r="CF282" s="3">
        <v>43776</v>
      </c>
      <c r="CI282">
        <v>3</v>
      </c>
      <c r="CJ282">
        <v>2</v>
      </c>
      <c r="CK282">
        <v>23</v>
      </c>
      <c r="CL282" t="s">
        <v>89</v>
      </c>
    </row>
    <row r="283" spans="1:90">
      <c r="A283" t="s">
        <v>72</v>
      </c>
      <c r="B283" t="s">
        <v>73</v>
      </c>
      <c r="C283" t="s">
        <v>74</v>
      </c>
      <c r="E283" t="str">
        <f>"FES1162720872"</f>
        <v>FES1162720872</v>
      </c>
      <c r="F283" s="3">
        <v>43773</v>
      </c>
      <c r="G283">
        <v>202005</v>
      </c>
      <c r="H283" t="s">
        <v>75</v>
      </c>
      <c r="I283" t="s">
        <v>76</v>
      </c>
      <c r="J283" t="s">
        <v>77</v>
      </c>
      <c r="K283" t="s">
        <v>78</v>
      </c>
      <c r="L283" t="s">
        <v>214</v>
      </c>
      <c r="M283" t="s">
        <v>214</v>
      </c>
      <c r="N283" t="s">
        <v>215</v>
      </c>
      <c r="O283" t="s">
        <v>82</v>
      </c>
      <c r="P283" t="str">
        <f>"2170712707                    "</f>
        <v xml:space="preserve">2170712707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17.04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1.3</v>
      </c>
      <c r="BJ283">
        <v>1.2</v>
      </c>
      <c r="BK283">
        <v>1.5</v>
      </c>
      <c r="BL283" s="4">
        <v>98.16</v>
      </c>
      <c r="BM283" s="4">
        <v>14.72</v>
      </c>
      <c r="BN283" s="4">
        <v>112.88</v>
      </c>
      <c r="BO283" s="4">
        <v>112.88</v>
      </c>
      <c r="BQ283" t="s">
        <v>109</v>
      </c>
      <c r="BR283" t="s">
        <v>84</v>
      </c>
      <c r="BS283" s="3">
        <v>43774</v>
      </c>
      <c r="BT283" s="5">
        <v>0.4770833333333333</v>
      </c>
      <c r="BU283" t="s">
        <v>216</v>
      </c>
      <c r="BV283" t="s">
        <v>86</v>
      </c>
      <c r="BY283">
        <v>5914.06</v>
      </c>
      <c r="CA283" t="s">
        <v>217</v>
      </c>
      <c r="CC283" t="s">
        <v>214</v>
      </c>
      <c r="CD283">
        <v>7646</v>
      </c>
      <c r="CE283" t="s">
        <v>88</v>
      </c>
      <c r="CF283" s="3">
        <v>43775</v>
      </c>
      <c r="CI283">
        <v>1</v>
      </c>
      <c r="CJ283">
        <v>1</v>
      </c>
      <c r="CK283">
        <v>23</v>
      </c>
      <c r="CL283" t="s">
        <v>89</v>
      </c>
    </row>
    <row r="284" spans="1:90">
      <c r="A284" t="s">
        <v>72</v>
      </c>
      <c r="B284" t="s">
        <v>73</v>
      </c>
      <c r="C284" t="s">
        <v>74</v>
      </c>
      <c r="E284" t="str">
        <f>"FES116720877"</f>
        <v>FES116720877</v>
      </c>
      <c r="F284" s="3">
        <v>43773</v>
      </c>
      <c r="G284">
        <v>202005</v>
      </c>
      <c r="H284" t="s">
        <v>75</v>
      </c>
      <c r="I284" t="s">
        <v>76</v>
      </c>
      <c r="J284" t="s">
        <v>77</v>
      </c>
      <c r="K284" t="s">
        <v>78</v>
      </c>
      <c r="L284" t="s">
        <v>296</v>
      </c>
      <c r="M284" t="s">
        <v>297</v>
      </c>
      <c r="N284" t="s">
        <v>298</v>
      </c>
      <c r="O284" t="s">
        <v>82</v>
      </c>
      <c r="P284" t="str">
        <f>"2170713085                    "</f>
        <v xml:space="preserve">2170713085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17.04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0.9</v>
      </c>
      <c r="BJ284">
        <v>1.3</v>
      </c>
      <c r="BK284">
        <v>1.5</v>
      </c>
      <c r="BL284" s="4">
        <v>98.16</v>
      </c>
      <c r="BM284" s="4">
        <v>14.72</v>
      </c>
      <c r="BN284" s="4">
        <v>112.88</v>
      </c>
      <c r="BO284" s="4">
        <v>112.88</v>
      </c>
      <c r="BQ284" t="s">
        <v>121</v>
      </c>
      <c r="BR284" t="s">
        <v>84</v>
      </c>
      <c r="BS284" s="3">
        <v>43775</v>
      </c>
      <c r="BT284" s="5">
        <v>0.41666666666666669</v>
      </c>
      <c r="BU284" t="s">
        <v>658</v>
      </c>
      <c r="BV284" t="s">
        <v>86</v>
      </c>
      <c r="BY284">
        <v>6326.91</v>
      </c>
      <c r="CC284" t="s">
        <v>297</v>
      </c>
      <c r="CD284">
        <v>6849</v>
      </c>
      <c r="CE284" t="s">
        <v>88</v>
      </c>
      <c r="CI284">
        <v>3</v>
      </c>
      <c r="CJ284">
        <v>2</v>
      </c>
      <c r="CK284">
        <v>23</v>
      </c>
      <c r="CL284" t="s">
        <v>89</v>
      </c>
    </row>
    <row r="285" spans="1:90">
      <c r="A285" t="s">
        <v>72</v>
      </c>
      <c r="B285" t="s">
        <v>73</v>
      </c>
      <c r="C285" t="s">
        <v>74</v>
      </c>
      <c r="E285" t="str">
        <f>"FES1162720924"</f>
        <v>FES1162720924</v>
      </c>
      <c r="F285" s="3">
        <v>43773</v>
      </c>
      <c r="G285">
        <v>202005</v>
      </c>
      <c r="H285" t="s">
        <v>75</v>
      </c>
      <c r="I285" t="s">
        <v>76</v>
      </c>
      <c r="J285" t="s">
        <v>77</v>
      </c>
      <c r="K285" t="s">
        <v>78</v>
      </c>
      <c r="L285" t="s">
        <v>90</v>
      </c>
      <c r="M285" t="s">
        <v>91</v>
      </c>
      <c r="N285" t="s">
        <v>659</v>
      </c>
      <c r="O285" t="s">
        <v>82</v>
      </c>
      <c r="P285" t="str">
        <f>"2170714729                    "</f>
        <v xml:space="preserve">2170714729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10.99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2.5</v>
      </c>
      <c r="BJ285">
        <v>0.9</v>
      </c>
      <c r="BK285">
        <v>2.5</v>
      </c>
      <c r="BL285" s="4">
        <v>63.32</v>
      </c>
      <c r="BM285" s="4">
        <v>9.5</v>
      </c>
      <c r="BN285" s="4">
        <v>72.819999999999993</v>
      </c>
      <c r="BO285" s="4">
        <v>72.819999999999993</v>
      </c>
      <c r="BQ285" t="s">
        <v>121</v>
      </c>
      <c r="BR285" t="s">
        <v>84</v>
      </c>
      <c r="BS285" s="3">
        <v>43774</v>
      </c>
      <c r="BT285" s="5">
        <v>0.4201388888888889</v>
      </c>
      <c r="BU285" t="s">
        <v>660</v>
      </c>
      <c r="BV285" t="s">
        <v>86</v>
      </c>
      <c r="BY285">
        <v>4371.3999999999996</v>
      </c>
      <c r="CA285" t="s">
        <v>661</v>
      </c>
      <c r="CC285" t="s">
        <v>91</v>
      </c>
      <c r="CD285">
        <v>7800</v>
      </c>
      <c r="CE285" t="s">
        <v>88</v>
      </c>
      <c r="CF285" s="3">
        <v>43775</v>
      </c>
      <c r="CI285">
        <v>1</v>
      </c>
      <c r="CJ285">
        <v>1</v>
      </c>
      <c r="CK285">
        <v>21</v>
      </c>
      <c r="CL285" t="s">
        <v>89</v>
      </c>
    </row>
    <row r="286" spans="1:90">
      <c r="A286" t="s">
        <v>72</v>
      </c>
      <c r="B286" t="s">
        <v>73</v>
      </c>
      <c r="C286" t="s">
        <v>74</v>
      </c>
      <c r="E286" t="str">
        <f>"FES1162720897"</f>
        <v>FES1162720897</v>
      </c>
      <c r="F286" s="3">
        <v>43773</v>
      </c>
      <c r="G286">
        <v>202005</v>
      </c>
      <c r="H286" t="s">
        <v>75</v>
      </c>
      <c r="I286" t="s">
        <v>76</v>
      </c>
      <c r="J286" t="s">
        <v>77</v>
      </c>
      <c r="K286" t="s">
        <v>78</v>
      </c>
      <c r="L286" t="s">
        <v>662</v>
      </c>
      <c r="M286" t="s">
        <v>663</v>
      </c>
      <c r="N286" t="s">
        <v>664</v>
      </c>
      <c r="O286" t="s">
        <v>82</v>
      </c>
      <c r="P286" t="str">
        <f>"2170714280                    "</f>
        <v xml:space="preserve">2170714280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28.58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1.5</v>
      </c>
      <c r="BJ286">
        <v>3.3</v>
      </c>
      <c r="BK286">
        <v>3.5</v>
      </c>
      <c r="BL286" s="4">
        <v>164.66</v>
      </c>
      <c r="BM286" s="4">
        <v>24.7</v>
      </c>
      <c r="BN286" s="4">
        <v>189.36</v>
      </c>
      <c r="BO286" s="4">
        <v>189.36</v>
      </c>
      <c r="BQ286" t="s">
        <v>121</v>
      </c>
      <c r="BR286" t="s">
        <v>84</v>
      </c>
      <c r="BS286" s="3">
        <v>43774</v>
      </c>
      <c r="BT286" s="5">
        <v>0.41666666666666669</v>
      </c>
      <c r="BU286" t="s">
        <v>665</v>
      </c>
      <c r="BV286" t="s">
        <v>86</v>
      </c>
      <c r="BY286">
        <v>16603.36</v>
      </c>
      <c r="CC286" t="s">
        <v>663</v>
      </c>
      <c r="CD286">
        <v>6506</v>
      </c>
      <c r="CE286" t="s">
        <v>88</v>
      </c>
      <c r="CF286" s="3">
        <v>43776</v>
      </c>
      <c r="CI286">
        <v>1</v>
      </c>
      <c r="CJ286">
        <v>1</v>
      </c>
      <c r="CK286">
        <v>23</v>
      </c>
      <c r="CL286" t="s">
        <v>89</v>
      </c>
    </row>
    <row r="287" spans="1:90">
      <c r="A287" t="s">
        <v>72</v>
      </c>
      <c r="B287" t="s">
        <v>73</v>
      </c>
      <c r="C287" t="s">
        <v>74</v>
      </c>
      <c r="E287" t="str">
        <f>"FES1162720956"</f>
        <v>FES1162720956</v>
      </c>
      <c r="F287" s="3">
        <v>43773</v>
      </c>
      <c r="G287">
        <v>202005</v>
      </c>
      <c r="H287" t="s">
        <v>75</v>
      </c>
      <c r="I287" t="s">
        <v>76</v>
      </c>
      <c r="J287" t="s">
        <v>77</v>
      </c>
      <c r="K287" t="s">
        <v>78</v>
      </c>
      <c r="L287" t="s">
        <v>176</v>
      </c>
      <c r="M287" t="s">
        <v>177</v>
      </c>
      <c r="N287" t="s">
        <v>419</v>
      </c>
      <c r="O287" t="s">
        <v>82</v>
      </c>
      <c r="P287" t="str">
        <f>"2170715036                    "</f>
        <v xml:space="preserve">2170715036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10.99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0.7</v>
      </c>
      <c r="BJ287">
        <v>2.1</v>
      </c>
      <c r="BK287">
        <v>2.5</v>
      </c>
      <c r="BL287" s="4">
        <v>63.32</v>
      </c>
      <c r="BM287" s="4">
        <v>9.5</v>
      </c>
      <c r="BN287" s="4">
        <v>72.819999999999993</v>
      </c>
      <c r="BO287" s="4">
        <v>72.819999999999993</v>
      </c>
      <c r="BQ287" t="s">
        <v>109</v>
      </c>
      <c r="BR287" t="s">
        <v>84</v>
      </c>
      <c r="BS287" s="3">
        <v>43774</v>
      </c>
      <c r="BT287" s="5">
        <v>0.43472222222222223</v>
      </c>
      <c r="BU287" t="s">
        <v>420</v>
      </c>
      <c r="BV287" t="s">
        <v>86</v>
      </c>
      <c r="BY287">
        <v>10342.799999999999</v>
      </c>
      <c r="CA287" t="s">
        <v>224</v>
      </c>
      <c r="CC287" t="s">
        <v>177</v>
      </c>
      <c r="CD287">
        <v>3620</v>
      </c>
      <c r="CE287" t="s">
        <v>147</v>
      </c>
      <c r="CF287" s="3">
        <v>43776</v>
      </c>
      <c r="CI287">
        <v>1</v>
      </c>
      <c r="CJ287">
        <v>1</v>
      </c>
      <c r="CK287">
        <v>21</v>
      </c>
      <c r="CL287" t="s">
        <v>89</v>
      </c>
    </row>
    <row r="288" spans="1:90">
      <c r="A288" t="s">
        <v>72</v>
      </c>
      <c r="B288" t="s">
        <v>73</v>
      </c>
      <c r="C288" t="s">
        <v>74</v>
      </c>
      <c r="E288" t="str">
        <f>"FES1162720963"</f>
        <v>FES1162720963</v>
      </c>
      <c r="F288" s="3">
        <v>43773</v>
      </c>
      <c r="G288">
        <v>202005</v>
      </c>
      <c r="H288" t="s">
        <v>75</v>
      </c>
      <c r="I288" t="s">
        <v>76</v>
      </c>
      <c r="J288" t="s">
        <v>77</v>
      </c>
      <c r="K288" t="s">
        <v>78</v>
      </c>
      <c r="L288" t="s">
        <v>112</v>
      </c>
      <c r="M288" t="s">
        <v>113</v>
      </c>
      <c r="N288" t="s">
        <v>666</v>
      </c>
      <c r="O288" t="s">
        <v>82</v>
      </c>
      <c r="P288" t="str">
        <f>"2170715238                    "</f>
        <v xml:space="preserve">2170715238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8.7899999999999991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0.2</v>
      </c>
      <c r="BJ288">
        <v>1.2</v>
      </c>
      <c r="BK288">
        <v>1.5</v>
      </c>
      <c r="BL288" s="4">
        <v>50.66</v>
      </c>
      <c r="BM288" s="4">
        <v>7.6</v>
      </c>
      <c r="BN288" s="4">
        <v>58.26</v>
      </c>
      <c r="BO288" s="4">
        <v>58.26</v>
      </c>
      <c r="BQ288" t="s">
        <v>246</v>
      </c>
      <c r="BR288" t="s">
        <v>84</v>
      </c>
      <c r="BS288" s="3">
        <v>43774</v>
      </c>
      <c r="BT288" s="5">
        <v>0.3520833333333333</v>
      </c>
      <c r="BU288" t="s">
        <v>667</v>
      </c>
      <c r="BV288" t="s">
        <v>86</v>
      </c>
      <c r="BY288">
        <v>6246.63</v>
      </c>
      <c r="CA288" t="s">
        <v>668</v>
      </c>
      <c r="CC288" t="s">
        <v>113</v>
      </c>
      <c r="CD288">
        <v>4070</v>
      </c>
      <c r="CE288" t="s">
        <v>147</v>
      </c>
      <c r="CF288" s="3">
        <v>43776</v>
      </c>
      <c r="CI288">
        <v>1</v>
      </c>
      <c r="CJ288">
        <v>1</v>
      </c>
      <c r="CK288">
        <v>21</v>
      </c>
      <c r="CL288" t="s">
        <v>89</v>
      </c>
    </row>
    <row r="289" spans="1:90">
      <c r="A289" t="s">
        <v>72</v>
      </c>
      <c r="B289" t="s">
        <v>73</v>
      </c>
      <c r="C289" t="s">
        <v>74</v>
      </c>
      <c r="E289" t="str">
        <f>"FES1162720907"</f>
        <v>FES1162720907</v>
      </c>
      <c r="F289" s="3">
        <v>43773</v>
      </c>
      <c r="G289">
        <v>202005</v>
      </c>
      <c r="H289" t="s">
        <v>75</v>
      </c>
      <c r="I289" t="s">
        <v>76</v>
      </c>
      <c r="J289" t="s">
        <v>77</v>
      </c>
      <c r="K289" t="s">
        <v>78</v>
      </c>
      <c r="L289" t="s">
        <v>296</v>
      </c>
      <c r="M289" t="s">
        <v>297</v>
      </c>
      <c r="N289" t="s">
        <v>298</v>
      </c>
      <c r="O289" t="s">
        <v>82</v>
      </c>
      <c r="P289" t="str">
        <f>"2170714489                    "</f>
        <v xml:space="preserve">2170714489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17.04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1.1000000000000001</v>
      </c>
      <c r="BJ289">
        <v>1.8</v>
      </c>
      <c r="BK289">
        <v>2</v>
      </c>
      <c r="BL289" s="4">
        <v>98.16</v>
      </c>
      <c r="BM289" s="4">
        <v>14.72</v>
      </c>
      <c r="BN289" s="4">
        <v>112.88</v>
      </c>
      <c r="BO289" s="4">
        <v>112.88</v>
      </c>
      <c r="BQ289" t="s">
        <v>121</v>
      </c>
      <c r="BR289" t="s">
        <v>84</v>
      </c>
      <c r="BS289" s="3">
        <v>43775</v>
      </c>
      <c r="BT289" s="5">
        <v>0.57013888888888886</v>
      </c>
      <c r="BU289" t="s">
        <v>658</v>
      </c>
      <c r="BV289" t="s">
        <v>86</v>
      </c>
      <c r="BY289">
        <v>9032.94</v>
      </c>
      <c r="CA289" t="s">
        <v>300</v>
      </c>
      <c r="CC289" t="s">
        <v>297</v>
      </c>
      <c r="CD289">
        <v>6849</v>
      </c>
      <c r="CE289" t="s">
        <v>147</v>
      </c>
      <c r="CF289" s="3">
        <v>43776</v>
      </c>
      <c r="CI289">
        <v>3</v>
      </c>
      <c r="CJ289">
        <v>2</v>
      </c>
      <c r="CK289">
        <v>23</v>
      </c>
      <c r="CL289" t="s">
        <v>89</v>
      </c>
    </row>
    <row r="290" spans="1:90">
      <c r="A290" t="s">
        <v>72</v>
      </c>
      <c r="B290" t="s">
        <v>73</v>
      </c>
      <c r="C290" t="s">
        <v>74</v>
      </c>
      <c r="E290" t="str">
        <f>"FES1162720871"</f>
        <v>FES1162720871</v>
      </c>
      <c r="F290" s="3">
        <v>43773</v>
      </c>
      <c r="G290">
        <v>202005</v>
      </c>
      <c r="H290" t="s">
        <v>75</v>
      </c>
      <c r="I290" t="s">
        <v>76</v>
      </c>
      <c r="J290" t="s">
        <v>77</v>
      </c>
      <c r="K290" t="s">
        <v>78</v>
      </c>
      <c r="L290" t="s">
        <v>296</v>
      </c>
      <c r="M290" t="s">
        <v>297</v>
      </c>
      <c r="N290" t="s">
        <v>298</v>
      </c>
      <c r="O290" t="s">
        <v>82</v>
      </c>
      <c r="P290" t="str">
        <f>"2170712665                    "</f>
        <v xml:space="preserve">2170712665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17.04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0.7</v>
      </c>
      <c r="BJ290">
        <v>1.2</v>
      </c>
      <c r="BK290">
        <v>1.5</v>
      </c>
      <c r="BL290" s="4">
        <v>98.16</v>
      </c>
      <c r="BM290" s="4">
        <v>14.72</v>
      </c>
      <c r="BN290" s="4">
        <v>112.88</v>
      </c>
      <c r="BO290" s="4">
        <v>112.88</v>
      </c>
      <c r="BQ290" t="s">
        <v>121</v>
      </c>
      <c r="BR290" t="s">
        <v>84</v>
      </c>
      <c r="BS290" s="3">
        <v>43775</v>
      </c>
      <c r="BT290" s="5">
        <v>0.57013888888888886</v>
      </c>
      <c r="BU290" t="s">
        <v>658</v>
      </c>
      <c r="BV290" t="s">
        <v>86</v>
      </c>
      <c r="BY290">
        <v>5960.96</v>
      </c>
      <c r="CA290" t="s">
        <v>300</v>
      </c>
      <c r="CC290" t="s">
        <v>297</v>
      </c>
      <c r="CD290">
        <v>6849</v>
      </c>
      <c r="CE290" t="s">
        <v>147</v>
      </c>
      <c r="CF290" s="3">
        <v>43776</v>
      </c>
      <c r="CI290">
        <v>3</v>
      </c>
      <c r="CJ290">
        <v>2</v>
      </c>
      <c r="CK290">
        <v>23</v>
      </c>
      <c r="CL290" t="s">
        <v>89</v>
      </c>
    </row>
    <row r="291" spans="1:90">
      <c r="A291" t="s">
        <v>72</v>
      </c>
      <c r="B291" t="s">
        <v>73</v>
      </c>
      <c r="C291" t="s">
        <v>74</v>
      </c>
      <c r="E291" t="str">
        <f>"FES1162721010"</f>
        <v>FES1162721010</v>
      </c>
      <c r="F291" s="3">
        <v>43773</v>
      </c>
      <c r="G291">
        <v>202005</v>
      </c>
      <c r="H291" t="s">
        <v>75</v>
      </c>
      <c r="I291" t="s">
        <v>76</v>
      </c>
      <c r="J291" t="s">
        <v>77</v>
      </c>
      <c r="K291" t="s">
        <v>78</v>
      </c>
      <c r="L291" t="s">
        <v>79</v>
      </c>
      <c r="M291" t="s">
        <v>80</v>
      </c>
      <c r="N291" t="s">
        <v>511</v>
      </c>
      <c r="O291" t="s">
        <v>82</v>
      </c>
      <c r="P291" t="str">
        <f>"2170715291                    "</f>
        <v xml:space="preserve">2170715291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8.7899999999999991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1.8</v>
      </c>
      <c r="BJ291">
        <v>1.5</v>
      </c>
      <c r="BK291">
        <v>2</v>
      </c>
      <c r="BL291" s="4">
        <v>50.66</v>
      </c>
      <c r="BM291" s="4">
        <v>7.6</v>
      </c>
      <c r="BN291" s="4">
        <v>58.26</v>
      </c>
      <c r="BO291" s="4">
        <v>58.26</v>
      </c>
      <c r="BQ291" t="s">
        <v>109</v>
      </c>
      <c r="BR291" t="s">
        <v>84</v>
      </c>
      <c r="BS291" s="3">
        <v>43774</v>
      </c>
      <c r="BT291" s="5">
        <v>0.3576388888888889</v>
      </c>
      <c r="BU291" t="s">
        <v>512</v>
      </c>
      <c r="BV291" t="s">
        <v>86</v>
      </c>
      <c r="BY291">
        <v>7341.52</v>
      </c>
      <c r="CA291" t="s">
        <v>87</v>
      </c>
      <c r="CC291" t="s">
        <v>80</v>
      </c>
      <c r="CD291">
        <v>6229</v>
      </c>
      <c r="CE291" t="s">
        <v>88</v>
      </c>
      <c r="CF291" s="3">
        <v>43775</v>
      </c>
      <c r="CI291">
        <v>1</v>
      </c>
      <c r="CJ291">
        <v>1</v>
      </c>
      <c r="CK291">
        <v>21</v>
      </c>
      <c r="CL291" t="s">
        <v>89</v>
      </c>
    </row>
    <row r="292" spans="1:90">
      <c r="A292" t="s">
        <v>72</v>
      </c>
      <c r="B292" t="s">
        <v>73</v>
      </c>
      <c r="C292" t="s">
        <v>74</v>
      </c>
      <c r="E292" t="str">
        <f>"FES1162720733"</f>
        <v>FES1162720733</v>
      </c>
      <c r="F292" s="3">
        <v>43773</v>
      </c>
      <c r="G292">
        <v>202005</v>
      </c>
      <c r="H292" t="s">
        <v>75</v>
      </c>
      <c r="I292" t="s">
        <v>76</v>
      </c>
      <c r="J292" t="s">
        <v>77</v>
      </c>
      <c r="K292" t="s">
        <v>78</v>
      </c>
      <c r="L292" t="s">
        <v>106</v>
      </c>
      <c r="M292" t="s">
        <v>107</v>
      </c>
      <c r="N292" t="s">
        <v>150</v>
      </c>
      <c r="O292" t="s">
        <v>82</v>
      </c>
      <c r="P292" t="str">
        <f>"2170714700                    "</f>
        <v xml:space="preserve">2170714700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10.99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2.1</v>
      </c>
      <c r="BJ292">
        <v>1.9</v>
      </c>
      <c r="BK292">
        <v>2.5</v>
      </c>
      <c r="BL292" s="4">
        <v>63.32</v>
      </c>
      <c r="BM292" s="4">
        <v>9.5</v>
      </c>
      <c r="BN292" s="4">
        <v>72.819999999999993</v>
      </c>
      <c r="BO292" s="4">
        <v>72.819999999999993</v>
      </c>
      <c r="BQ292" t="s">
        <v>109</v>
      </c>
      <c r="BR292" t="s">
        <v>84</v>
      </c>
      <c r="BS292" s="3">
        <v>43774</v>
      </c>
      <c r="BT292" s="5">
        <v>0.39513888888888887</v>
      </c>
      <c r="BU292" t="s">
        <v>151</v>
      </c>
      <c r="BV292" t="s">
        <v>86</v>
      </c>
      <c r="BY292">
        <v>9264.27</v>
      </c>
      <c r="CA292" t="s">
        <v>111</v>
      </c>
      <c r="CC292" t="s">
        <v>107</v>
      </c>
      <c r="CD292">
        <v>6001</v>
      </c>
      <c r="CE292" t="s">
        <v>88</v>
      </c>
      <c r="CF292" s="3">
        <v>43775</v>
      </c>
      <c r="CI292">
        <v>1</v>
      </c>
      <c r="CJ292">
        <v>1</v>
      </c>
      <c r="CK292">
        <v>21</v>
      </c>
      <c r="CL292" t="s">
        <v>89</v>
      </c>
    </row>
    <row r="293" spans="1:90">
      <c r="A293" t="s">
        <v>72</v>
      </c>
      <c r="B293" t="s">
        <v>73</v>
      </c>
      <c r="C293" t="s">
        <v>74</v>
      </c>
      <c r="E293" t="str">
        <f>"FES1162721001"</f>
        <v>FES1162721001</v>
      </c>
      <c r="F293" s="3">
        <v>43773</v>
      </c>
      <c r="G293">
        <v>202005</v>
      </c>
      <c r="H293" t="s">
        <v>75</v>
      </c>
      <c r="I293" t="s">
        <v>76</v>
      </c>
      <c r="J293" t="s">
        <v>77</v>
      </c>
      <c r="K293" t="s">
        <v>78</v>
      </c>
      <c r="L293" t="s">
        <v>112</v>
      </c>
      <c r="M293" t="s">
        <v>113</v>
      </c>
      <c r="N293" t="s">
        <v>669</v>
      </c>
      <c r="O293" t="s">
        <v>82</v>
      </c>
      <c r="P293" t="str">
        <f>"2170715278                    "</f>
        <v xml:space="preserve">2170715278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8.7899999999999991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0.8</v>
      </c>
      <c r="BJ293">
        <v>1.2</v>
      </c>
      <c r="BK293">
        <v>1.5</v>
      </c>
      <c r="BL293" s="4">
        <v>50.66</v>
      </c>
      <c r="BM293" s="4">
        <v>7.6</v>
      </c>
      <c r="BN293" s="4">
        <v>58.26</v>
      </c>
      <c r="BO293" s="4">
        <v>58.26</v>
      </c>
      <c r="BQ293" t="s">
        <v>109</v>
      </c>
      <c r="BR293" t="s">
        <v>84</v>
      </c>
      <c r="BS293" s="3">
        <v>43774</v>
      </c>
      <c r="BT293" s="5">
        <v>0.40069444444444446</v>
      </c>
      <c r="BU293" t="s">
        <v>670</v>
      </c>
      <c r="BV293" t="s">
        <v>86</v>
      </c>
      <c r="BY293">
        <v>6231.68</v>
      </c>
      <c r="CA293" t="s">
        <v>117</v>
      </c>
      <c r="CC293" t="s">
        <v>113</v>
      </c>
      <c r="CD293">
        <v>4001</v>
      </c>
      <c r="CE293" t="s">
        <v>88</v>
      </c>
      <c r="CF293" s="3">
        <v>43776</v>
      </c>
      <c r="CI293">
        <v>1</v>
      </c>
      <c r="CJ293">
        <v>1</v>
      </c>
      <c r="CK293">
        <v>21</v>
      </c>
      <c r="CL293" t="s">
        <v>89</v>
      </c>
    </row>
    <row r="294" spans="1:90">
      <c r="A294" t="s">
        <v>72</v>
      </c>
      <c r="B294" t="s">
        <v>73</v>
      </c>
      <c r="C294" t="s">
        <v>74</v>
      </c>
      <c r="E294" t="str">
        <f>"FES1162720902"</f>
        <v>FES1162720902</v>
      </c>
      <c r="F294" s="3">
        <v>43773</v>
      </c>
      <c r="G294">
        <v>202005</v>
      </c>
      <c r="H294" t="s">
        <v>75</v>
      </c>
      <c r="I294" t="s">
        <v>76</v>
      </c>
      <c r="J294" t="s">
        <v>77</v>
      </c>
      <c r="K294" t="s">
        <v>78</v>
      </c>
      <c r="L294" t="s">
        <v>500</v>
      </c>
      <c r="M294" t="s">
        <v>501</v>
      </c>
      <c r="N294" t="s">
        <v>502</v>
      </c>
      <c r="O294" t="s">
        <v>82</v>
      </c>
      <c r="P294" t="str">
        <f>"2170714394                    "</f>
        <v xml:space="preserve">2170714394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17.04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0.6</v>
      </c>
      <c r="BJ294">
        <v>1.8</v>
      </c>
      <c r="BK294">
        <v>2</v>
      </c>
      <c r="BL294" s="4">
        <v>98.16</v>
      </c>
      <c r="BM294" s="4">
        <v>14.72</v>
      </c>
      <c r="BN294" s="4">
        <v>112.88</v>
      </c>
      <c r="BO294" s="4">
        <v>112.88</v>
      </c>
      <c r="BQ294" t="s">
        <v>109</v>
      </c>
      <c r="BR294" t="s">
        <v>84</v>
      </c>
      <c r="BS294" s="3">
        <v>43774</v>
      </c>
      <c r="BT294" s="5">
        <v>0.4513888888888889</v>
      </c>
      <c r="BU294" t="s">
        <v>671</v>
      </c>
      <c r="BV294" t="s">
        <v>86</v>
      </c>
      <c r="BY294">
        <v>8813.7999999999993</v>
      </c>
      <c r="CA294" t="s">
        <v>504</v>
      </c>
      <c r="CC294" t="s">
        <v>501</v>
      </c>
      <c r="CD294">
        <v>7349</v>
      </c>
      <c r="CE294" t="s">
        <v>147</v>
      </c>
      <c r="CF294" s="3">
        <v>43775</v>
      </c>
      <c r="CI294">
        <v>1</v>
      </c>
      <c r="CJ294">
        <v>1</v>
      </c>
      <c r="CK294">
        <v>23</v>
      </c>
      <c r="CL294" t="s">
        <v>89</v>
      </c>
    </row>
    <row r="295" spans="1:90">
      <c r="A295" t="s">
        <v>72</v>
      </c>
      <c r="B295" t="s">
        <v>73</v>
      </c>
      <c r="C295" t="s">
        <v>74</v>
      </c>
      <c r="E295" t="str">
        <f>"FES1162720903"</f>
        <v>FES1162720903</v>
      </c>
      <c r="F295" s="3">
        <v>43773</v>
      </c>
      <c r="G295">
        <v>202005</v>
      </c>
      <c r="H295" t="s">
        <v>75</v>
      </c>
      <c r="I295" t="s">
        <v>76</v>
      </c>
      <c r="J295" t="s">
        <v>77</v>
      </c>
      <c r="K295" t="s">
        <v>78</v>
      </c>
      <c r="L295" t="s">
        <v>214</v>
      </c>
      <c r="M295" t="s">
        <v>214</v>
      </c>
      <c r="N295" t="s">
        <v>215</v>
      </c>
      <c r="O295" t="s">
        <v>82</v>
      </c>
      <c r="P295" t="str">
        <f>"2170714407                    "</f>
        <v xml:space="preserve">2170714407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20.88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0.2</v>
      </c>
      <c r="BJ295">
        <v>2.2000000000000002</v>
      </c>
      <c r="BK295">
        <v>2.5</v>
      </c>
      <c r="BL295" s="4">
        <v>120.32</v>
      </c>
      <c r="BM295" s="4">
        <v>18.05</v>
      </c>
      <c r="BN295" s="4">
        <v>138.37</v>
      </c>
      <c r="BO295" s="4">
        <v>138.37</v>
      </c>
      <c r="BQ295" t="s">
        <v>109</v>
      </c>
      <c r="BR295" t="s">
        <v>84</v>
      </c>
      <c r="BS295" s="3">
        <v>43774</v>
      </c>
      <c r="BT295" s="5">
        <v>0.4597222222222222</v>
      </c>
      <c r="BU295" t="s">
        <v>264</v>
      </c>
      <c r="BV295" t="s">
        <v>86</v>
      </c>
      <c r="BY295">
        <v>11101.44</v>
      </c>
      <c r="CA295" t="s">
        <v>217</v>
      </c>
      <c r="CC295" t="s">
        <v>214</v>
      </c>
      <c r="CD295">
        <v>7646</v>
      </c>
      <c r="CE295" t="s">
        <v>147</v>
      </c>
      <c r="CF295" s="3">
        <v>43775</v>
      </c>
      <c r="CI295">
        <v>1</v>
      </c>
      <c r="CJ295">
        <v>1</v>
      </c>
      <c r="CK295">
        <v>23</v>
      </c>
      <c r="CL295" t="s">
        <v>89</v>
      </c>
    </row>
    <row r="296" spans="1:90">
      <c r="A296" t="s">
        <v>72</v>
      </c>
      <c r="B296" t="s">
        <v>73</v>
      </c>
      <c r="C296" t="s">
        <v>74</v>
      </c>
      <c r="E296" t="str">
        <f>"FES1162720896"</f>
        <v>FES1162720896</v>
      </c>
      <c r="F296" s="3">
        <v>43773</v>
      </c>
      <c r="G296">
        <v>202005</v>
      </c>
      <c r="H296" t="s">
        <v>75</v>
      </c>
      <c r="I296" t="s">
        <v>76</v>
      </c>
      <c r="J296" t="s">
        <v>77</v>
      </c>
      <c r="K296" t="s">
        <v>78</v>
      </c>
      <c r="L296" t="s">
        <v>296</v>
      </c>
      <c r="M296" t="s">
        <v>297</v>
      </c>
      <c r="N296" t="s">
        <v>672</v>
      </c>
      <c r="O296" t="s">
        <v>82</v>
      </c>
      <c r="P296" t="str">
        <f>"2170714251                    "</f>
        <v xml:space="preserve">2170714251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20.88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0.7</v>
      </c>
      <c r="BJ296">
        <v>2.1</v>
      </c>
      <c r="BK296">
        <v>2.5</v>
      </c>
      <c r="BL296" s="4">
        <v>120.32</v>
      </c>
      <c r="BM296" s="4">
        <v>18.05</v>
      </c>
      <c r="BN296" s="4">
        <v>138.37</v>
      </c>
      <c r="BO296" s="4">
        <v>138.37</v>
      </c>
      <c r="BQ296" t="s">
        <v>142</v>
      </c>
      <c r="BR296" t="s">
        <v>84</v>
      </c>
      <c r="BS296" s="3">
        <v>43775</v>
      </c>
      <c r="BT296" s="5">
        <v>0.57152777777777775</v>
      </c>
      <c r="BU296" t="s">
        <v>673</v>
      </c>
      <c r="BV296" t="s">
        <v>86</v>
      </c>
      <c r="BY296">
        <v>10396.799999999999</v>
      </c>
      <c r="CA296" t="s">
        <v>300</v>
      </c>
      <c r="CC296" t="s">
        <v>297</v>
      </c>
      <c r="CD296">
        <v>6850</v>
      </c>
      <c r="CE296" t="s">
        <v>147</v>
      </c>
      <c r="CF296" s="3">
        <v>43776</v>
      </c>
      <c r="CI296">
        <v>3</v>
      </c>
      <c r="CJ296">
        <v>2</v>
      </c>
      <c r="CK296">
        <v>23</v>
      </c>
      <c r="CL296" t="s">
        <v>89</v>
      </c>
    </row>
    <row r="297" spans="1:90">
      <c r="A297" t="s">
        <v>72</v>
      </c>
      <c r="B297" t="s">
        <v>73</v>
      </c>
      <c r="C297" t="s">
        <v>74</v>
      </c>
      <c r="E297" t="str">
        <f>"FES1162720958"</f>
        <v>FES1162720958</v>
      </c>
      <c r="F297" s="3">
        <v>43773</v>
      </c>
      <c r="G297">
        <v>202005</v>
      </c>
      <c r="H297" t="s">
        <v>75</v>
      </c>
      <c r="I297" t="s">
        <v>76</v>
      </c>
      <c r="J297" t="s">
        <v>77</v>
      </c>
      <c r="K297" t="s">
        <v>78</v>
      </c>
      <c r="L297" t="s">
        <v>90</v>
      </c>
      <c r="M297" t="s">
        <v>91</v>
      </c>
      <c r="N297" t="s">
        <v>674</v>
      </c>
      <c r="O297" t="s">
        <v>82</v>
      </c>
      <c r="P297" t="str">
        <f>"2170715228                    "</f>
        <v xml:space="preserve">2170715228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8.7899999999999991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1.3</v>
      </c>
      <c r="BK297">
        <v>1.5</v>
      </c>
      <c r="BL297" s="4">
        <v>50.66</v>
      </c>
      <c r="BM297" s="4">
        <v>7.6</v>
      </c>
      <c r="BN297" s="4">
        <v>58.26</v>
      </c>
      <c r="BO297" s="4">
        <v>58.26</v>
      </c>
      <c r="BQ297" t="s">
        <v>109</v>
      </c>
      <c r="BR297" t="s">
        <v>84</v>
      </c>
      <c r="BS297" s="3">
        <v>43774</v>
      </c>
      <c r="BT297" s="5">
        <v>0.375</v>
      </c>
      <c r="BU297" t="s">
        <v>506</v>
      </c>
      <c r="BV297" t="s">
        <v>86</v>
      </c>
      <c r="BY297">
        <v>6652.26</v>
      </c>
      <c r="CA297" t="s">
        <v>507</v>
      </c>
      <c r="CC297" t="s">
        <v>91</v>
      </c>
      <c r="CD297">
        <v>7764</v>
      </c>
      <c r="CE297" t="s">
        <v>147</v>
      </c>
      <c r="CF297" s="3">
        <v>43775</v>
      </c>
      <c r="CI297">
        <v>1</v>
      </c>
      <c r="CJ297">
        <v>1</v>
      </c>
      <c r="CK297">
        <v>21</v>
      </c>
      <c r="CL297" t="s">
        <v>89</v>
      </c>
    </row>
    <row r="298" spans="1:90">
      <c r="A298" t="s">
        <v>72</v>
      </c>
      <c r="B298" t="s">
        <v>73</v>
      </c>
      <c r="C298" t="s">
        <v>74</v>
      </c>
      <c r="E298" t="str">
        <f>"FES1162720980"</f>
        <v>FES1162720980</v>
      </c>
      <c r="F298" s="3">
        <v>43773</v>
      </c>
      <c r="G298">
        <v>202005</v>
      </c>
      <c r="H298" t="s">
        <v>75</v>
      </c>
      <c r="I298" t="s">
        <v>76</v>
      </c>
      <c r="J298" t="s">
        <v>77</v>
      </c>
      <c r="K298" t="s">
        <v>78</v>
      </c>
      <c r="L298" t="s">
        <v>118</v>
      </c>
      <c r="M298" t="s">
        <v>119</v>
      </c>
      <c r="N298" t="s">
        <v>248</v>
      </c>
      <c r="O298" t="s">
        <v>82</v>
      </c>
      <c r="P298" t="str">
        <f>"2170715258                    "</f>
        <v xml:space="preserve">2170715258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8.7899999999999991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0.2</v>
      </c>
      <c r="BJ298">
        <v>0.9</v>
      </c>
      <c r="BK298">
        <v>1</v>
      </c>
      <c r="BL298" s="4">
        <v>50.66</v>
      </c>
      <c r="BM298" s="4">
        <v>7.6</v>
      </c>
      <c r="BN298" s="4">
        <v>58.26</v>
      </c>
      <c r="BO298" s="4">
        <v>58.26</v>
      </c>
      <c r="BQ298" t="s">
        <v>121</v>
      </c>
      <c r="BR298" t="s">
        <v>84</v>
      </c>
      <c r="BS298" s="3">
        <v>43774</v>
      </c>
      <c r="BT298" s="5">
        <v>0.36736111111111108</v>
      </c>
      <c r="BU298" t="s">
        <v>623</v>
      </c>
      <c r="BV298" t="s">
        <v>86</v>
      </c>
      <c r="BY298">
        <v>4693.3599999999997</v>
      </c>
      <c r="CA298" t="s">
        <v>435</v>
      </c>
      <c r="CC298" t="s">
        <v>119</v>
      </c>
      <c r="CD298">
        <v>3212</v>
      </c>
      <c r="CE298" t="s">
        <v>147</v>
      </c>
      <c r="CF298" s="3">
        <v>43776</v>
      </c>
      <c r="CI298">
        <v>1</v>
      </c>
      <c r="CJ298">
        <v>1</v>
      </c>
      <c r="CK298">
        <v>21</v>
      </c>
      <c r="CL298" t="s">
        <v>89</v>
      </c>
    </row>
    <row r="299" spans="1:90">
      <c r="A299" t="s">
        <v>72</v>
      </c>
      <c r="B299" t="s">
        <v>73</v>
      </c>
      <c r="C299" t="s">
        <v>74</v>
      </c>
      <c r="E299" t="str">
        <f>"FES1162720996"</f>
        <v>FES1162720996</v>
      </c>
      <c r="F299" s="3">
        <v>43773</v>
      </c>
      <c r="G299">
        <v>202005</v>
      </c>
      <c r="H299" t="s">
        <v>75</v>
      </c>
      <c r="I299" t="s">
        <v>76</v>
      </c>
      <c r="J299" t="s">
        <v>77</v>
      </c>
      <c r="K299" t="s">
        <v>78</v>
      </c>
      <c r="L299" t="s">
        <v>106</v>
      </c>
      <c r="M299" t="s">
        <v>107</v>
      </c>
      <c r="N299" t="s">
        <v>421</v>
      </c>
      <c r="O299" t="s">
        <v>82</v>
      </c>
      <c r="P299" t="str">
        <f>"2170715272                    "</f>
        <v xml:space="preserve">2170715272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8.7899999999999991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0.5</v>
      </c>
      <c r="BJ299">
        <v>1.4</v>
      </c>
      <c r="BK299">
        <v>1.5</v>
      </c>
      <c r="BL299" s="4">
        <v>50.66</v>
      </c>
      <c r="BM299" s="4">
        <v>7.6</v>
      </c>
      <c r="BN299" s="4">
        <v>58.26</v>
      </c>
      <c r="BO299" s="4">
        <v>58.26</v>
      </c>
      <c r="BQ299" t="s">
        <v>121</v>
      </c>
      <c r="BR299" t="s">
        <v>84</v>
      </c>
      <c r="BS299" s="3">
        <v>43774</v>
      </c>
      <c r="BT299" s="5">
        <v>0.35972222222222222</v>
      </c>
      <c r="BU299" t="s">
        <v>422</v>
      </c>
      <c r="BV299" t="s">
        <v>86</v>
      </c>
      <c r="BY299">
        <v>7133.28</v>
      </c>
      <c r="CA299" t="s">
        <v>111</v>
      </c>
      <c r="CC299" t="s">
        <v>107</v>
      </c>
      <c r="CD299">
        <v>6014</v>
      </c>
      <c r="CE299" t="s">
        <v>147</v>
      </c>
      <c r="CF299" s="3">
        <v>43775</v>
      </c>
      <c r="CI299">
        <v>1</v>
      </c>
      <c r="CJ299">
        <v>1</v>
      </c>
      <c r="CK299">
        <v>21</v>
      </c>
      <c r="CL299" t="s">
        <v>89</v>
      </c>
    </row>
    <row r="300" spans="1:90">
      <c r="A300" t="s">
        <v>72</v>
      </c>
      <c r="B300" t="s">
        <v>73</v>
      </c>
      <c r="C300" t="s">
        <v>74</v>
      </c>
      <c r="E300" t="str">
        <f>"FES1162720908"</f>
        <v>FES1162720908</v>
      </c>
      <c r="F300" s="3">
        <v>43773</v>
      </c>
      <c r="G300">
        <v>202005</v>
      </c>
      <c r="H300" t="s">
        <v>75</v>
      </c>
      <c r="I300" t="s">
        <v>76</v>
      </c>
      <c r="J300" t="s">
        <v>77</v>
      </c>
      <c r="K300" t="s">
        <v>78</v>
      </c>
      <c r="L300" t="s">
        <v>90</v>
      </c>
      <c r="M300" t="s">
        <v>91</v>
      </c>
      <c r="N300" t="s">
        <v>675</v>
      </c>
      <c r="O300" t="s">
        <v>82</v>
      </c>
      <c r="P300" t="str">
        <f>"2170714509                    "</f>
        <v xml:space="preserve">2170714509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8.7899999999999991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0.6</v>
      </c>
      <c r="BJ300">
        <v>0.9</v>
      </c>
      <c r="BK300">
        <v>1</v>
      </c>
      <c r="BL300" s="4">
        <v>50.66</v>
      </c>
      <c r="BM300" s="4">
        <v>7.6</v>
      </c>
      <c r="BN300" s="4">
        <v>58.26</v>
      </c>
      <c r="BO300" s="4">
        <v>58.26</v>
      </c>
      <c r="BQ300" t="s">
        <v>109</v>
      </c>
      <c r="BR300" t="s">
        <v>84</v>
      </c>
      <c r="BS300" s="3">
        <v>43774</v>
      </c>
      <c r="BT300" s="5">
        <v>0.375</v>
      </c>
      <c r="BU300" t="s">
        <v>676</v>
      </c>
      <c r="BV300" t="s">
        <v>86</v>
      </c>
      <c r="BY300">
        <v>4408.46</v>
      </c>
      <c r="CA300" t="s">
        <v>677</v>
      </c>
      <c r="CC300" t="s">
        <v>91</v>
      </c>
      <c r="CD300">
        <v>7945</v>
      </c>
      <c r="CE300" t="s">
        <v>88</v>
      </c>
      <c r="CF300" s="3">
        <v>43775</v>
      </c>
      <c r="CI300">
        <v>1</v>
      </c>
      <c r="CJ300">
        <v>1</v>
      </c>
      <c r="CK300">
        <v>21</v>
      </c>
      <c r="CL300" t="s">
        <v>89</v>
      </c>
    </row>
    <row r="301" spans="1:90">
      <c r="A301" t="s">
        <v>72</v>
      </c>
      <c r="B301" t="s">
        <v>73</v>
      </c>
      <c r="C301" t="s">
        <v>74</v>
      </c>
      <c r="E301" t="str">
        <f>"FES1162720861"</f>
        <v>FES1162720861</v>
      </c>
      <c r="F301" s="3">
        <v>43773</v>
      </c>
      <c r="G301">
        <v>202005</v>
      </c>
      <c r="H301" t="s">
        <v>75</v>
      </c>
      <c r="I301" t="s">
        <v>76</v>
      </c>
      <c r="J301" t="s">
        <v>77</v>
      </c>
      <c r="K301" t="s">
        <v>78</v>
      </c>
      <c r="L301" t="s">
        <v>106</v>
      </c>
      <c r="M301" t="s">
        <v>107</v>
      </c>
      <c r="N301" t="s">
        <v>128</v>
      </c>
      <c r="O301" t="s">
        <v>82</v>
      </c>
      <c r="P301" t="str">
        <f>"2170711890                    "</f>
        <v xml:space="preserve">2170711890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10.99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0.8</v>
      </c>
      <c r="BJ301">
        <v>2.4</v>
      </c>
      <c r="BK301">
        <v>2.5</v>
      </c>
      <c r="BL301" s="4">
        <v>63.32</v>
      </c>
      <c r="BM301" s="4">
        <v>9.5</v>
      </c>
      <c r="BN301" s="4">
        <v>72.819999999999993</v>
      </c>
      <c r="BO301" s="4">
        <v>72.819999999999993</v>
      </c>
      <c r="BQ301" t="s">
        <v>121</v>
      </c>
      <c r="BR301" t="s">
        <v>84</v>
      </c>
      <c r="BS301" s="3">
        <v>43774</v>
      </c>
      <c r="BT301" s="5">
        <v>0.3298611111111111</v>
      </c>
      <c r="BU301" t="s">
        <v>129</v>
      </c>
      <c r="BV301" t="s">
        <v>86</v>
      </c>
      <c r="BY301">
        <v>11796.38</v>
      </c>
      <c r="CA301" t="s">
        <v>87</v>
      </c>
      <c r="CC301" t="s">
        <v>107</v>
      </c>
      <c r="CD301">
        <v>6001</v>
      </c>
      <c r="CE301" t="s">
        <v>147</v>
      </c>
      <c r="CF301" s="3">
        <v>43775</v>
      </c>
      <c r="CI301">
        <v>1</v>
      </c>
      <c r="CJ301">
        <v>1</v>
      </c>
      <c r="CK301">
        <v>21</v>
      </c>
      <c r="CL301" t="s">
        <v>89</v>
      </c>
    </row>
    <row r="302" spans="1:90">
      <c r="A302" t="s">
        <v>72</v>
      </c>
      <c r="B302" t="s">
        <v>73</v>
      </c>
      <c r="C302" t="s">
        <v>74</v>
      </c>
      <c r="E302" t="str">
        <f>"FES1162720948"</f>
        <v>FES1162720948</v>
      </c>
      <c r="F302" s="3">
        <v>43773</v>
      </c>
      <c r="G302">
        <v>202005</v>
      </c>
      <c r="H302" t="s">
        <v>75</v>
      </c>
      <c r="I302" t="s">
        <v>76</v>
      </c>
      <c r="J302" t="s">
        <v>77</v>
      </c>
      <c r="K302" t="s">
        <v>78</v>
      </c>
      <c r="L302" t="s">
        <v>90</v>
      </c>
      <c r="M302" t="s">
        <v>91</v>
      </c>
      <c r="N302" t="s">
        <v>678</v>
      </c>
      <c r="O302" t="s">
        <v>82</v>
      </c>
      <c r="P302" t="str">
        <f>"2170714975                    "</f>
        <v xml:space="preserve">2170714975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8.7899999999999991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0.8</v>
      </c>
      <c r="BJ302">
        <v>1.1000000000000001</v>
      </c>
      <c r="BK302">
        <v>1.5</v>
      </c>
      <c r="BL302" s="4">
        <v>50.66</v>
      </c>
      <c r="BM302" s="4">
        <v>7.6</v>
      </c>
      <c r="BN302" s="4">
        <v>58.26</v>
      </c>
      <c r="BO302" s="4">
        <v>58.26</v>
      </c>
      <c r="BQ302" t="s">
        <v>121</v>
      </c>
      <c r="BR302" t="s">
        <v>84</v>
      </c>
      <c r="BS302" s="3">
        <v>43774</v>
      </c>
      <c r="BT302" s="5">
        <v>0.3743055555555555</v>
      </c>
      <c r="BU302" t="s">
        <v>679</v>
      </c>
      <c r="BV302" t="s">
        <v>86</v>
      </c>
      <c r="BY302">
        <v>5263.01</v>
      </c>
      <c r="CA302" t="s">
        <v>680</v>
      </c>
      <c r="CC302" t="s">
        <v>91</v>
      </c>
      <c r="CD302">
        <v>7500</v>
      </c>
      <c r="CE302" t="s">
        <v>147</v>
      </c>
      <c r="CF302" s="3">
        <v>43775</v>
      </c>
      <c r="CI302">
        <v>1</v>
      </c>
      <c r="CJ302">
        <v>1</v>
      </c>
      <c r="CK302">
        <v>21</v>
      </c>
      <c r="CL302" t="s">
        <v>89</v>
      </c>
    </row>
    <row r="303" spans="1:90">
      <c r="A303" t="s">
        <v>72</v>
      </c>
      <c r="B303" t="s">
        <v>73</v>
      </c>
      <c r="C303" t="s">
        <v>74</v>
      </c>
      <c r="E303" t="str">
        <f>"FES1162720910"</f>
        <v>FES1162720910</v>
      </c>
      <c r="F303" s="3">
        <v>43773</v>
      </c>
      <c r="G303">
        <v>202005</v>
      </c>
      <c r="H303" t="s">
        <v>75</v>
      </c>
      <c r="I303" t="s">
        <v>76</v>
      </c>
      <c r="J303" t="s">
        <v>77</v>
      </c>
      <c r="K303" t="s">
        <v>78</v>
      </c>
      <c r="L303" t="s">
        <v>681</v>
      </c>
      <c r="M303" t="s">
        <v>682</v>
      </c>
      <c r="N303" t="s">
        <v>683</v>
      </c>
      <c r="O303" t="s">
        <v>82</v>
      </c>
      <c r="P303" t="str">
        <f>"2170714526                    "</f>
        <v xml:space="preserve">2170714526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12.36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0.7</v>
      </c>
      <c r="BJ303">
        <v>1.3</v>
      </c>
      <c r="BK303">
        <v>1.5</v>
      </c>
      <c r="BL303" s="4">
        <v>71.239999999999995</v>
      </c>
      <c r="BM303" s="4">
        <v>10.69</v>
      </c>
      <c r="BN303" s="4">
        <v>81.93</v>
      </c>
      <c r="BO303" s="4">
        <v>81.93</v>
      </c>
      <c r="BQ303" t="s">
        <v>121</v>
      </c>
      <c r="BR303" t="s">
        <v>84</v>
      </c>
      <c r="BS303" s="3">
        <v>43774</v>
      </c>
      <c r="BT303" s="5">
        <v>0.37986111111111115</v>
      </c>
      <c r="BU303" t="s">
        <v>684</v>
      </c>
      <c r="BV303" t="s">
        <v>86</v>
      </c>
      <c r="BY303">
        <v>6474.25</v>
      </c>
      <c r="CA303" t="s">
        <v>685</v>
      </c>
      <c r="CC303" t="s">
        <v>682</v>
      </c>
      <c r="CD303">
        <v>1961</v>
      </c>
      <c r="CE303" t="s">
        <v>88</v>
      </c>
      <c r="CF303" s="3">
        <v>43775</v>
      </c>
      <c r="CI303">
        <v>1</v>
      </c>
      <c r="CJ303">
        <v>1</v>
      </c>
      <c r="CK303">
        <v>24</v>
      </c>
      <c r="CL303" t="s">
        <v>89</v>
      </c>
    </row>
    <row r="304" spans="1:90">
      <c r="A304" t="s">
        <v>72</v>
      </c>
      <c r="B304" t="s">
        <v>73</v>
      </c>
      <c r="C304" t="s">
        <v>74</v>
      </c>
      <c r="E304" t="str">
        <f>"FES1162720943"</f>
        <v>FES1162720943</v>
      </c>
      <c r="F304" s="3">
        <v>43773</v>
      </c>
      <c r="G304">
        <v>202005</v>
      </c>
      <c r="H304" t="s">
        <v>75</v>
      </c>
      <c r="I304" t="s">
        <v>76</v>
      </c>
      <c r="J304" t="s">
        <v>77</v>
      </c>
      <c r="K304" t="s">
        <v>78</v>
      </c>
      <c r="L304" t="s">
        <v>214</v>
      </c>
      <c r="M304" t="s">
        <v>214</v>
      </c>
      <c r="N304" t="s">
        <v>215</v>
      </c>
      <c r="O304" t="s">
        <v>82</v>
      </c>
      <c r="P304" t="str">
        <f>"21707149820                   "</f>
        <v xml:space="preserve">21707149820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17.04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0.2</v>
      </c>
      <c r="BJ304">
        <v>1.4</v>
      </c>
      <c r="BK304">
        <v>1.5</v>
      </c>
      <c r="BL304" s="4">
        <v>98.16</v>
      </c>
      <c r="BM304" s="4">
        <v>14.72</v>
      </c>
      <c r="BN304" s="4">
        <v>112.88</v>
      </c>
      <c r="BO304" s="4">
        <v>112.88</v>
      </c>
      <c r="BQ304" t="s">
        <v>109</v>
      </c>
      <c r="BR304" t="s">
        <v>84</v>
      </c>
      <c r="BS304" s="3">
        <v>43774</v>
      </c>
      <c r="BT304" s="5">
        <v>0.4597222222222222</v>
      </c>
      <c r="BU304" t="s">
        <v>264</v>
      </c>
      <c r="BV304" t="s">
        <v>86</v>
      </c>
      <c r="BY304">
        <v>6862.86</v>
      </c>
      <c r="CA304" t="s">
        <v>217</v>
      </c>
      <c r="CC304" t="s">
        <v>214</v>
      </c>
      <c r="CD304">
        <v>7646</v>
      </c>
      <c r="CE304" t="s">
        <v>147</v>
      </c>
      <c r="CF304" s="3">
        <v>43775</v>
      </c>
      <c r="CI304">
        <v>1</v>
      </c>
      <c r="CJ304">
        <v>1</v>
      </c>
      <c r="CK304">
        <v>23</v>
      </c>
      <c r="CL304" t="s">
        <v>89</v>
      </c>
    </row>
    <row r="305" spans="1:90">
      <c r="A305" t="s">
        <v>72</v>
      </c>
      <c r="B305" t="s">
        <v>73</v>
      </c>
      <c r="C305" t="s">
        <v>74</v>
      </c>
      <c r="E305" t="str">
        <f>"FES1162720880"</f>
        <v>FES1162720880</v>
      </c>
      <c r="F305" s="3">
        <v>43773</v>
      </c>
      <c r="G305">
        <v>202005</v>
      </c>
      <c r="H305" t="s">
        <v>75</v>
      </c>
      <c r="I305" t="s">
        <v>76</v>
      </c>
      <c r="J305" t="s">
        <v>77</v>
      </c>
      <c r="K305" t="s">
        <v>78</v>
      </c>
      <c r="L305" t="s">
        <v>296</v>
      </c>
      <c r="M305" t="s">
        <v>297</v>
      </c>
      <c r="N305" t="s">
        <v>298</v>
      </c>
      <c r="O305" t="s">
        <v>82</v>
      </c>
      <c r="P305" t="str">
        <f>"2170713537                    "</f>
        <v xml:space="preserve">2170713537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17.04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0.8</v>
      </c>
      <c r="BJ305">
        <v>1.3</v>
      </c>
      <c r="BK305">
        <v>1.5</v>
      </c>
      <c r="BL305" s="4">
        <v>98.16</v>
      </c>
      <c r="BM305" s="4">
        <v>14.72</v>
      </c>
      <c r="BN305" s="4">
        <v>112.88</v>
      </c>
      <c r="BO305" s="4">
        <v>112.88</v>
      </c>
      <c r="BQ305" t="s">
        <v>121</v>
      </c>
      <c r="BR305" t="s">
        <v>84</v>
      </c>
      <c r="BS305" s="3">
        <v>43775</v>
      </c>
      <c r="BT305" s="5">
        <v>0.57013888888888886</v>
      </c>
      <c r="BU305" t="s">
        <v>658</v>
      </c>
      <c r="BV305" t="s">
        <v>86</v>
      </c>
      <c r="BY305">
        <v>6663.3</v>
      </c>
      <c r="CA305" t="s">
        <v>300</v>
      </c>
      <c r="CC305" t="s">
        <v>297</v>
      </c>
      <c r="CD305">
        <v>6849</v>
      </c>
      <c r="CE305" t="s">
        <v>147</v>
      </c>
      <c r="CF305" s="3">
        <v>43776</v>
      </c>
      <c r="CI305">
        <v>3</v>
      </c>
      <c r="CJ305">
        <v>2</v>
      </c>
      <c r="CK305">
        <v>23</v>
      </c>
      <c r="CL305" t="s">
        <v>89</v>
      </c>
    </row>
    <row r="306" spans="1:90">
      <c r="A306" t="s">
        <v>72</v>
      </c>
      <c r="B306" t="s">
        <v>73</v>
      </c>
      <c r="C306" t="s">
        <v>74</v>
      </c>
      <c r="E306" t="str">
        <f>"FES1162720888"</f>
        <v>FES1162720888</v>
      </c>
      <c r="F306" s="3">
        <v>43773</v>
      </c>
      <c r="G306">
        <v>202005</v>
      </c>
      <c r="H306" t="s">
        <v>75</v>
      </c>
      <c r="I306" t="s">
        <v>76</v>
      </c>
      <c r="J306" t="s">
        <v>77</v>
      </c>
      <c r="K306" t="s">
        <v>78</v>
      </c>
      <c r="L306" t="s">
        <v>90</v>
      </c>
      <c r="M306" t="s">
        <v>91</v>
      </c>
      <c r="N306" t="s">
        <v>686</v>
      </c>
      <c r="O306" t="s">
        <v>82</v>
      </c>
      <c r="P306" t="str">
        <f>"2170714003                    "</f>
        <v xml:space="preserve">2170714003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8.7899999999999991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0.2</v>
      </c>
      <c r="BJ306">
        <v>1.4</v>
      </c>
      <c r="BK306">
        <v>1.5</v>
      </c>
      <c r="BL306" s="4">
        <v>50.66</v>
      </c>
      <c r="BM306" s="4">
        <v>7.6</v>
      </c>
      <c r="BN306" s="4">
        <v>58.26</v>
      </c>
      <c r="BO306" s="4">
        <v>58.26</v>
      </c>
      <c r="BQ306" t="s">
        <v>687</v>
      </c>
      <c r="BR306" t="s">
        <v>84</v>
      </c>
      <c r="BS306" s="3">
        <v>43774</v>
      </c>
      <c r="BT306" s="5">
        <v>0.39999999999999997</v>
      </c>
      <c r="BU306" t="s">
        <v>688</v>
      </c>
      <c r="BV306" t="s">
        <v>86</v>
      </c>
      <c r="BY306">
        <v>6922.5</v>
      </c>
      <c r="CA306" t="s">
        <v>689</v>
      </c>
      <c r="CC306" t="s">
        <v>91</v>
      </c>
      <c r="CD306">
        <v>7925</v>
      </c>
      <c r="CE306" t="s">
        <v>147</v>
      </c>
      <c r="CF306" s="3">
        <v>43775</v>
      </c>
      <c r="CI306">
        <v>1</v>
      </c>
      <c r="CJ306">
        <v>1</v>
      </c>
      <c r="CK306">
        <v>21</v>
      </c>
      <c r="CL306" t="s">
        <v>89</v>
      </c>
    </row>
    <row r="307" spans="1:90">
      <c r="A307" t="s">
        <v>72</v>
      </c>
      <c r="B307" t="s">
        <v>73</v>
      </c>
      <c r="C307" t="s">
        <v>74</v>
      </c>
      <c r="E307" t="str">
        <f>"FES1162720941"</f>
        <v>FES1162720941</v>
      </c>
      <c r="F307" s="3">
        <v>43773</v>
      </c>
      <c r="G307">
        <v>202005</v>
      </c>
      <c r="H307" t="s">
        <v>75</v>
      </c>
      <c r="I307" t="s">
        <v>76</v>
      </c>
      <c r="J307" t="s">
        <v>77</v>
      </c>
      <c r="K307" t="s">
        <v>78</v>
      </c>
      <c r="L307" t="s">
        <v>296</v>
      </c>
      <c r="M307" t="s">
        <v>297</v>
      </c>
      <c r="N307" t="s">
        <v>672</v>
      </c>
      <c r="O307" t="s">
        <v>82</v>
      </c>
      <c r="P307" t="str">
        <f>"2170171895                    "</f>
        <v xml:space="preserve">2170171895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17.04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0.2</v>
      </c>
      <c r="BJ307">
        <v>0.7</v>
      </c>
      <c r="BK307">
        <v>1</v>
      </c>
      <c r="BL307" s="4">
        <v>98.16</v>
      </c>
      <c r="BM307" s="4">
        <v>14.72</v>
      </c>
      <c r="BN307" s="4">
        <v>112.88</v>
      </c>
      <c r="BO307" s="4">
        <v>112.88</v>
      </c>
      <c r="BQ307" t="s">
        <v>142</v>
      </c>
      <c r="BR307" t="s">
        <v>84</v>
      </c>
      <c r="BS307" s="3">
        <v>43775</v>
      </c>
      <c r="BT307" s="5">
        <v>0.57152777777777775</v>
      </c>
      <c r="BU307" t="s">
        <v>690</v>
      </c>
      <c r="BV307" t="s">
        <v>86</v>
      </c>
      <c r="BY307">
        <v>3384.98</v>
      </c>
      <c r="CA307" t="s">
        <v>300</v>
      </c>
      <c r="CC307" t="s">
        <v>297</v>
      </c>
      <c r="CD307">
        <v>6850</v>
      </c>
      <c r="CE307" t="s">
        <v>147</v>
      </c>
      <c r="CF307" s="3">
        <v>43776</v>
      </c>
      <c r="CI307">
        <v>3</v>
      </c>
      <c r="CJ307">
        <v>2</v>
      </c>
      <c r="CK307">
        <v>23</v>
      </c>
      <c r="CL307" t="s">
        <v>89</v>
      </c>
    </row>
    <row r="308" spans="1:90">
      <c r="A308" t="s">
        <v>72</v>
      </c>
      <c r="B308" t="s">
        <v>73</v>
      </c>
      <c r="C308" t="s">
        <v>74</v>
      </c>
      <c r="E308" t="str">
        <f>"FES1162720952"</f>
        <v>FES1162720952</v>
      </c>
      <c r="F308" s="3">
        <v>43773</v>
      </c>
      <c r="G308">
        <v>202005</v>
      </c>
      <c r="H308" t="s">
        <v>75</v>
      </c>
      <c r="I308" t="s">
        <v>76</v>
      </c>
      <c r="J308" t="s">
        <v>77</v>
      </c>
      <c r="K308" t="s">
        <v>78</v>
      </c>
      <c r="L308" t="s">
        <v>214</v>
      </c>
      <c r="M308" t="s">
        <v>214</v>
      </c>
      <c r="N308" t="s">
        <v>215</v>
      </c>
      <c r="O308" t="s">
        <v>82</v>
      </c>
      <c r="P308" t="str">
        <f>"21707151013                   "</f>
        <v xml:space="preserve">21707151013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17.04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0.2</v>
      </c>
      <c r="BJ308">
        <v>1.4</v>
      </c>
      <c r="BK308">
        <v>1.5</v>
      </c>
      <c r="BL308" s="4">
        <v>98.16</v>
      </c>
      <c r="BM308" s="4">
        <v>14.72</v>
      </c>
      <c r="BN308" s="4">
        <v>112.88</v>
      </c>
      <c r="BO308" s="4">
        <v>112.88</v>
      </c>
      <c r="BQ308" t="s">
        <v>109</v>
      </c>
      <c r="BR308" t="s">
        <v>84</v>
      </c>
      <c r="BS308" s="3">
        <v>43774</v>
      </c>
      <c r="BT308" s="5">
        <v>0.4597222222222222</v>
      </c>
      <c r="BU308" t="s">
        <v>264</v>
      </c>
      <c r="BV308" t="s">
        <v>86</v>
      </c>
      <c r="BY308">
        <v>7044.6</v>
      </c>
      <c r="CA308" t="s">
        <v>217</v>
      </c>
      <c r="CC308" t="s">
        <v>214</v>
      </c>
      <c r="CD308">
        <v>7646</v>
      </c>
      <c r="CE308" t="s">
        <v>147</v>
      </c>
      <c r="CF308" s="3">
        <v>43775</v>
      </c>
      <c r="CI308">
        <v>1</v>
      </c>
      <c r="CJ308">
        <v>1</v>
      </c>
      <c r="CK308">
        <v>23</v>
      </c>
      <c r="CL308" t="s">
        <v>89</v>
      </c>
    </row>
    <row r="309" spans="1:90">
      <c r="A309" t="s">
        <v>72</v>
      </c>
      <c r="B309" t="s">
        <v>73</v>
      </c>
      <c r="C309" t="s">
        <v>74</v>
      </c>
      <c r="E309" t="str">
        <f>"FES1162720863"</f>
        <v>FES1162720863</v>
      </c>
      <c r="F309" s="3">
        <v>43773</v>
      </c>
      <c r="G309">
        <v>202005</v>
      </c>
      <c r="H309" t="s">
        <v>75</v>
      </c>
      <c r="I309" t="s">
        <v>76</v>
      </c>
      <c r="J309" t="s">
        <v>77</v>
      </c>
      <c r="K309" t="s">
        <v>78</v>
      </c>
      <c r="L309" t="s">
        <v>339</v>
      </c>
      <c r="M309" t="s">
        <v>340</v>
      </c>
      <c r="N309" t="s">
        <v>565</v>
      </c>
      <c r="O309" t="s">
        <v>82</v>
      </c>
      <c r="P309" t="str">
        <f>"21707122478                   "</f>
        <v xml:space="preserve">21707122478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8.7899999999999991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1.3</v>
      </c>
      <c r="BJ309">
        <v>1.8</v>
      </c>
      <c r="BK309">
        <v>2</v>
      </c>
      <c r="BL309" s="4">
        <v>50.66</v>
      </c>
      <c r="BM309" s="4">
        <v>7.6</v>
      </c>
      <c r="BN309" s="4">
        <v>58.26</v>
      </c>
      <c r="BO309" s="4">
        <v>58.26</v>
      </c>
      <c r="BR309" t="s">
        <v>84</v>
      </c>
      <c r="BS309" s="3">
        <v>43774</v>
      </c>
      <c r="BT309" s="5">
        <v>0.38541666666666669</v>
      </c>
      <c r="BU309" t="s">
        <v>342</v>
      </c>
      <c r="BV309" t="s">
        <v>86</v>
      </c>
      <c r="BY309">
        <v>8946.2099999999991</v>
      </c>
      <c r="CA309" t="s">
        <v>343</v>
      </c>
      <c r="CC309" t="s">
        <v>340</v>
      </c>
      <c r="CD309">
        <v>46</v>
      </c>
      <c r="CE309" t="s">
        <v>147</v>
      </c>
      <c r="CF309" s="3">
        <v>43777</v>
      </c>
      <c r="CI309">
        <v>1</v>
      </c>
      <c r="CJ309">
        <v>1</v>
      </c>
      <c r="CK309">
        <v>21</v>
      </c>
      <c r="CL309" t="s">
        <v>89</v>
      </c>
    </row>
    <row r="310" spans="1:90">
      <c r="A310" t="s">
        <v>72</v>
      </c>
      <c r="B310" t="s">
        <v>73</v>
      </c>
      <c r="C310" t="s">
        <v>74</v>
      </c>
      <c r="E310" t="str">
        <f>"FES1162720954"</f>
        <v>FES1162720954</v>
      </c>
      <c r="F310" s="3">
        <v>43773</v>
      </c>
      <c r="G310">
        <v>202005</v>
      </c>
      <c r="H310" t="s">
        <v>75</v>
      </c>
      <c r="I310" t="s">
        <v>76</v>
      </c>
      <c r="J310" t="s">
        <v>77</v>
      </c>
      <c r="K310" t="s">
        <v>78</v>
      </c>
      <c r="L310" t="s">
        <v>691</v>
      </c>
      <c r="M310" t="s">
        <v>692</v>
      </c>
      <c r="N310" t="s">
        <v>693</v>
      </c>
      <c r="O310" t="s">
        <v>82</v>
      </c>
      <c r="P310" t="str">
        <f>"2170715033                    "</f>
        <v xml:space="preserve">2170715033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6.87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0.2</v>
      </c>
      <c r="BJ310">
        <v>1</v>
      </c>
      <c r="BK310">
        <v>1</v>
      </c>
      <c r="BL310" s="4">
        <v>39.58</v>
      </c>
      <c r="BM310" s="4">
        <v>5.94</v>
      </c>
      <c r="BN310" s="4">
        <v>45.52</v>
      </c>
      <c r="BO310" s="4">
        <v>45.52</v>
      </c>
      <c r="BQ310" t="s">
        <v>142</v>
      </c>
      <c r="BR310" t="s">
        <v>84</v>
      </c>
      <c r="BS310" s="3">
        <v>43774</v>
      </c>
      <c r="BT310" s="5">
        <v>0.61805555555555558</v>
      </c>
      <c r="BU310" t="s">
        <v>694</v>
      </c>
      <c r="BV310" t="s">
        <v>89</v>
      </c>
      <c r="BW310" t="s">
        <v>596</v>
      </c>
      <c r="BX310" t="s">
        <v>597</v>
      </c>
      <c r="BY310">
        <v>5243.49</v>
      </c>
      <c r="CC310" t="s">
        <v>692</v>
      </c>
      <c r="CD310">
        <v>1559</v>
      </c>
      <c r="CE310" t="s">
        <v>147</v>
      </c>
      <c r="CF310" s="3">
        <v>43775</v>
      </c>
      <c r="CI310">
        <v>1</v>
      </c>
      <c r="CJ310">
        <v>1</v>
      </c>
      <c r="CK310">
        <v>22</v>
      </c>
      <c r="CL310" t="s">
        <v>89</v>
      </c>
    </row>
    <row r="311" spans="1:90">
      <c r="A311" t="s">
        <v>72</v>
      </c>
      <c r="B311" t="s">
        <v>73</v>
      </c>
      <c r="C311" t="s">
        <v>74</v>
      </c>
      <c r="E311" t="str">
        <f>"FES1162720850"</f>
        <v>FES1162720850</v>
      </c>
      <c r="F311" s="3">
        <v>43773</v>
      </c>
      <c r="G311">
        <v>202005</v>
      </c>
      <c r="H311" t="s">
        <v>75</v>
      </c>
      <c r="I311" t="s">
        <v>76</v>
      </c>
      <c r="J311" t="s">
        <v>77</v>
      </c>
      <c r="K311" t="s">
        <v>78</v>
      </c>
      <c r="L311" t="s">
        <v>106</v>
      </c>
      <c r="M311" t="s">
        <v>107</v>
      </c>
      <c r="N311" t="s">
        <v>128</v>
      </c>
      <c r="O311" t="s">
        <v>82</v>
      </c>
      <c r="P311" t="str">
        <f>"2170710148                    "</f>
        <v xml:space="preserve">2170710148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8.7899999999999991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0.2</v>
      </c>
      <c r="BJ311">
        <v>0.7</v>
      </c>
      <c r="BK311">
        <v>1</v>
      </c>
      <c r="BL311" s="4">
        <v>50.66</v>
      </c>
      <c r="BM311" s="4">
        <v>7.6</v>
      </c>
      <c r="BN311" s="4">
        <v>58.26</v>
      </c>
      <c r="BO311" s="4">
        <v>58.26</v>
      </c>
      <c r="BQ311" t="s">
        <v>121</v>
      </c>
      <c r="BR311" t="s">
        <v>84</v>
      </c>
      <c r="BS311" s="3">
        <v>43774</v>
      </c>
      <c r="BT311" s="5">
        <v>0.34027777777777773</v>
      </c>
      <c r="BU311" t="s">
        <v>129</v>
      </c>
      <c r="BV311" t="s">
        <v>86</v>
      </c>
      <c r="BY311">
        <v>3339.45</v>
      </c>
      <c r="CA311" t="s">
        <v>87</v>
      </c>
      <c r="CC311" t="s">
        <v>107</v>
      </c>
      <c r="CD311">
        <v>6001</v>
      </c>
      <c r="CE311" t="s">
        <v>147</v>
      </c>
      <c r="CF311" s="3">
        <v>43775</v>
      </c>
      <c r="CI311">
        <v>1</v>
      </c>
      <c r="CJ311">
        <v>1</v>
      </c>
      <c r="CK311">
        <v>21</v>
      </c>
      <c r="CL311" t="s">
        <v>89</v>
      </c>
    </row>
    <row r="312" spans="1:90">
      <c r="A312" t="s">
        <v>72</v>
      </c>
      <c r="B312" t="s">
        <v>73</v>
      </c>
      <c r="C312" t="s">
        <v>74</v>
      </c>
      <c r="E312" t="str">
        <f>"FES1162720922"</f>
        <v>FES1162720922</v>
      </c>
      <c r="F312" s="3">
        <v>43773</v>
      </c>
      <c r="G312">
        <v>202005</v>
      </c>
      <c r="H312" t="s">
        <v>75</v>
      </c>
      <c r="I312" t="s">
        <v>76</v>
      </c>
      <c r="J312" t="s">
        <v>77</v>
      </c>
      <c r="K312" t="s">
        <v>78</v>
      </c>
      <c r="L312" t="s">
        <v>296</v>
      </c>
      <c r="M312" t="s">
        <v>297</v>
      </c>
      <c r="N312" t="s">
        <v>672</v>
      </c>
      <c r="O312" t="s">
        <v>82</v>
      </c>
      <c r="P312" t="str">
        <f>"217078161661                  "</f>
        <v xml:space="preserve">217078161661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17.04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0.2</v>
      </c>
      <c r="BJ312">
        <v>0.8</v>
      </c>
      <c r="BK312">
        <v>1</v>
      </c>
      <c r="BL312" s="4">
        <v>98.16</v>
      </c>
      <c r="BM312" s="4">
        <v>14.72</v>
      </c>
      <c r="BN312" s="4">
        <v>112.88</v>
      </c>
      <c r="BO312" s="4">
        <v>112.88</v>
      </c>
      <c r="BQ312" t="s">
        <v>142</v>
      </c>
      <c r="BR312" t="s">
        <v>84</v>
      </c>
      <c r="BS312" s="3">
        <v>43775</v>
      </c>
      <c r="BT312" s="5">
        <v>0.57152777777777775</v>
      </c>
      <c r="BU312" t="s">
        <v>690</v>
      </c>
      <c r="BV312" t="s">
        <v>86</v>
      </c>
      <c r="BY312">
        <v>3956.04</v>
      </c>
      <c r="CA312" t="s">
        <v>300</v>
      </c>
      <c r="CC312" t="s">
        <v>297</v>
      </c>
      <c r="CD312">
        <v>6850</v>
      </c>
      <c r="CE312" t="s">
        <v>147</v>
      </c>
      <c r="CF312" s="3">
        <v>43776</v>
      </c>
      <c r="CI312">
        <v>3</v>
      </c>
      <c r="CJ312">
        <v>2</v>
      </c>
      <c r="CK312">
        <v>23</v>
      </c>
      <c r="CL312" t="s">
        <v>89</v>
      </c>
    </row>
    <row r="313" spans="1:90">
      <c r="A313" t="s">
        <v>72</v>
      </c>
      <c r="B313" t="s">
        <v>73</v>
      </c>
      <c r="C313" t="s">
        <v>74</v>
      </c>
      <c r="E313" t="str">
        <f>"FES1162720865"</f>
        <v>FES1162720865</v>
      </c>
      <c r="F313" s="3">
        <v>43773</v>
      </c>
      <c r="G313">
        <v>202005</v>
      </c>
      <c r="H313" t="s">
        <v>75</v>
      </c>
      <c r="I313" t="s">
        <v>76</v>
      </c>
      <c r="J313" t="s">
        <v>77</v>
      </c>
      <c r="K313" t="s">
        <v>78</v>
      </c>
      <c r="L313" t="s">
        <v>214</v>
      </c>
      <c r="M313" t="s">
        <v>214</v>
      </c>
      <c r="N313" t="s">
        <v>215</v>
      </c>
      <c r="O313" t="s">
        <v>82</v>
      </c>
      <c r="P313" t="str">
        <f>"21707423300                   "</f>
        <v xml:space="preserve">21707423300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17.04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0.9</v>
      </c>
      <c r="BJ313">
        <v>1.8</v>
      </c>
      <c r="BK313">
        <v>2</v>
      </c>
      <c r="BL313" s="4">
        <v>98.16</v>
      </c>
      <c r="BM313" s="4">
        <v>14.72</v>
      </c>
      <c r="BN313" s="4">
        <v>112.88</v>
      </c>
      <c r="BO313" s="4">
        <v>112.88</v>
      </c>
      <c r="BQ313" t="s">
        <v>109</v>
      </c>
      <c r="BR313" t="s">
        <v>84</v>
      </c>
      <c r="BS313" s="3">
        <v>43774</v>
      </c>
      <c r="BT313" s="5">
        <v>0.4597222222222222</v>
      </c>
      <c r="BU313" t="s">
        <v>264</v>
      </c>
      <c r="BV313" t="s">
        <v>86</v>
      </c>
      <c r="BY313">
        <v>9244.26</v>
      </c>
      <c r="CA313" t="s">
        <v>217</v>
      </c>
      <c r="CC313" t="s">
        <v>214</v>
      </c>
      <c r="CD313">
        <v>7646</v>
      </c>
      <c r="CE313" t="s">
        <v>147</v>
      </c>
      <c r="CF313" s="3">
        <v>43775</v>
      </c>
      <c r="CI313">
        <v>1</v>
      </c>
      <c r="CJ313">
        <v>1</v>
      </c>
      <c r="CK313">
        <v>23</v>
      </c>
      <c r="CL313" t="s">
        <v>89</v>
      </c>
    </row>
    <row r="314" spans="1:90">
      <c r="A314" t="s">
        <v>72</v>
      </c>
      <c r="B314" t="s">
        <v>73</v>
      </c>
      <c r="C314" t="s">
        <v>74</v>
      </c>
      <c r="E314" t="str">
        <f>"FES1162720851"</f>
        <v>FES1162720851</v>
      </c>
      <c r="F314" s="3">
        <v>43773</v>
      </c>
      <c r="G314">
        <v>202005</v>
      </c>
      <c r="H314" t="s">
        <v>75</v>
      </c>
      <c r="I314" t="s">
        <v>76</v>
      </c>
      <c r="J314" t="s">
        <v>77</v>
      </c>
      <c r="K314" t="s">
        <v>78</v>
      </c>
      <c r="L314" t="s">
        <v>106</v>
      </c>
      <c r="M314" t="s">
        <v>107</v>
      </c>
      <c r="N314" t="s">
        <v>128</v>
      </c>
      <c r="O314" t="s">
        <v>82</v>
      </c>
      <c r="P314" t="str">
        <f>"2170710154                    "</f>
        <v xml:space="preserve">2170710154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8.7899999999999991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0.2</v>
      </c>
      <c r="BJ314">
        <v>1.5</v>
      </c>
      <c r="BK314">
        <v>1.5</v>
      </c>
      <c r="BL314" s="4">
        <v>50.66</v>
      </c>
      <c r="BM314" s="4">
        <v>7.6</v>
      </c>
      <c r="BN314" s="4">
        <v>58.26</v>
      </c>
      <c r="BO314" s="4">
        <v>58.26</v>
      </c>
      <c r="BQ314" t="s">
        <v>121</v>
      </c>
      <c r="BR314" t="s">
        <v>84</v>
      </c>
      <c r="BS314" s="3">
        <v>43774</v>
      </c>
      <c r="BT314" s="5">
        <v>0.34027777777777773</v>
      </c>
      <c r="BU314" t="s">
        <v>695</v>
      </c>
      <c r="BV314" t="s">
        <v>86</v>
      </c>
      <c r="BY314">
        <v>7434.38</v>
      </c>
      <c r="CA314" t="s">
        <v>87</v>
      </c>
      <c r="CC314" t="s">
        <v>107</v>
      </c>
      <c r="CD314">
        <v>6001</v>
      </c>
      <c r="CE314" t="s">
        <v>147</v>
      </c>
      <c r="CF314" s="3">
        <v>43775</v>
      </c>
      <c r="CI314">
        <v>1</v>
      </c>
      <c r="CJ314">
        <v>1</v>
      </c>
      <c r="CK314">
        <v>21</v>
      </c>
      <c r="CL314" t="s">
        <v>89</v>
      </c>
    </row>
    <row r="315" spans="1:90">
      <c r="A315" t="s">
        <v>72</v>
      </c>
      <c r="B315" t="s">
        <v>73</v>
      </c>
      <c r="C315" t="s">
        <v>74</v>
      </c>
      <c r="E315" t="str">
        <f>"FES1162720971"</f>
        <v>FES1162720971</v>
      </c>
      <c r="F315" s="3">
        <v>43773</v>
      </c>
      <c r="G315">
        <v>202005</v>
      </c>
      <c r="H315" t="s">
        <v>75</v>
      </c>
      <c r="I315" t="s">
        <v>76</v>
      </c>
      <c r="J315" t="s">
        <v>77</v>
      </c>
      <c r="K315" t="s">
        <v>78</v>
      </c>
      <c r="L315" t="s">
        <v>133</v>
      </c>
      <c r="M315" t="s">
        <v>134</v>
      </c>
      <c r="N315" t="s">
        <v>696</v>
      </c>
      <c r="O315" t="s">
        <v>82</v>
      </c>
      <c r="P315" t="str">
        <f>"21707185243                   "</f>
        <v xml:space="preserve">21707185243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8.7899999999999991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0.2</v>
      </c>
      <c r="BJ315">
        <v>0.6</v>
      </c>
      <c r="BK315">
        <v>1</v>
      </c>
      <c r="BL315" s="4">
        <v>50.66</v>
      </c>
      <c r="BM315" s="4">
        <v>7.6</v>
      </c>
      <c r="BN315" s="4">
        <v>58.26</v>
      </c>
      <c r="BO315" s="4">
        <v>58.26</v>
      </c>
      <c r="BQ315" t="s">
        <v>121</v>
      </c>
      <c r="BR315" t="s">
        <v>84</v>
      </c>
      <c r="BS315" s="3">
        <v>43774</v>
      </c>
      <c r="BT315" s="5">
        <v>0.36944444444444446</v>
      </c>
      <c r="BU315" t="s">
        <v>697</v>
      </c>
      <c r="BV315" t="s">
        <v>86</v>
      </c>
      <c r="BY315">
        <v>3221.4</v>
      </c>
      <c r="CA315" t="s">
        <v>698</v>
      </c>
      <c r="CC315" t="s">
        <v>134</v>
      </c>
      <c r="CD315">
        <v>5201</v>
      </c>
      <c r="CE315" t="s">
        <v>147</v>
      </c>
      <c r="CF315" s="3">
        <v>43775</v>
      </c>
      <c r="CI315">
        <v>1</v>
      </c>
      <c r="CJ315">
        <v>1</v>
      </c>
      <c r="CK315">
        <v>21</v>
      </c>
      <c r="CL315" t="s">
        <v>89</v>
      </c>
    </row>
    <row r="316" spans="1:90">
      <c r="A316" t="s">
        <v>72</v>
      </c>
      <c r="B316" t="s">
        <v>73</v>
      </c>
      <c r="C316" t="s">
        <v>74</v>
      </c>
      <c r="E316" t="str">
        <f>"FES1162720969"</f>
        <v>FES1162720969</v>
      </c>
      <c r="F316" s="3">
        <v>43773</v>
      </c>
      <c r="G316">
        <v>202005</v>
      </c>
      <c r="H316" t="s">
        <v>75</v>
      </c>
      <c r="I316" t="s">
        <v>76</v>
      </c>
      <c r="J316" t="s">
        <v>77</v>
      </c>
      <c r="K316" t="s">
        <v>78</v>
      </c>
      <c r="L316" t="s">
        <v>106</v>
      </c>
      <c r="M316" t="s">
        <v>107</v>
      </c>
      <c r="N316" t="s">
        <v>150</v>
      </c>
      <c r="O316" t="s">
        <v>82</v>
      </c>
      <c r="P316" t="str">
        <f>"2170715241                    "</f>
        <v xml:space="preserve">2170715241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8.7899999999999991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0.2</v>
      </c>
      <c r="BJ316">
        <v>1.3</v>
      </c>
      <c r="BK316">
        <v>1.5</v>
      </c>
      <c r="BL316" s="4">
        <v>50.66</v>
      </c>
      <c r="BM316" s="4">
        <v>7.6</v>
      </c>
      <c r="BN316" s="4">
        <v>58.26</v>
      </c>
      <c r="BO316" s="4">
        <v>58.26</v>
      </c>
      <c r="BQ316" t="s">
        <v>109</v>
      </c>
      <c r="BR316" t="s">
        <v>84</v>
      </c>
      <c r="BS316" s="3">
        <v>43774</v>
      </c>
      <c r="BT316" s="5">
        <v>0.39513888888888887</v>
      </c>
      <c r="BU316" t="s">
        <v>151</v>
      </c>
      <c r="BV316" t="s">
        <v>86</v>
      </c>
      <c r="BY316">
        <v>6646.5</v>
      </c>
      <c r="CA316" t="s">
        <v>111</v>
      </c>
      <c r="CC316" t="s">
        <v>107</v>
      </c>
      <c r="CD316">
        <v>6001</v>
      </c>
      <c r="CE316" t="s">
        <v>147</v>
      </c>
      <c r="CF316" s="3">
        <v>43775</v>
      </c>
      <c r="CI316">
        <v>1</v>
      </c>
      <c r="CJ316">
        <v>1</v>
      </c>
      <c r="CK316">
        <v>21</v>
      </c>
      <c r="CL316" t="s">
        <v>89</v>
      </c>
    </row>
    <row r="317" spans="1:90">
      <c r="A317" t="s">
        <v>72</v>
      </c>
      <c r="B317" t="s">
        <v>73</v>
      </c>
      <c r="C317" t="s">
        <v>74</v>
      </c>
      <c r="E317" t="str">
        <f>"FES1162720846"</f>
        <v>FES1162720846</v>
      </c>
      <c r="F317" s="3">
        <v>43773</v>
      </c>
      <c r="G317">
        <v>202005</v>
      </c>
      <c r="H317" t="s">
        <v>75</v>
      </c>
      <c r="I317" t="s">
        <v>76</v>
      </c>
      <c r="J317" t="s">
        <v>77</v>
      </c>
      <c r="K317" t="s">
        <v>78</v>
      </c>
      <c r="L317" t="s">
        <v>482</v>
      </c>
      <c r="M317" t="s">
        <v>483</v>
      </c>
      <c r="N317" t="s">
        <v>699</v>
      </c>
      <c r="O317" t="s">
        <v>82</v>
      </c>
      <c r="P317" t="str">
        <f>"2170710850                    "</f>
        <v xml:space="preserve">2170710850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6.87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0.7</v>
      </c>
      <c r="BJ317">
        <v>1.2</v>
      </c>
      <c r="BK317">
        <v>1.5</v>
      </c>
      <c r="BL317" s="4">
        <v>39.58</v>
      </c>
      <c r="BM317" s="4">
        <v>5.94</v>
      </c>
      <c r="BN317" s="4">
        <v>45.52</v>
      </c>
      <c r="BO317" s="4">
        <v>45.52</v>
      </c>
      <c r="BQ317" t="s">
        <v>109</v>
      </c>
      <c r="BR317" t="s">
        <v>84</v>
      </c>
      <c r="BS317" s="3">
        <v>43774</v>
      </c>
      <c r="BT317" s="5">
        <v>0.4368055555555555</v>
      </c>
      <c r="BU317" t="s">
        <v>694</v>
      </c>
      <c r="BV317" t="s">
        <v>86</v>
      </c>
      <c r="BY317">
        <v>5865.75</v>
      </c>
      <c r="CC317" t="s">
        <v>483</v>
      </c>
      <c r="CD317">
        <v>1459</v>
      </c>
      <c r="CE317" t="s">
        <v>147</v>
      </c>
      <c r="CF317" s="3">
        <v>43775</v>
      </c>
      <c r="CI317">
        <v>1</v>
      </c>
      <c r="CJ317">
        <v>1</v>
      </c>
      <c r="CK317">
        <v>22</v>
      </c>
      <c r="CL317" t="s">
        <v>89</v>
      </c>
    </row>
    <row r="318" spans="1:90">
      <c r="A318" t="s">
        <v>72</v>
      </c>
      <c r="B318" t="s">
        <v>73</v>
      </c>
      <c r="C318" t="s">
        <v>74</v>
      </c>
      <c r="E318" t="str">
        <f>"FES1162720857"</f>
        <v>FES1162720857</v>
      </c>
      <c r="F318" s="3">
        <v>43773</v>
      </c>
      <c r="G318">
        <v>202005</v>
      </c>
      <c r="H318" t="s">
        <v>75</v>
      </c>
      <c r="I318" t="s">
        <v>76</v>
      </c>
      <c r="J318" t="s">
        <v>77</v>
      </c>
      <c r="K318" t="s">
        <v>78</v>
      </c>
      <c r="L318" t="s">
        <v>339</v>
      </c>
      <c r="M318" t="s">
        <v>340</v>
      </c>
      <c r="N318" t="s">
        <v>565</v>
      </c>
      <c r="O318" t="s">
        <v>82</v>
      </c>
      <c r="P318" t="str">
        <f>"2170711037                    "</f>
        <v xml:space="preserve">2170711037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8.7899999999999991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1.2</v>
      </c>
      <c r="BJ318">
        <v>1.4</v>
      </c>
      <c r="BK318">
        <v>1.5</v>
      </c>
      <c r="BL318" s="4">
        <v>50.66</v>
      </c>
      <c r="BM318" s="4">
        <v>7.6</v>
      </c>
      <c r="BN318" s="4">
        <v>58.26</v>
      </c>
      <c r="BO318" s="4">
        <v>58.26</v>
      </c>
      <c r="BR318" t="s">
        <v>84</v>
      </c>
      <c r="BS318" s="3">
        <v>43774</v>
      </c>
      <c r="BT318" s="5">
        <v>0.38541666666666669</v>
      </c>
      <c r="BU318" t="s">
        <v>342</v>
      </c>
      <c r="BV318" t="s">
        <v>86</v>
      </c>
      <c r="BY318">
        <v>7083.44</v>
      </c>
      <c r="CA318" t="s">
        <v>343</v>
      </c>
      <c r="CC318" t="s">
        <v>340</v>
      </c>
      <c r="CD318">
        <v>46</v>
      </c>
      <c r="CE318" t="s">
        <v>147</v>
      </c>
      <c r="CF318" s="3">
        <v>43777</v>
      </c>
      <c r="CI318">
        <v>1</v>
      </c>
      <c r="CJ318">
        <v>1</v>
      </c>
      <c r="CK318">
        <v>21</v>
      </c>
      <c r="CL318" t="s">
        <v>89</v>
      </c>
    </row>
    <row r="319" spans="1:90">
      <c r="A319" t="s">
        <v>72</v>
      </c>
      <c r="B319" t="s">
        <v>73</v>
      </c>
      <c r="C319" t="s">
        <v>74</v>
      </c>
      <c r="E319" t="str">
        <f>"FES1162720885"</f>
        <v>FES1162720885</v>
      </c>
      <c r="F319" s="3">
        <v>43773</v>
      </c>
      <c r="G319">
        <v>202005</v>
      </c>
      <c r="H319" t="s">
        <v>75</v>
      </c>
      <c r="I319" t="s">
        <v>76</v>
      </c>
      <c r="J319" t="s">
        <v>77</v>
      </c>
      <c r="K319" t="s">
        <v>78</v>
      </c>
      <c r="L319" t="s">
        <v>214</v>
      </c>
      <c r="M319" t="s">
        <v>214</v>
      </c>
      <c r="N319" t="s">
        <v>312</v>
      </c>
      <c r="O319" t="s">
        <v>82</v>
      </c>
      <c r="P319" t="str">
        <f>"2170713804                    "</f>
        <v xml:space="preserve">2170713804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17.04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0.2</v>
      </c>
      <c r="BJ319">
        <v>2</v>
      </c>
      <c r="BK319">
        <v>2</v>
      </c>
      <c r="BL319" s="4">
        <v>98.16</v>
      </c>
      <c r="BM319" s="4">
        <v>14.72</v>
      </c>
      <c r="BN319" s="4">
        <v>112.88</v>
      </c>
      <c r="BO319" s="4">
        <v>112.88</v>
      </c>
      <c r="BQ319" t="s">
        <v>121</v>
      </c>
      <c r="BR319" t="s">
        <v>84</v>
      </c>
      <c r="BS319" s="3">
        <v>43774</v>
      </c>
      <c r="BT319" s="5">
        <v>0.50138888888888888</v>
      </c>
      <c r="BU319" t="s">
        <v>313</v>
      </c>
      <c r="BV319" t="s">
        <v>86</v>
      </c>
      <c r="BY319">
        <v>9806.85</v>
      </c>
      <c r="CA319" t="s">
        <v>217</v>
      </c>
      <c r="CC319" t="s">
        <v>214</v>
      </c>
      <c r="CD319">
        <v>7646</v>
      </c>
      <c r="CE319" t="s">
        <v>147</v>
      </c>
      <c r="CF319" s="3">
        <v>43775</v>
      </c>
      <c r="CI319">
        <v>1</v>
      </c>
      <c r="CJ319">
        <v>1</v>
      </c>
      <c r="CK319">
        <v>23</v>
      </c>
      <c r="CL319" t="s">
        <v>89</v>
      </c>
    </row>
    <row r="320" spans="1:90">
      <c r="A320" t="s">
        <v>72</v>
      </c>
      <c r="B320" t="s">
        <v>73</v>
      </c>
      <c r="C320" t="s">
        <v>74</v>
      </c>
      <c r="E320" t="str">
        <f>"FES1162720925"</f>
        <v>FES1162720925</v>
      </c>
      <c r="F320" s="3">
        <v>43773</v>
      </c>
      <c r="G320">
        <v>202005</v>
      </c>
      <c r="H320" t="s">
        <v>75</v>
      </c>
      <c r="I320" t="s">
        <v>76</v>
      </c>
      <c r="J320" t="s">
        <v>77</v>
      </c>
      <c r="K320" t="s">
        <v>78</v>
      </c>
      <c r="L320" t="s">
        <v>106</v>
      </c>
      <c r="M320" t="s">
        <v>107</v>
      </c>
      <c r="N320" t="s">
        <v>700</v>
      </c>
      <c r="O320" t="s">
        <v>82</v>
      </c>
      <c r="P320" t="str">
        <f>"2170714786                    "</f>
        <v xml:space="preserve">2170714786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8.7899999999999991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0.7</v>
      </c>
      <c r="BJ320">
        <v>1.3</v>
      </c>
      <c r="BK320">
        <v>1.5</v>
      </c>
      <c r="BL320" s="4">
        <v>50.66</v>
      </c>
      <c r="BM320" s="4">
        <v>7.6</v>
      </c>
      <c r="BN320" s="4">
        <v>58.26</v>
      </c>
      <c r="BO320" s="4">
        <v>58.26</v>
      </c>
      <c r="BQ320" t="s">
        <v>109</v>
      </c>
      <c r="BR320" t="s">
        <v>84</v>
      </c>
      <c r="BS320" s="3">
        <v>43774</v>
      </c>
      <c r="BT320" s="5">
        <v>0.36805555555555558</v>
      </c>
      <c r="BU320" t="s">
        <v>490</v>
      </c>
      <c r="BV320" t="s">
        <v>86</v>
      </c>
      <c r="BY320">
        <v>6316.7</v>
      </c>
      <c r="CA320" t="s">
        <v>491</v>
      </c>
      <c r="CC320" t="s">
        <v>107</v>
      </c>
      <c r="CD320">
        <v>6001</v>
      </c>
      <c r="CE320" t="s">
        <v>147</v>
      </c>
      <c r="CF320" s="3">
        <v>43775</v>
      </c>
      <c r="CI320">
        <v>1</v>
      </c>
      <c r="CJ320">
        <v>1</v>
      </c>
      <c r="CK320">
        <v>21</v>
      </c>
      <c r="CL320" t="s">
        <v>89</v>
      </c>
    </row>
    <row r="321" spans="1:90">
      <c r="A321" t="s">
        <v>72</v>
      </c>
      <c r="B321" t="s">
        <v>73</v>
      </c>
      <c r="C321" t="s">
        <v>74</v>
      </c>
      <c r="E321" t="str">
        <f>"FES1162720892"</f>
        <v>FES1162720892</v>
      </c>
      <c r="F321" s="3">
        <v>43773</v>
      </c>
      <c r="G321">
        <v>202005</v>
      </c>
      <c r="H321" t="s">
        <v>75</v>
      </c>
      <c r="I321" t="s">
        <v>76</v>
      </c>
      <c r="J321" t="s">
        <v>77</v>
      </c>
      <c r="K321" t="s">
        <v>78</v>
      </c>
      <c r="L321" t="s">
        <v>296</v>
      </c>
      <c r="M321" t="s">
        <v>297</v>
      </c>
      <c r="N321" t="s">
        <v>672</v>
      </c>
      <c r="O321" t="s">
        <v>82</v>
      </c>
      <c r="P321" t="str">
        <f>"2170714084                    "</f>
        <v xml:space="preserve">2170714084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17.04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0.2</v>
      </c>
      <c r="BJ321">
        <v>1.8</v>
      </c>
      <c r="BK321">
        <v>2</v>
      </c>
      <c r="BL321" s="4">
        <v>98.16</v>
      </c>
      <c r="BM321" s="4">
        <v>14.72</v>
      </c>
      <c r="BN321" s="4">
        <v>112.88</v>
      </c>
      <c r="BO321" s="4">
        <v>112.88</v>
      </c>
      <c r="BQ321" t="s">
        <v>142</v>
      </c>
      <c r="BR321" t="s">
        <v>84</v>
      </c>
      <c r="BS321" s="3">
        <v>43775</v>
      </c>
      <c r="BT321" s="5">
        <v>0.57152777777777775</v>
      </c>
      <c r="BU321" t="s">
        <v>690</v>
      </c>
      <c r="BV321" t="s">
        <v>86</v>
      </c>
      <c r="BY321">
        <v>9120.2999999999993</v>
      </c>
      <c r="CA321" t="s">
        <v>300</v>
      </c>
      <c r="CC321" t="s">
        <v>297</v>
      </c>
      <c r="CD321">
        <v>6850</v>
      </c>
      <c r="CE321" t="s">
        <v>147</v>
      </c>
      <c r="CF321" s="3">
        <v>43776</v>
      </c>
      <c r="CI321">
        <v>3</v>
      </c>
      <c r="CJ321">
        <v>2</v>
      </c>
      <c r="CK321">
        <v>23</v>
      </c>
      <c r="CL321" t="s">
        <v>89</v>
      </c>
    </row>
    <row r="322" spans="1:90">
      <c r="A322" t="s">
        <v>72</v>
      </c>
      <c r="B322" t="s">
        <v>73</v>
      </c>
      <c r="C322" t="s">
        <v>74</v>
      </c>
      <c r="E322" t="str">
        <f>"FES1162720927"</f>
        <v>FES1162720927</v>
      </c>
      <c r="F322" s="3">
        <v>43773</v>
      </c>
      <c r="G322">
        <v>202005</v>
      </c>
      <c r="H322" t="s">
        <v>75</v>
      </c>
      <c r="I322" t="s">
        <v>76</v>
      </c>
      <c r="J322" t="s">
        <v>77</v>
      </c>
      <c r="K322" t="s">
        <v>78</v>
      </c>
      <c r="L322" t="s">
        <v>106</v>
      </c>
      <c r="M322" t="s">
        <v>107</v>
      </c>
      <c r="N322" t="s">
        <v>700</v>
      </c>
      <c r="O322" t="s">
        <v>82</v>
      </c>
      <c r="P322" t="str">
        <f>"2170714792                    "</f>
        <v xml:space="preserve">2170714792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13.19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2.8</v>
      </c>
      <c r="BJ322">
        <v>1.1000000000000001</v>
      </c>
      <c r="BK322">
        <v>3</v>
      </c>
      <c r="BL322" s="4">
        <v>75.98</v>
      </c>
      <c r="BM322" s="4">
        <v>11.4</v>
      </c>
      <c r="BN322" s="4">
        <v>87.38</v>
      </c>
      <c r="BO322" s="4">
        <v>87.38</v>
      </c>
      <c r="BQ322" t="s">
        <v>109</v>
      </c>
      <c r="BR322" t="s">
        <v>84</v>
      </c>
      <c r="BS322" s="3">
        <v>43774</v>
      </c>
      <c r="BT322" s="5">
        <v>0.36805555555555558</v>
      </c>
      <c r="BU322" t="s">
        <v>490</v>
      </c>
      <c r="BV322" t="s">
        <v>86</v>
      </c>
      <c r="BY322">
        <v>5572</v>
      </c>
      <c r="CA322" t="s">
        <v>491</v>
      </c>
      <c r="CC322" t="s">
        <v>107</v>
      </c>
      <c r="CD322">
        <v>6001</v>
      </c>
      <c r="CE322" t="s">
        <v>147</v>
      </c>
      <c r="CF322" s="3">
        <v>43775</v>
      </c>
      <c r="CI322">
        <v>1</v>
      </c>
      <c r="CJ322">
        <v>1</v>
      </c>
      <c r="CK322">
        <v>21</v>
      </c>
      <c r="CL322" t="s">
        <v>89</v>
      </c>
    </row>
    <row r="323" spans="1:90">
      <c r="A323" t="s">
        <v>72</v>
      </c>
      <c r="B323" t="s">
        <v>73</v>
      </c>
      <c r="C323" t="s">
        <v>74</v>
      </c>
      <c r="E323" t="str">
        <f>"FES1162720974"</f>
        <v>FES1162720974</v>
      </c>
      <c r="F323" s="3">
        <v>43773</v>
      </c>
      <c r="G323">
        <v>202005</v>
      </c>
      <c r="H323" t="s">
        <v>75</v>
      </c>
      <c r="I323" t="s">
        <v>76</v>
      </c>
      <c r="J323" t="s">
        <v>77</v>
      </c>
      <c r="K323" t="s">
        <v>78</v>
      </c>
      <c r="L323" t="s">
        <v>701</v>
      </c>
      <c r="M323" t="s">
        <v>702</v>
      </c>
      <c r="N323" t="s">
        <v>703</v>
      </c>
      <c r="O323" t="s">
        <v>82</v>
      </c>
      <c r="P323" t="str">
        <f>"2170715246                    "</f>
        <v xml:space="preserve">2170715246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12.36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0.2</v>
      </c>
      <c r="BJ323">
        <v>1.1000000000000001</v>
      </c>
      <c r="BK323">
        <v>1.5</v>
      </c>
      <c r="BL323" s="4">
        <v>71.239999999999995</v>
      </c>
      <c r="BM323" s="4">
        <v>10.69</v>
      </c>
      <c r="BN323" s="4">
        <v>81.93</v>
      </c>
      <c r="BO323" s="4">
        <v>81.93</v>
      </c>
      <c r="BQ323" t="s">
        <v>109</v>
      </c>
      <c r="BR323" t="s">
        <v>84</v>
      </c>
      <c r="BS323" s="3">
        <v>43774</v>
      </c>
      <c r="BT323" s="5">
        <v>0.41111111111111115</v>
      </c>
      <c r="BU323" t="s">
        <v>704</v>
      </c>
      <c r="BV323" t="s">
        <v>86</v>
      </c>
      <c r="BY323">
        <v>5616</v>
      </c>
      <c r="CA323" t="s">
        <v>409</v>
      </c>
      <c r="CC323" t="s">
        <v>702</v>
      </c>
      <c r="CD323">
        <v>300</v>
      </c>
      <c r="CE323" t="s">
        <v>147</v>
      </c>
      <c r="CF323" s="3">
        <v>43776</v>
      </c>
      <c r="CI323">
        <v>1</v>
      </c>
      <c r="CJ323">
        <v>1</v>
      </c>
      <c r="CK323">
        <v>24</v>
      </c>
      <c r="CL323" t="s">
        <v>89</v>
      </c>
    </row>
    <row r="324" spans="1:90">
      <c r="A324" t="s">
        <v>72</v>
      </c>
      <c r="B324" t="s">
        <v>73</v>
      </c>
      <c r="C324" t="s">
        <v>74</v>
      </c>
      <c r="E324" t="str">
        <f>"FES1162720926"</f>
        <v>FES1162720926</v>
      </c>
      <c r="F324" s="3">
        <v>43773</v>
      </c>
      <c r="G324">
        <v>202005</v>
      </c>
      <c r="H324" t="s">
        <v>75</v>
      </c>
      <c r="I324" t="s">
        <v>76</v>
      </c>
      <c r="J324" t="s">
        <v>77</v>
      </c>
      <c r="K324" t="s">
        <v>78</v>
      </c>
      <c r="L324" t="s">
        <v>106</v>
      </c>
      <c r="M324" t="s">
        <v>107</v>
      </c>
      <c r="N324" t="s">
        <v>700</v>
      </c>
      <c r="O324" t="s">
        <v>82</v>
      </c>
      <c r="P324" t="str">
        <f>"2170714790                    "</f>
        <v xml:space="preserve">2170714790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8.7899999999999991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0.2</v>
      </c>
      <c r="BJ324">
        <v>1.1000000000000001</v>
      </c>
      <c r="BK324">
        <v>1.5</v>
      </c>
      <c r="BL324" s="4">
        <v>50.66</v>
      </c>
      <c r="BM324" s="4">
        <v>7.6</v>
      </c>
      <c r="BN324" s="4">
        <v>58.26</v>
      </c>
      <c r="BO324" s="4">
        <v>58.26</v>
      </c>
      <c r="BQ324" t="s">
        <v>109</v>
      </c>
      <c r="BR324" t="s">
        <v>84</v>
      </c>
      <c r="BS324" s="3">
        <v>43774</v>
      </c>
      <c r="BT324" s="5">
        <v>0.36805555555555558</v>
      </c>
      <c r="BU324" t="s">
        <v>490</v>
      </c>
      <c r="BV324" t="s">
        <v>86</v>
      </c>
      <c r="BY324">
        <v>5552.37</v>
      </c>
      <c r="CA324" t="s">
        <v>491</v>
      </c>
      <c r="CC324" t="s">
        <v>107</v>
      </c>
      <c r="CD324">
        <v>6001</v>
      </c>
      <c r="CE324" t="s">
        <v>147</v>
      </c>
      <c r="CF324" s="3">
        <v>43775</v>
      </c>
      <c r="CI324">
        <v>1</v>
      </c>
      <c r="CJ324">
        <v>1</v>
      </c>
      <c r="CK324">
        <v>21</v>
      </c>
      <c r="CL324" t="s">
        <v>89</v>
      </c>
    </row>
    <row r="325" spans="1:90">
      <c r="A325" t="s">
        <v>72</v>
      </c>
      <c r="B325" t="s">
        <v>73</v>
      </c>
      <c r="C325" t="s">
        <v>74</v>
      </c>
      <c r="E325" t="str">
        <f>"FES1162720859"</f>
        <v>FES1162720859</v>
      </c>
      <c r="F325" s="3">
        <v>43773</v>
      </c>
      <c r="G325">
        <v>202005</v>
      </c>
      <c r="H325" t="s">
        <v>75</v>
      </c>
      <c r="I325" t="s">
        <v>76</v>
      </c>
      <c r="J325" t="s">
        <v>77</v>
      </c>
      <c r="K325" t="s">
        <v>78</v>
      </c>
      <c r="L325" t="s">
        <v>106</v>
      </c>
      <c r="M325" t="s">
        <v>107</v>
      </c>
      <c r="N325" t="s">
        <v>128</v>
      </c>
      <c r="O325" t="s">
        <v>82</v>
      </c>
      <c r="P325" t="str">
        <f>"2170711158                    "</f>
        <v xml:space="preserve">2170711158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8.7899999999999991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0.2</v>
      </c>
      <c r="BJ325">
        <v>1.1000000000000001</v>
      </c>
      <c r="BK325">
        <v>1.5</v>
      </c>
      <c r="BL325" s="4">
        <v>50.66</v>
      </c>
      <c r="BM325" s="4">
        <v>7.6</v>
      </c>
      <c r="BN325" s="4">
        <v>58.26</v>
      </c>
      <c r="BO325" s="4">
        <v>58.26</v>
      </c>
      <c r="BQ325" t="s">
        <v>121</v>
      </c>
      <c r="BR325" t="s">
        <v>84</v>
      </c>
      <c r="BS325" s="3">
        <v>43774</v>
      </c>
      <c r="BT325" s="5">
        <v>0.34027777777777773</v>
      </c>
      <c r="BU325" t="s">
        <v>129</v>
      </c>
      <c r="BV325" t="s">
        <v>86</v>
      </c>
      <c r="BY325">
        <v>5423.28</v>
      </c>
      <c r="CA325" t="s">
        <v>87</v>
      </c>
      <c r="CC325" t="s">
        <v>107</v>
      </c>
      <c r="CD325">
        <v>6001</v>
      </c>
      <c r="CE325" t="s">
        <v>147</v>
      </c>
      <c r="CF325" s="3">
        <v>43775</v>
      </c>
      <c r="CI325">
        <v>1</v>
      </c>
      <c r="CJ325">
        <v>1</v>
      </c>
      <c r="CK325">
        <v>21</v>
      </c>
      <c r="CL325" t="s">
        <v>89</v>
      </c>
    </row>
    <row r="326" spans="1:90">
      <c r="A326" t="s">
        <v>72</v>
      </c>
      <c r="B326" t="s">
        <v>73</v>
      </c>
      <c r="C326" t="s">
        <v>74</v>
      </c>
      <c r="E326" t="str">
        <f>"FES1162720981"</f>
        <v>FES1162720981</v>
      </c>
      <c r="F326" s="3">
        <v>43773</v>
      </c>
      <c r="G326">
        <v>202005</v>
      </c>
      <c r="H326" t="s">
        <v>75</v>
      </c>
      <c r="I326" t="s">
        <v>76</v>
      </c>
      <c r="J326" t="s">
        <v>77</v>
      </c>
      <c r="K326" t="s">
        <v>78</v>
      </c>
      <c r="L326" t="s">
        <v>124</v>
      </c>
      <c r="M326" t="s">
        <v>125</v>
      </c>
      <c r="N326" t="s">
        <v>218</v>
      </c>
      <c r="O326" t="s">
        <v>82</v>
      </c>
      <c r="P326" t="str">
        <f>"2170715254                    "</f>
        <v xml:space="preserve">2170715254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6.87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0.2</v>
      </c>
      <c r="BJ326">
        <v>0.4</v>
      </c>
      <c r="BK326">
        <v>0.5</v>
      </c>
      <c r="BL326" s="4">
        <v>39.58</v>
      </c>
      <c r="BM326" s="4">
        <v>5.94</v>
      </c>
      <c r="BN326" s="4">
        <v>45.52</v>
      </c>
      <c r="BO326" s="4">
        <v>45.52</v>
      </c>
      <c r="BQ326" t="s">
        <v>121</v>
      </c>
      <c r="BR326" t="s">
        <v>84</v>
      </c>
      <c r="BS326" s="3">
        <v>43774</v>
      </c>
      <c r="BT326" s="5">
        <v>0.36527777777777781</v>
      </c>
      <c r="BU326" t="s">
        <v>476</v>
      </c>
      <c r="BV326" t="s">
        <v>86</v>
      </c>
      <c r="BY326">
        <v>2020.71</v>
      </c>
      <c r="CA326" t="s">
        <v>415</v>
      </c>
      <c r="CC326" t="s">
        <v>125</v>
      </c>
      <c r="CD326">
        <v>2094</v>
      </c>
      <c r="CE326" t="s">
        <v>147</v>
      </c>
      <c r="CF326" s="3">
        <v>43775</v>
      </c>
      <c r="CI326">
        <v>1</v>
      </c>
      <c r="CJ326">
        <v>1</v>
      </c>
      <c r="CK326">
        <v>22</v>
      </c>
      <c r="CL326" t="s">
        <v>89</v>
      </c>
    </row>
    <row r="327" spans="1:90">
      <c r="A327" t="s">
        <v>72</v>
      </c>
      <c r="B327" t="s">
        <v>73</v>
      </c>
      <c r="C327" t="s">
        <v>74</v>
      </c>
      <c r="E327" t="str">
        <f>"FES1162720870"</f>
        <v>FES1162720870</v>
      </c>
      <c r="F327" s="3">
        <v>43773</v>
      </c>
      <c r="G327">
        <v>202005</v>
      </c>
      <c r="H327" t="s">
        <v>75</v>
      </c>
      <c r="I327" t="s">
        <v>76</v>
      </c>
      <c r="J327" t="s">
        <v>77</v>
      </c>
      <c r="K327" t="s">
        <v>78</v>
      </c>
      <c r="L327" t="s">
        <v>75</v>
      </c>
      <c r="M327" t="s">
        <v>76</v>
      </c>
      <c r="N327" t="s">
        <v>647</v>
      </c>
      <c r="O327" t="s">
        <v>82</v>
      </c>
      <c r="P327" t="str">
        <f>"2170712663                    "</f>
        <v xml:space="preserve">2170712663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6.87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0.2</v>
      </c>
      <c r="BJ327">
        <v>1.2</v>
      </c>
      <c r="BK327">
        <v>1.5</v>
      </c>
      <c r="BL327" s="4">
        <v>39.58</v>
      </c>
      <c r="BM327" s="4">
        <v>5.94</v>
      </c>
      <c r="BN327" s="4">
        <v>45.52</v>
      </c>
      <c r="BO327" s="4">
        <v>45.52</v>
      </c>
      <c r="BQ327" t="s">
        <v>648</v>
      </c>
      <c r="BR327" t="s">
        <v>84</v>
      </c>
      <c r="BS327" s="3">
        <v>43774</v>
      </c>
      <c r="BT327" s="5">
        <v>0.30069444444444443</v>
      </c>
      <c r="BU327" t="s">
        <v>649</v>
      </c>
      <c r="BV327" t="s">
        <v>86</v>
      </c>
      <c r="BY327">
        <v>6059.68</v>
      </c>
      <c r="CA327" t="s">
        <v>362</v>
      </c>
      <c r="CC327" t="s">
        <v>76</v>
      </c>
      <c r="CD327">
        <v>1645</v>
      </c>
      <c r="CE327" t="s">
        <v>147</v>
      </c>
      <c r="CF327" s="3">
        <v>43775</v>
      </c>
      <c r="CI327">
        <v>1</v>
      </c>
      <c r="CJ327">
        <v>1</v>
      </c>
      <c r="CK327">
        <v>22</v>
      </c>
      <c r="CL327" t="s">
        <v>89</v>
      </c>
    </row>
    <row r="328" spans="1:90">
      <c r="A328" t="s">
        <v>72</v>
      </c>
      <c r="B328" t="s">
        <v>73</v>
      </c>
      <c r="C328" t="s">
        <v>74</v>
      </c>
      <c r="E328" t="str">
        <f>"FES1162720868"</f>
        <v>FES1162720868</v>
      </c>
      <c r="F328" s="3">
        <v>43773</v>
      </c>
      <c r="G328">
        <v>202005</v>
      </c>
      <c r="H328" t="s">
        <v>75</v>
      </c>
      <c r="I328" t="s">
        <v>76</v>
      </c>
      <c r="J328" t="s">
        <v>77</v>
      </c>
      <c r="K328" t="s">
        <v>78</v>
      </c>
      <c r="L328" t="s">
        <v>75</v>
      </c>
      <c r="M328" t="s">
        <v>76</v>
      </c>
      <c r="N328" t="s">
        <v>647</v>
      </c>
      <c r="O328" t="s">
        <v>82</v>
      </c>
      <c r="P328" t="str">
        <f>"2170712592                    "</f>
        <v xml:space="preserve">2170712592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6.87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0.2</v>
      </c>
      <c r="BJ328">
        <v>1.4</v>
      </c>
      <c r="BK328">
        <v>1.5</v>
      </c>
      <c r="BL328" s="4">
        <v>39.58</v>
      </c>
      <c r="BM328" s="4">
        <v>5.94</v>
      </c>
      <c r="BN328" s="4">
        <v>45.52</v>
      </c>
      <c r="BO328" s="4">
        <v>45.52</v>
      </c>
      <c r="BQ328" t="s">
        <v>648</v>
      </c>
      <c r="BR328" t="s">
        <v>84</v>
      </c>
      <c r="BS328" s="3">
        <v>43774</v>
      </c>
      <c r="BT328" s="5">
        <v>0.30069444444444443</v>
      </c>
      <c r="BU328" t="s">
        <v>649</v>
      </c>
      <c r="BV328" t="s">
        <v>86</v>
      </c>
      <c r="BY328">
        <v>7029.23</v>
      </c>
      <c r="CA328" t="s">
        <v>362</v>
      </c>
      <c r="CC328" t="s">
        <v>76</v>
      </c>
      <c r="CD328">
        <v>1645</v>
      </c>
      <c r="CE328" t="s">
        <v>147</v>
      </c>
      <c r="CF328" s="3">
        <v>43775</v>
      </c>
      <c r="CI328">
        <v>1</v>
      </c>
      <c r="CJ328">
        <v>1</v>
      </c>
      <c r="CK328">
        <v>22</v>
      </c>
      <c r="CL328" t="s">
        <v>89</v>
      </c>
    </row>
    <row r="329" spans="1:90">
      <c r="A329" t="s">
        <v>72</v>
      </c>
      <c r="B329" t="s">
        <v>73</v>
      </c>
      <c r="C329" t="s">
        <v>74</v>
      </c>
      <c r="E329" t="str">
        <f>"FES1162720905"</f>
        <v>FES1162720905</v>
      </c>
      <c r="F329" s="3">
        <v>43773</v>
      </c>
      <c r="G329">
        <v>202005</v>
      </c>
      <c r="H329" t="s">
        <v>75</v>
      </c>
      <c r="I329" t="s">
        <v>76</v>
      </c>
      <c r="J329" t="s">
        <v>77</v>
      </c>
      <c r="K329" t="s">
        <v>78</v>
      </c>
      <c r="L329" t="s">
        <v>214</v>
      </c>
      <c r="M329" t="s">
        <v>214</v>
      </c>
      <c r="N329" t="s">
        <v>705</v>
      </c>
      <c r="O329" t="s">
        <v>82</v>
      </c>
      <c r="P329" t="str">
        <f>"21707144171                   "</f>
        <v xml:space="preserve">21707144171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17.04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0.2</v>
      </c>
      <c r="BJ329">
        <v>0.8</v>
      </c>
      <c r="BK329">
        <v>1</v>
      </c>
      <c r="BL329" s="4">
        <v>98.16</v>
      </c>
      <c r="BM329" s="4">
        <v>14.72</v>
      </c>
      <c r="BN329" s="4">
        <v>112.88</v>
      </c>
      <c r="BO329" s="4">
        <v>112.88</v>
      </c>
      <c r="BQ329" t="s">
        <v>142</v>
      </c>
      <c r="BR329" t="s">
        <v>84</v>
      </c>
      <c r="BS329" s="3">
        <v>43774</v>
      </c>
      <c r="BT329" s="5">
        <v>0.5131944444444444</v>
      </c>
      <c r="BU329" t="s">
        <v>706</v>
      </c>
      <c r="BV329" t="s">
        <v>86</v>
      </c>
      <c r="BY329">
        <v>3872.88</v>
      </c>
      <c r="CA329" t="s">
        <v>217</v>
      </c>
      <c r="CC329" t="s">
        <v>214</v>
      </c>
      <c r="CD329">
        <v>7620</v>
      </c>
      <c r="CE329" t="s">
        <v>147</v>
      </c>
      <c r="CF329" s="3">
        <v>43775</v>
      </c>
      <c r="CI329">
        <v>1</v>
      </c>
      <c r="CJ329">
        <v>1</v>
      </c>
      <c r="CK329">
        <v>23</v>
      </c>
      <c r="CL329" t="s">
        <v>89</v>
      </c>
    </row>
    <row r="330" spans="1:90">
      <c r="A330" t="s">
        <v>72</v>
      </c>
      <c r="B330" t="s">
        <v>73</v>
      </c>
      <c r="C330" t="s">
        <v>74</v>
      </c>
      <c r="E330" t="str">
        <f>"FES1162720878"</f>
        <v>FES1162720878</v>
      </c>
      <c r="F330" s="3">
        <v>43773</v>
      </c>
      <c r="G330">
        <v>202005</v>
      </c>
      <c r="H330" t="s">
        <v>75</v>
      </c>
      <c r="I330" t="s">
        <v>76</v>
      </c>
      <c r="J330" t="s">
        <v>77</v>
      </c>
      <c r="K330" t="s">
        <v>78</v>
      </c>
      <c r="L330" t="s">
        <v>124</v>
      </c>
      <c r="M330" t="s">
        <v>125</v>
      </c>
      <c r="N330" t="s">
        <v>644</v>
      </c>
      <c r="O330" t="s">
        <v>82</v>
      </c>
      <c r="P330" t="str">
        <f>"2170713309                    "</f>
        <v xml:space="preserve">2170713309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7.69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0.6</v>
      </c>
      <c r="BJ330">
        <v>2.1</v>
      </c>
      <c r="BK330">
        <v>2.5</v>
      </c>
      <c r="BL330" s="4">
        <v>44.32</v>
      </c>
      <c r="BM330" s="4">
        <v>6.65</v>
      </c>
      <c r="BN330" s="4">
        <v>50.97</v>
      </c>
      <c r="BO330" s="4">
        <v>50.97</v>
      </c>
      <c r="BQ330" t="s">
        <v>109</v>
      </c>
      <c r="BR330" t="s">
        <v>84</v>
      </c>
      <c r="BS330" s="3">
        <v>43774</v>
      </c>
      <c r="BT330" s="5">
        <v>0.40069444444444446</v>
      </c>
      <c r="BU330" t="s">
        <v>645</v>
      </c>
      <c r="BV330" t="s">
        <v>86</v>
      </c>
      <c r="BY330">
        <v>10281.379999999999</v>
      </c>
      <c r="CA330" t="s">
        <v>646</v>
      </c>
      <c r="CC330" t="s">
        <v>125</v>
      </c>
      <c r="CD330">
        <v>2092</v>
      </c>
      <c r="CE330" t="s">
        <v>147</v>
      </c>
      <c r="CF330" s="3">
        <v>43775</v>
      </c>
      <c r="CI330">
        <v>1</v>
      </c>
      <c r="CJ330">
        <v>1</v>
      </c>
      <c r="CK330">
        <v>22</v>
      </c>
      <c r="CL330" t="s">
        <v>89</v>
      </c>
    </row>
    <row r="331" spans="1:90">
      <c r="A331" t="s">
        <v>72</v>
      </c>
      <c r="B331" t="s">
        <v>73</v>
      </c>
      <c r="C331" t="s">
        <v>74</v>
      </c>
      <c r="E331" t="str">
        <f>"FES1162720399"</f>
        <v>FES1162720399</v>
      </c>
      <c r="F331" s="3">
        <v>43769</v>
      </c>
      <c r="G331">
        <v>202005</v>
      </c>
      <c r="H331" t="s">
        <v>75</v>
      </c>
      <c r="I331" t="s">
        <v>76</v>
      </c>
      <c r="J331" t="s">
        <v>211</v>
      </c>
      <c r="K331" t="s">
        <v>78</v>
      </c>
      <c r="L331" t="s">
        <v>280</v>
      </c>
      <c r="M331" t="s">
        <v>102</v>
      </c>
      <c r="N331" t="s">
        <v>707</v>
      </c>
      <c r="O331" t="s">
        <v>282</v>
      </c>
      <c r="P331" t="str">
        <f>"2170714561                    "</f>
        <v xml:space="preserve">2170714561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15.11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11.5</v>
      </c>
      <c r="BJ331">
        <v>15.1</v>
      </c>
      <c r="BK331">
        <v>15</v>
      </c>
      <c r="BL331" s="4">
        <v>92.07</v>
      </c>
      <c r="BM331" s="4">
        <v>13.81</v>
      </c>
      <c r="BN331" s="4">
        <v>105.88</v>
      </c>
      <c r="BO331" s="4">
        <v>105.88</v>
      </c>
      <c r="BQ331" t="s">
        <v>121</v>
      </c>
      <c r="BR331" t="s">
        <v>212</v>
      </c>
      <c r="BS331" s="3">
        <v>43770</v>
      </c>
      <c r="BT331" s="5">
        <v>0.34027777777777773</v>
      </c>
      <c r="BU331" t="s">
        <v>708</v>
      </c>
      <c r="BV331" t="s">
        <v>86</v>
      </c>
      <c r="BY331">
        <v>75484.5</v>
      </c>
      <c r="CA331" t="s">
        <v>709</v>
      </c>
      <c r="CC331" t="s">
        <v>102</v>
      </c>
      <c r="CD331">
        <v>1</v>
      </c>
      <c r="CE331" t="s">
        <v>88</v>
      </c>
      <c r="CF331" s="3">
        <v>43773</v>
      </c>
      <c r="CI331">
        <v>0</v>
      </c>
      <c r="CJ331">
        <v>0</v>
      </c>
      <c r="CK331" t="s">
        <v>285</v>
      </c>
      <c r="CL331" t="s">
        <v>89</v>
      </c>
    </row>
    <row r="332" spans="1:90">
      <c r="A332" t="s">
        <v>72</v>
      </c>
      <c r="B332" t="s">
        <v>73</v>
      </c>
      <c r="C332" t="s">
        <v>74</v>
      </c>
      <c r="E332" t="str">
        <f>"FES1162721047"</f>
        <v>FES1162721047</v>
      </c>
      <c r="F332" s="3">
        <v>43773</v>
      </c>
      <c r="G332">
        <v>202005</v>
      </c>
      <c r="H332" t="s">
        <v>75</v>
      </c>
      <c r="I332" t="s">
        <v>76</v>
      </c>
      <c r="J332" t="s">
        <v>77</v>
      </c>
      <c r="K332" t="s">
        <v>78</v>
      </c>
      <c r="L332" t="s">
        <v>176</v>
      </c>
      <c r="M332" t="s">
        <v>177</v>
      </c>
      <c r="N332" t="s">
        <v>178</v>
      </c>
      <c r="O332" t="s">
        <v>282</v>
      </c>
      <c r="P332" t="str">
        <f>"2170711866                    "</f>
        <v xml:space="preserve">2170711866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24.86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29</v>
      </c>
      <c r="BJ332">
        <v>38.4</v>
      </c>
      <c r="BK332">
        <v>39</v>
      </c>
      <c r="BL332" s="4">
        <v>148.26</v>
      </c>
      <c r="BM332" s="4">
        <v>22.24</v>
      </c>
      <c r="BN332" s="4">
        <v>170.5</v>
      </c>
      <c r="BO332" s="4">
        <v>170.5</v>
      </c>
      <c r="BQ332" t="s">
        <v>142</v>
      </c>
      <c r="BR332" t="s">
        <v>84</v>
      </c>
      <c r="BS332" s="3">
        <v>43774</v>
      </c>
      <c r="BT332" s="5">
        <v>0.56736111111111109</v>
      </c>
      <c r="BU332" t="s">
        <v>710</v>
      </c>
      <c r="BV332" t="s">
        <v>86</v>
      </c>
      <c r="BY332">
        <v>191880</v>
      </c>
      <c r="CA332" t="s">
        <v>604</v>
      </c>
      <c r="CC332" t="s">
        <v>177</v>
      </c>
      <c r="CD332">
        <v>3610</v>
      </c>
      <c r="CE332" t="s">
        <v>88</v>
      </c>
      <c r="CF332" s="3">
        <v>43776</v>
      </c>
      <c r="CI332">
        <v>1</v>
      </c>
      <c r="CJ332">
        <v>1</v>
      </c>
      <c r="CK332" t="s">
        <v>711</v>
      </c>
      <c r="CL332" t="s">
        <v>89</v>
      </c>
    </row>
    <row r="333" spans="1:90">
      <c r="A333" t="s">
        <v>72</v>
      </c>
      <c r="B333" t="s">
        <v>73</v>
      </c>
      <c r="C333" t="s">
        <v>74</v>
      </c>
      <c r="E333" t="str">
        <f>"FES1162721710"</f>
        <v>FES1162721710</v>
      </c>
      <c r="F333" s="3">
        <v>43776</v>
      </c>
      <c r="G333">
        <v>202005</v>
      </c>
      <c r="H333" t="s">
        <v>75</v>
      </c>
      <c r="I333" t="s">
        <v>76</v>
      </c>
      <c r="J333" t="s">
        <v>77</v>
      </c>
      <c r="K333" t="s">
        <v>78</v>
      </c>
      <c r="L333" t="s">
        <v>176</v>
      </c>
      <c r="M333" t="s">
        <v>177</v>
      </c>
      <c r="N333" t="s">
        <v>256</v>
      </c>
      <c r="O333" t="s">
        <v>82</v>
      </c>
      <c r="P333" t="str">
        <f>"2170715939                    "</f>
        <v xml:space="preserve">2170715939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8.58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 s="4">
        <v>50.45</v>
      </c>
      <c r="BM333" s="4">
        <v>7.57</v>
      </c>
      <c r="BN333" s="4">
        <v>58.02</v>
      </c>
      <c r="BO333" s="4">
        <v>58.02</v>
      </c>
      <c r="BQ333" t="s">
        <v>109</v>
      </c>
      <c r="BR333" t="s">
        <v>84</v>
      </c>
      <c r="BS333" s="3">
        <v>43777</v>
      </c>
      <c r="BT333" s="5">
        <v>0.38819444444444445</v>
      </c>
      <c r="BU333" t="s">
        <v>536</v>
      </c>
      <c r="BV333" t="s">
        <v>86</v>
      </c>
      <c r="BY333">
        <v>1200</v>
      </c>
      <c r="CA333" t="s">
        <v>180</v>
      </c>
      <c r="CC333" t="s">
        <v>177</v>
      </c>
      <c r="CD333">
        <v>3610</v>
      </c>
      <c r="CE333" t="s">
        <v>147</v>
      </c>
      <c r="CF333" s="3">
        <v>43780</v>
      </c>
      <c r="CI333">
        <v>1</v>
      </c>
      <c r="CJ333">
        <v>1</v>
      </c>
      <c r="CK333">
        <v>21</v>
      </c>
      <c r="CL333" t="s">
        <v>89</v>
      </c>
    </row>
    <row r="334" spans="1:90">
      <c r="A334" t="s">
        <v>72</v>
      </c>
      <c r="B334" t="s">
        <v>73</v>
      </c>
      <c r="C334" t="s">
        <v>74</v>
      </c>
      <c r="E334" t="str">
        <f>"FES1162714316"</f>
        <v>FES1162714316</v>
      </c>
      <c r="F334" s="3">
        <v>43776</v>
      </c>
      <c r="G334">
        <v>202005</v>
      </c>
      <c r="H334" t="s">
        <v>75</v>
      </c>
      <c r="I334" t="s">
        <v>76</v>
      </c>
      <c r="J334" t="s">
        <v>77</v>
      </c>
      <c r="K334" t="s">
        <v>78</v>
      </c>
      <c r="L334" t="s">
        <v>552</v>
      </c>
      <c r="M334" t="s">
        <v>553</v>
      </c>
      <c r="N334" t="s">
        <v>712</v>
      </c>
      <c r="O334" t="s">
        <v>82</v>
      </c>
      <c r="P334" t="str">
        <f>"2170708095                    "</f>
        <v xml:space="preserve">2170708095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6.71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 s="4">
        <v>39.42</v>
      </c>
      <c r="BM334" s="4">
        <v>5.91</v>
      </c>
      <c r="BN334" s="4">
        <v>45.33</v>
      </c>
      <c r="BO334" s="4">
        <v>45.33</v>
      </c>
      <c r="BQ334" t="s">
        <v>121</v>
      </c>
      <c r="BR334" t="s">
        <v>84</v>
      </c>
      <c r="BS334" s="3">
        <v>43777</v>
      </c>
      <c r="BT334" s="5">
        <v>0.39583333333333331</v>
      </c>
      <c r="BU334" t="s">
        <v>713</v>
      </c>
      <c r="BV334" t="s">
        <v>86</v>
      </c>
      <c r="BY334">
        <v>1200</v>
      </c>
      <c r="CC334" t="s">
        <v>553</v>
      </c>
      <c r="CD334">
        <v>1541</v>
      </c>
      <c r="CE334" t="s">
        <v>147</v>
      </c>
      <c r="CF334" s="3">
        <v>43780</v>
      </c>
      <c r="CI334">
        <v>1</v>
      </c>
      <c r="CJ334">
        <v>1</v>
      </c>
      <c r="CK334">
        <v>22</v>
      </c>
      <c r="CL334" t="s">
        <v>89</v>
      </c>
    </row>
    <row r="335" spans="1:90">
      <c r="A335" t="s">
        <v>72</v>
      </c>
      <c r="B335" t="s">
        <v>73</v>
      </c>
      <c r="C335" t="s">
        <v>74</v>
      </c>
      <c r="E335" t="str">
        <f>"FES1162721737"</f>
        <v>FES1162721737</v>
      </c>
      <c r="F335" s="3">
        <v>43776</v>
      </c>
      <c r="G335">
        <v>202005</v>
      </c>
      <c r="H335" t="s">
        <v>75</v>
      </c>
      <c r="I335" t="s">
        <v>76</v>
      </c>
      <c r="J335" t="s">
        <v>77</v>
      </c>
      <c r="K335" t="s">
        <v>78</v>
      </c>
      <c r="L335" t="s">
        <v>106</v>
      </c>
      <c r="M335" t="s">
        <v>107</v>
      </c>
      <c r="N335" t="s">
        <v>128</v>
      </c>
      <c r="O335" t="s">
        <v>82</v>
      </c>
      <c r="P335" t="str">
        <f>"2170710864                    "</f>
        <v xml:space="preserve">2170710864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30.03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2</v>
      </c>
      <c r="BI335">
        <v>7</v>
      </c>
      <c r="BJ335">
        <v>5.4</v>
      </c>
      <c r="BK335">
        <v>7</v>
      </c>
      <c r="BL335" s="4">
        <v>176.5</v>
      </c>
      <c r="BM335" s="4">
        <v>26.48</v>
      </c>
      <c r="BN335" s="4">
        <v>202.98</v>
      </c>
      <c r="BO335" s="4">
        <v>202.98</v>
      </c>
      <c r="BQ335" t="s">
        <v>121</v>
      </c>
      <c r="BR335" t="s">
        <v>84</v>
      </c>
      <c r="BS335" s="3">
        <v>43777</v>
      </c>
      <c r="BT335" s="5">
        <v>0.33333333333333331</v>
      </c>
      <c r="BU335" t="s">
        <v>714</v>
      </c>
      <c r="BV335" t="s">
        <v>86</v>
      </c>
      <c r="BY335">
        <v>26797.53</v>
      </c>
      <c r="CA335" t="s">
        <v>87</v>
      </c>
      <c r="CC335" t="s">
        <v>107</v>
      </c>
      <c r="CD335">
        <v>6001</v>
      </c>
      <c r="CE335" t="s">
        <v>88</v>
      </c>
      <c r="CF335" s="3">
        <v>43780</v>
      </c>
      <c r="CI335">
        <v>1</v>
      </c>
      <c r="CJ335">
        <v>1</v>
      </c>
      <c r="CK335">
        <v>21</v>
      </c>
      <c r="CL335" t="s">
        <v>89</v>
      </c>
    </row>
    <row r="336" spans="1:90">
      <c r="A336" t="s">
        <v>72</v>
      </c>
      <c r="B336" t="s">
        <v>73</v>
      </c>
      <c r="C336" t="s">
        <v>74</v>
      </c>
      <c r="E336" t="str">
        <f>"FES1162721884"</f>
        <v>FES1162721884</v>
      </c>
      <c r="F336" s="3">
        <v>43776</v>
      </c>
      <c r="G336">
        <v>202005</v>
      </c>
      <c r="H336" t="s">
        <v>75</v>
      </c>
      <c r="I336" t="s">
        <v>76</v>
      </c>
      <c r="J336" t="s">
        <v>77</v>
      </c>
      <c r="K336" t="s">
        <v>78</v>
      </c>
      <c r="L336" t="s">
        <v>90</v>
      </c>
      <c r="M336" t="s">
        <v>91</v>
      </c>
      <c r="N336" t="s">
        <v>715</v>
      </c>
      <c r="O336" t="s">
        <v>82</v>
      </c>
      <c r="P336" t="str">
        <f>"2170716084                    "</f>
        <v xml:space="preserve">2170716084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8.58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1.2</v>
      </c>
      <c r="BJ336">
        <v>1.4</v>
      </c>
      <c r="BK336">
        <v>1.5</v>
      </c>
      <c r="BL336" s="4">
        <v>50.45</v>
      </c>
      <c r="BM336" s="4">
        <v>7.57</v>
      </c>
      <c r="BN336" s="4">
        <v>58.02</v>
      </c>
      <c r="BO336" s="4">
        <v>58.02</v>
      </c>
      <c r="BQ336" t="s">
        <v>109</v>
      </c>
      <c r="BR336" t="s">
        <v>84</v>
      </c>
      <c r="BS336" s="3">
        <v>43777</v>
      </c>
      <c r="BT336" s="5">
        <v>0.375</v>
      </c>
      <c r="BU336" t="s">
        <v>716</v>
      </c>
      <c r="BV336" t="s">
        <v>86</v>
      </c>
      <c r="BY336">
        <v>6990.48</v>
      </c>
      <c r="CA336" t="s">
        <v>717</v>
      </c>
      <c r="CC336" t="s">
        <v>91</v>
      </c>
      <c r="CD336">
        <v>7925</v>
      </c>
      <c r="CE336" t="s">
        <v>88</v>
      </c>
      <c r="CF336" s="3">
        <v>43780</v>
      </c>
      <c r="CI336">
        <v>1</v>
      </c>
      <c r="CJ336">
        <v>1</v>
      </c>
      <c r="CK336">
        <v>21</v>
      </c>
      <c r="CL336" t="s">
        <v>89</v>
      </c>
    </row>
    <row r="337" spans="1:90">
      <c r="A337" t="s">
        <v>72</v>
      </c>
      <c r="B337" t="s">
        <v>73</v>
      </c>
      <c r="C337" t="s">
        <v>74</v>
      </c>
      <c r="E337" t="str">
        <f>"FES1162721823"</f>
        <v>FES1162721823</v>
      </c>
      <c r="F337" s="3">
        <v>43776</v>
      </c>
      <c r="G337">
        <v>202005</v>
      </c>
      <c r="H337" t="s">
        <v>75</v>
      </c>
      <c r="I337" t="s">
        <v>76</v>
      </c>
      <c r="J337" t="s">
        <v>77</v>
      </c>
      <c r="K337" t="s">
        <v>78</v>
      </c>
      <c r="L337" t="s">
        <v>339</v>
      </c>
      <c r="M337" t="s">
        <v>340</v>
      </c>
      <c r="N337" t="s">
        <v>718</v>
      </c>
      <c r="O337" t="s">
        <v>82</v>
      </c>
      <c r="P337" t="str">
        <f>"2170716019                    "</f>
        <v xml:space="preserve">2170716019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8.58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 s="4">
        <v>50.45</v>
      </c>
      <c r="BM337" s="4">
        <v>7.57</v>
      </c>
      <c r="BN337" s="4">
        <v>58.02</v>
      </c>
      <c r="BO337" s="4">
        <v>58.02</v>
      </c>
      <c r="BR337" t="s">
        <v>84</v>
      </c>
      <c r="BS337" s="3">
        <v>43777</v>
      </c>
      <c r="BT337" s="5">
        <v>0.41666666666666669</v>
      </c>
      <c r="BU337" t="s">
        <v>719</v>
      </c>
      <c r="BV337" t="s">
        <v>86</v>
      </c>
      <c r="BY337">
        <v>1200</v>
      </c>
      <c r="CA337" t="s">
        <v>720</v>
      </c>
      <c r="CC337" t="s">
        <v>340</v>
      </c>
      <c r="CD337">
        <v>157</v>
      </c>
      <c r="CE337" t="s">
        <v>147</v>
      </c>
      <c r="CF337" s="3">
        <v>43781</v>
      </c>
      <c r="CI337">
        <v>1</v>
      </c>
      <c r="CJ337">
        <v>1</v>
      </c>
      <c r="CK337">
        <v>21</v>
      </c>
      <c r="CL337" t="s">
        <v>89</v>
      </c>
    </row>
    <row r="338" spans="1:90">
      <c r="A338" t="s">
        <v>72</v>
      </c>
      <c r="B338" t="s">
        <v>73</v>
      </c>
      <c r="C338" t="s">
        <v>74</v>
      </c>
      <c r="E338" t="str">
        <f>"FES1162721807"</f>
        <v>FES1162721807</v>
      </c>
      <c r="F338" s="3">
        <v>43776</v>
      </c>
      <c r="G338">
        <v>202005</v>
      </c>
      <c r="H338" t="s">
        <v>75</v>
      </c>
      <c r="I338" t="s">
        <v>76</v>
      </c>
      <c r="J338" t="s">
        <v>77</v>
      </c>
      <c r="K338" t="s">
        <v>78</v>
      </c>
      <c r="L338" t="s">
        <v>90</v>
      </c>
      <c r="M338" t="s">
        <v>91</v>
      </c>
      <c r="N338" t="s">
        <v>721</v>
      </c>
      <c r="O338" t="s">
        <v>82</v>
      </c>
      <c r="P338" t="str">
        <f>"2170716006                    "</f>
        <v xml:space="preserve">2170716006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8.58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 s="4">
        <v>50.45</v>
      </c>
      <c r="BM338" s="4">
        <v>7.57</v>
      </c>
      <c r="BN338" s="4">
        <v>58.02</v>
      </c>
      <c r="BO338" s="4">
        <v>58.02</v>
      </c>
      <c r="BQ338" t="s">
        <v>722</v>
      </c>
      <c r="BR338" t="s">
        <v>84</v>
      </c>
      <c r="BS338" s="3">
        <v>43777</v>
      </c>
      <c r="BT338" s="5">
        <v>0.33749999999999997</v>
      </c>
      <c r="BU338" t="s">
        <v>723</v>
      </c>
      <c r="BV338" t="s">
        <v>86</v>
      </c>
      <c r="BY338">
        <v>1200</v>
      </c>
      <c r="CA338" t="s">
        <v>140</v>
      </c>
      <c r="CC338" t="s">
        <v>91</v>
      </c>
      <c r="CD338">
        <v>7560</v>
      </c>
      <c r="CE338" t="s">
        <v>147</v>
      </c>
      <c r="CF338" s="3">
        <v>43780</v>
      </c>
      <c r="CI338">
        <v>1</v>
      </c>
      <c r="CJ338">
        <v>1</v>
      </c>
      <c r="CK338">
        <v>21</v>
      </c>
      <c r="CL338" t="s">
        <v>89</v>
      </c>
    </row>
    <row r="339" spans="1:90">
      <c r="A339" t="s">
        <v>72</v>
      </c>
      <c r="B339" t="s">
        <v>73</v>
      </c>
      <c r="C339" t="s">
        <v>74</v>
      </c>
      <c r="E339" t="str">
        <f>"FES1162721820"</f>
        <v>FES1162721820</v>
      </c>
      <c r="F339" s="3">
        <v>43776</v>
      </c>
      <c r="G339">
        <v>202005</v>
      </c>
      <c r="H339" t="s">
        <v>75</v>
      </c>
      <c r="I339" t="s">
        <v>76</v>
      </c>
      <c r="J339" t="s">
        <v>77</v>
      </c>
      <c r="K339" t="s">
        <v>78</v>
      </c>
      <c r="L339" t="s">
        <v>405</v>
      </c>
      <c r="M339" t="s">
        <v>406</v>
      </c>
      <c r="N339" t="s">
        <v>407</v>
      </c>
      <c r="O339" t="s">
        <v>82</v>
      </c>
      <c r="P339" t="str">
        <f>"2170716017                    "</f>
        <v xml:space="preserve">2170716017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12.07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 s="4">
        <v>70.95</v>
      </c>
      <c r="BM339" s="4">
        <v>10.64</v>
      </c>
      <c r="BN339" s="4">
        <v>81.59</v>
      </c>
      <c r="BO339" s="4">
        <v>81.59</v>
      </c>
      <c r="BQ339" t="s">
        <v>121</v>
      </c>
      <c r="BR339" t="s">
        <v>84</v>
      </c>
      <c r="BS339" s="3">
        <v>43777</v>
      </c>
      <c r="BT339" s="5">
        <v>0.4201388888888889</v>
      </c>
      <c r="BU339" t="s">
        <v>408</v>
      </c>
      <c r="BV339" t="s">
        <v>86</v>
      </c>
      <c r="BY339">
        <v>1200</v>
      </c>
      <c r="CA339" t="s">
        <v>409</v>
      </c>
      <c r="CC339" t="s">
        <v>406</v>
      </c>
      <c r="CD339">
        <v>250</v>
      </c>
      <c r="CE339" t="s">
        <v>147</v>
      </c>
      <c r="CF339" s="3">
        <v>43781</v>
      </c>
      <c r="CI339">
        <v>1</v>
      </c>
      <c r="CJ339">
        <v>1</v>
      </c>
      <c r="CK339">
        <v>24</v>
      </c>
      <c r="CL339" t="s">
        <v>89</v>
      </c>
    </row>
    <row r="340" spans="1:90">
      <c r="A340" t="s">
        <v>72</v>
      </c>
      <c r="B340" t="s">
        <v>73</v>
      </c>
      <c r="C340" t="s">
        <v>74</v>
      </c>
      <c r="E340" t="str">
        <f>"FES1162721828"</f>
        <v>FES1162721828</v>
      </c>
      <c r="F340" s="3">
        <v>43776</v>
      </c>
      <c r="G340">
        <v>202005</v>
      </c>
      <c r="H340" t="s">
        <v>75</v>
      </c>
      <c r="I340" t="s">
        <v>76</v>
      </c>
      <c r="J340" t="s">
        <v>77</v>
      </c>
      <c r="K340" t="s">
        <v>78</v>
      </c>
      <c r="L340" t="s">
        <v>90</v>
      </c>
      <c r="M340" t="s">
        <v>91</v>
      </c>
      <c r="N340" t="s">
        <v>527</v>
      </c>
      <c r="O340" t="s">
        <v>82</v>
      </c>
      <c r="P340" t="str">
        <f>"2170716021                    "</f>
        <v xml:space="preserve">2170716021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8.58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 s="4">
        <v>50.45</v>
      </c>
      <c r="BM340" s="4">
        <v>7.57</v>
      </c>
      <c r="BN340" s="4">
        <v>58.02</v>
      </c>
      <c r="BO340" s="4">
        <v>58.02</v>
      </c>
      <c r="BQ340" t="s">
        <v>109</v>
      </c>
      <c r="BR340" t="s">
        <v>84</v>
      </c>
      <c r="BS340" s="3">
        <v>43777</v>
      </c>
      <c r="BT340" s="5">
        <v>0.32916666666666666</v>
      </c>
      <c r="BU340" t="s">
        <v>724</v>
      </c>
      <c r="BV340" t="s">
        <v>86</v>
      </c>
      <c r="BY340">
        <v>1200</v>
      </c>
      <c r="CA340" t="s">
        <v>221</v>
      </c>
      <c r="CC340" t="s">
        <v>91</v>
      </c>
      <c r="CD340">
        <v>7405</v>
      </c>
      <c r="CE340" t="s">
        <v>147</v>
      </c>
      <c r="CF340" s="3">
        <v>43780</v>
      </c>
      <c r="CI340">
        <v>1</v>
      </c>
      <c r="CJ340">
        <v>1</v>
      </c>
      <c r="CK340">
        <v>21</v>
      </c>
      <c r="CL340" t="s">
        <v>89</v>
      </c>
    </row>
    <row r="341" spans="1:90">
      <c r="A341" t="s">
        <v>72</v>
      </c>
      <c r="B341" t="s">
        <v>73</v>
      </c>
      <c r="C341" t="s">
        <v>74</v>
      </c>
      <c r="E341" t="str">
        <f>"FES1162721700"</f>
        <v>FES1162721700</v>
      </c>
      <c r="F341" s="3">
        <v>43776</v>
      </c>
      <c r="G341">
        <v>202005</v>
      </c>
      <c r="H341" t="s">
        <v>75</v>
      </c>
      <c r="I341" t="s">
        <v>76</v>
      </c>
      <c r="J341" t="s">
        <v>77</v>
      </c>
      <c r="K341" t="s">
        <v>78</v>
      </c>
      <c r="L341" t="s">
        <v>75</v>
      </c>
      <c r="M341" t="s">
        <v>76</v>
      </c>
      <c r="N341" t="s">
        <v>725</v>
      </c>
      <c r="O341" t="s">
        <v>82</v>
      </c>
      <c r="P341" t="str">
        <f>"2170715328                    "</f>
        <v xml:space="preserve">2170715328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14.74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7</v>
      </c>
      <c r="BJ341">
        <v>6.6</v>
      </c>
      <c r="BK341">
        <v>7</v>
      </c>
      <c r="BL341" s="4">
        <v>86.65</v>
      </c>
      <c r="BM341" s="4">
        <v>13</v>
      </c>
      <c r="BN341" s="4">
        <v>99.65</v>
      </c>
      <c r="BO341" s="4">
        <v>99.65</v>
      </c>
      <c r="BQ341" t="s">
        <v>121</v>
      </c>
      <c r="BR341" t="s">
        <v>84</v>
      </c>
      <c r="BS341" s="3">
        <v>43777</v>
      </c>
      <c r="BT341" s="5">
        <v>0.30208333333333331</v>
      </c>
      <c r="BU341" t="s">
        <v>726</v>
      </c>
      <c r="BV341" t="s">
        <v>86</v>
      </c>
      <c r="BY341">
        <v>33176</v>
      </c>
      <c r="CA341" t="s">
        <v>368</v>
      </c>
      <c r="CC341" t="s">
        <v>76</v>
      </c>
      <c r="CD341">
        <v>1600</v>
      </c>
      <c r="CE341" t="s">
        <v>88</v>
      </c>
      <c r="CF341" s="3">
        <v>43780</v>
      </c>
      <c r="CI341">
        <v>1</v>
      </c>
      <c r="CJ341">
        <v>1</v>
      </c>
      <c r="CK341">
        <v>22</v>
      </c>
      <c r="CL341" t="s">
        <v>89</v>
      </c>
    </row>
    <row r="342" spans="1:90">
      <c r="A342" t="s">
        <v>72</v>
      </c>
      <c r="B342" t="s">
        <v>73</v>
      </c>
      <c r="C342" t="s">
        <v>74</v>
      </c>
      <c r="E342" t="str">
        <f>"FES1162721806"</f>
        <v>FES1162721806</v>
      </c>
      <c r="F342" s="3">
        <v>43776</v>
      </c>
      <c r="G342">
        <v>202005</v>
      </c>
      <c r="H342" t="s">
        <v>75</v>
      </c>
      <c r="I342" t="s">
        <v>76</v>
      </c>
      <c r="J342" t="s">
        <v>77</v>
      </c>
      <c r="K342" t="s">
        <v>78</v>
      </c>
      <c r="L342" t="s">
        <v>106</v>
      </c>
      <c r="M342" t="s">
        <v>107</v>
      </c>
      <c r="N342" t="s">
        <v>386</v>
      </c>
      <c r="O342" t="s">
        <v>82</v>
      </c>
      <c r="P342" t="str">
        <f>"2170716005                    "</f>
        <v xml:space="preserve">2170716005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36.46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4.2</v>
      </c>
      <c r="BJ342">
        <v>8.1999999999999993</v>
      </c>
      <c r="BK342">
        <v>8.5</v>
      </c>
      <c r="BL342" s="4">
        <v>214.31</v>
      </c>
      <c r="BM342" s="4">
        <v>32.15</v>
      </c>
      <c r="BN342" s="4">
        <v>246.46</v>
      </c>
      <c r="BO342" s="4">
        <v>246.46</v>
      </c>
      <c r="BQ342" t="s">
        <v>121</v>
      </c>
      <c r="BR342" t="s">
        <v>84</v>
      </c>
      <c r="BS342" s="3">
        <v>43777</v>
      </c>
      <c r="BT342" s="5">
        <v>0.38194444444444442</v>
      </c>
      <c r="BU342" t="s">
        <v>652</v>
      </c>
      <c r="BV342" t="s">
        <v>86</v>
      </c>
      <c r="BY342">
        <v>41036.86</v>
      </c>
      <c r="CA342" t="s">
        <v>111</v>
      </c>
      <c r="CC342" t="s">
        <v>107</v>
      </c>
      <c r="CD342">
        <v>6001</v>
      </c>
      <c r="CE342" t="s">
        <v>88</v>
      </c>
      <c r="CF342" s="3">
        <v>43780</v>
      </c>
      <c r="CI342">
        <v>1</v>
      </c>
      <c r="CJ342">
        <v>1</v>
      </c>
      <c r="CK342">
        <v>21</v>
      </c>
      <c r="CL342" t="s">
        <v>89</v>
      </c>
    </row>
    <row r="343" spans="1:90">
      <c r="A343" t="s">
        <v>72</v>
      </c>
      <c r="B343" t="s">
        <v>73</v>
      </c>
      <c r="C343" t="s">
        <v>74</v>
      </c>
      <c r="E343" t="str">
        <f>"FES1162712756"</f>
        <v>FES1162712756</v>
      </c>
      <c r="F343" s="3">
        <v>43776</v>
      </c>
      <c r="G343">
        <v>202005</v>
      </c>
      <c r="H343" t="s">
        <v>75</v>
      </c>
      <c r="I343" t="s">
        <v>76</v>
      </c>
      <c r="J343" t="s">
        <v>77</v>
      </c>
      <c r="K343" t="s">
        <v>78</v>
      </c>
      <c r="L343" t="s">
        <v>691</v>
      </c>
      <c r="M343" t="s">
        <v>692</v>
      </c>
      <c r="N343" t="s">
        <v>727</v>
      </c>
      <c r="O343" t="s">
        <v>82</v>
      </c>
      <c r="P343" t="str">
        <f>"2170708037                    "</f>
        <v xml:space="preserve">2170708037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9.92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1.7</v>
      </c>
      <c r="BJ343">
        <v>3.8</v>
      </c>
      <c r="BK343">
        <v>4</v>
      </c>
      <c r="BL343" s="4">
        <v>58.31</v>
      </c>
      <c r="BM343" s="4">
        <v>8.75</v>
      </c>
      <c r="BN343" s="4">
        <v>67.06</v>
      </c>
      <c r="BO343" s="4">
        <v>67.06</v>
      </c>
      <c r="BQ343" t="s">
        <v>121</v>
      </c>
      <c r="BR343" t="s">
        <v>84</v>
      </c>
      <c r="BS343" s="3">
        <v>43777</v>
      </c>
      <c r="BT343" s="5">
        <v>0.33333333333333331</v>
      </c>
      <c r="BU343" t="s">
        <v>728</v>
      </c>
      <c r="BV343" t="s">
        <v>86</v>
      </c>
      <c r="BY343">
        <v>18854.990000000002</v>
      </c>
      <c r="CA343" t="s">
        <v>123</v>
      </c>
      <c r="CC343" t="s">
        <v>692</v>
      </c>
      <c r="CD343">
        <v>1559</v>
      </c>
      <c r="CE343" t="s">
        <v>88</v>
      </c>
      <c r="CF343" s="3">
        <v>43780</v>
      </c>
      <c r="CI343">
        <v>1</v>
      </c>
      <c r="CJ343">
        <v>1</v>
      </c>
      <c r="CK343">
        <v>22</v>
      </c>
      <c r="CL343" t="s">
        <v>89</v>
      </c>
    </row>
    <row r="344" spans="1:90">
      <c r="A344" t="s">
        <v>72</v>
      </c>
      <c r="B344" t="s">
        <v>73</v>
      </c>
      <c r="C344" t="s">
        <v>74</v>
      </c>
      <c r="E344" t="str">
        <f>"FES1162721780"</f>
        <v>FES1162721780</v>
      </c>
      <c r="F344" s="3">
        <v>43776</v>
      </c>
      <c r="G344">
        <v>202005</v>
      </c>
      <c r="H344" t="s">
        <v>75</v>
      </c>
      <c r="I344" t="s">
        <v>76</v>
      </c>
      <c r="J344" t="s">
        <v>77</v>
      </c>
      <c r="K344" t="s">
        <v>78</v>
      </c>
      <c r="L344" t="s">
        <v>106</v>
      </c>
      <c r="M344" t="s">
        <v>107</v>
      </c>
      <c r="N344" t="s">
        <v>108</v>
      </c>
      <c r="O344" t="s">
        <v>82</v>
      </c>
      <c r="P344" t="str">
        <f>"2170715975                    "</f>
        <v xml:space="preserve">2170715975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8.58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2</v>
      </c>
      <c r="BJ344">
        <v>2</v>
      </c>
      <c r="BK344">
        <v>2</v>
      </c>
      <c r="BL344" s="4">
        <v>50.45</v>
      </c>
      <c r="BM344" s="4">
        <v>7.57</v>
      </c>
      <c r="BN344" s="4">
        <v>58.02</v>
      </c>
      <c r="BO344" s="4">
        <v>58.02</v>
      </c>
      <c r="BQ344" t="s">
        <v>109</v>
      </c>
      <c r="BR344" t="s">
        <v>84</v>
      </c>
      <c r="BS344" s="3">
        <v>43777</v>
      </c>
      <c r="BT344" s="5">
        <v>0.41666666666666669</v>
      </c>
      <c r="BU344" t="s">
        <v>110</v>
      </c>
      <c r="BV344" t="s">
        <v>86</v>
      </c>
      <c r="BY344">
        <v>9918</v>
      </c>
      <c r="CA344" t="s">
        <v>111</v>
      </c>
      <c r="CC344" t="s">
        <v>107</v>
      </c>
      <c r="CD344">
        <v>6001</v>
      </c>
      <c r="CE344" t="s">
        <v>88</v>
      </c>
      <c r="CF344" s="3">
        <v>43780</v>
      </c>
      <c r="CI344">
        <v>1</v>
      </c>
      <c r="CJ344">
        <v>1</v>
      </c>
      <c r="CK344">
        <v>21</v>
      </c>
      <c r="CL344" t="s">
        <v>89</v>
      </c>
    </row>
    <row r="345" spans="1:90">
      <c r="A345" t="s">
        <v>72</v>
      </c>
      <c r="B345" t="s">
        <v>73</v>
      </c>
      <c r="C345" t="s">
        <v>74</v>
      </c>
      <c r="E345" t="str">
        <f>"FES1162721792"</f>
        <v>FES1162721792</v>
      </c>
      <c r="F345" s="3">
        <v>43776</v>
      </c>
      <c r="G345">
        <v>202005</v>
      </c>
      <c r="H345" t="s">
        <v>75</v>
      </c>
      <c r="I345" t="s">
        <v>76</v>
      </c>
      <c r="J345" t="s">
        <v>77</v>
      </c>
      <c r="K345" t="s">
        <v>78</v>
      </c>
      <c r="L345" t="s">
        <v>133</v>
      </c>
      <c r="M345" t="s">
        <v>134</v>
      </c>
      <c r="N345" t="s">
        <v>310</v>
      </c>
      <c r="O345" t="s">
        <v>82</v>
      </c>
      <c r="P345" t="str">
        <f>"2170715991                    "</f>
        <v xml:space="preserve">2170715991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8.58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 s="4">
        <v>50.45</v>
      </c>
      <c r="BM345" s="4">
        <v>7.57</v>
      </c>
      <c r="BN345" s="4">
        <v>58.02</v>
      </c>
      <c r="BO345" s="4">
        <v>58.02</v>
      </c>
      <c r="BQ345" t="s">
        <v>121</v>
      </c>
      <c r="BR345" t="s">
        <v>84</v>
      </c>
      <c r="BS345" s="3">
        <v>43777</v>
      </c>
      <c r="BT345" s="5">
        <v>0.43402777777777773</v>
      </c>
      <c r="BU345" t="s">
        <v>729</v>
      </c>
      <c r="BV345" t="s">
        <v>86</v>
      </c>
      <c r="BY345">
        <v>1200</v>
      </c>
      <c r="CA345" t="s">
        <v>730</v>
      </c>
      <c r="CC345" t="s">
        <v>134</v>
      </c>
      <c r="CD345">
        <v>5201</v>
      </c>
      <c r="CE345" t="s">
        <v>147</v>
      </c>
      <c r="CF345" s="3">
        <v>43781</v>
      </c>
      <c r="CI345">
        <v>1</v>
      </c>
      <c r="CJ345">
        <v>1</v>
      </c>
      <c r="CK345">
        <v>21</v>
      </c>
      <c r="CL345" t="s">
        <v>89</v>
      </c>
    </row>
    <row r="346" spans="1:90">
      <c r="A346" t="s">
        <v>72</v>
      </c>
      <c r="B346" t="s">
        <v>73</v>
      </c>
      <c r="C346" t="s">
        <v>74</v>
      </c>
      <c r="E346" t="str">
        <f>"FES1162721786"</f>
        <v>FES1162721786</v>
      </c>
      <c r="F346" s="3">
        <v>43776</v>
      </c>
      <c r="G346">
        <v>202005</v>
      </c>
      <c r="H346" t="s">
        <v>75</v>
      </c>
      <c r="I346" t="s">
        <v>76</v>
      </c>
      <c r="J346" t="s">
        <v>77</v>
      </c>
      <c r="K346" t="s">
        <v>78</v>
      </c>
      <c r="L346" t="s">
        <v>133</v>
      </c>
      <c r="M346" t="s">
        <v>134</v>
      </c>
      <c r="N346" t="s">
        <v>421</v>
      </c>
      <c r="O346" t="s">
        <v>82</v>
      </c>
      <c r="P346" t="str">
        <f>"2170715986                    "</f>
        <v xml:space="preserve">2170715986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10.73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2.1</v>
      </c>
      <c r="BJ346">
        <v>1.4</v>
      </c>
      <c r="BK346">
        <v>2.5</v>
      </c>
      <c r="BL346" s="4">
        <v>63.06</v>
      </c>
      <c r="BM346" s="4">
        <v>9.4600000000000009</v>
      </c>
      <c r="BN346" s="4">
        <v>72.52</v>
      </c>
      <c r="BO346" s="4">
        <v>72.52</v>
      </c>
      <c r="BQ346" t="s">
        <v>121</v>
      </c>
      <c r="BR346" t="s">
        <v>84</v>
      </c>
      <c r="BS346" s="3">
        <v>43777</v>
      </c>
      <c r="BT346" s="5">
        <v>0.43402777777777773</v>
      </c>
      <c r="BU346" t="s">
        <v>731</v>
      </c>
      <c r="BV346" t="s">
        <v>86</v>
      </c>
      <c r="BY346">
        <v>7035.17</v>
      </c>
      <c r="CA346" t="s">
        <v>732</v>
      </c>
      <c r="CC346" t="s">
        <v>134</v>
      </c>
      <c r="CD346">
        <v>5201</v>
      </c>
      <c r="CE346" t="s">
        <v>88</v>
      </c>
      <c r="CF346" s="3">
        <v>43781</v>
      </c>
      <c r="CI346">
        <v>1</v>
      </c>
      <c r="CJ346">
        <v>1</v>
      </c>
      <c r="CK346">
        <v>21</v>
      </c>
      <c r="CL346" t="s">
        <v>89</v>
      </c>
    </row>
    <row r="347" spans="1:90">
      <c r="A347" t="s">
        <v>72</v>
      </c>
      <c r="B347" t="s">
        <v>73</v>
      </c>
      <c r="C347" t="s">
        <v>74</v>
      </c>
      <c r="E347" t="str">
        <f>"FES1162721890"</f>
        <v>FES1162721890</v>
      </c>
      <c r="F347" s="3">
        <v>43776</v>
      </c>
      <c r="G347">
        <v>202005</v>
      </c>
      <c r="H347" t="s">
        <v>75</v>
      </c>
      <c r="I347" t="s">
        <v>76</v>
      </c>
      <c r="J347" t="s">
        <v>77</v>
      </c>
      <c r="K347" t="s">
        <v>78</v>
      </c>
      <c r="L347" t="s">
        <v>106</v>
      </c>
      <c r="M347" t="s">
        <v>107</v>
      </c>
      <c r="N347" t="s">
        <v>128</v>
      </c>
      <c r="O347" t="s">
        <v>82</v>
      </c>
      <c r="P347" t="str">
        <f>"2170713223                    "</f>
        <v xml:space="preserve">2170713223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8.58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 s="4">
        <v>50.45</v>
      </c>
      <c r="BM347" s="4">
        <v>7.57</v>
      </c>
      <c r="BN347" s="4">
        <v>58.02</v>
      </c>
      <c r="BO347" s="4">
        <v>58.02</v>
      </c>
      <c r="BQ347" t="s">
        <v>121</v>
      </c>
      <c r="BR347" t="s">
        <v>84</v>
      </c>
      <c r="BS347" s="3">
        <v>43777</v>
      </c>
      <c r="BT347" s="5">
        <v>0.33333333333333331</v>
      </c>
      <c r="BU347" t="s">
        <v>714</v>
      </c>
      <c r="BV347" t="s">
        <v>86</v>
      </c>
      <c r="BY347">
        <v>1200</v>
      </c>
      <c r="CA347" t="s">
        <v>87</v>
      </c>
      <c r="CC347" t="s">
        <v>107</v>
      </c>
      <c r="CD347">
        <v>6001</v>
      </c>
      <c r="CE347" t="s">
        <v>147</v>
      </c>
      <c r="CF347" s="3">
        <v>43780</v>
      </c>
      <c r="CI347">
        <v>1</v>
      </c>
      <c r="CJ347">
        <v>1</v>
      </c>
      <c r="CK347">
        <v>21</v>
      </c>
      <c r="CL347" t="s">
        <v>89</v>
      </c>
    </row>
    <row r="348" spans="1:90">
      <c r="A348" t="s">
        <v>72</v>
      </c>
      <c r="B348" t="s">
        <v>73</v>
      </c>
      <c r="C348" t="s">
        <v>74</v>
      </c>
      <c r="E348" t="str">
        <f>"FES1162714612"</f>
        <v>FES1162714612</v>
      </c>
      <c r="F348" s="3">
        <v>43776</v>
      </c>
      <c r="G348">
        <v>202005</v>
      </c>
      <c r="H348" t="s">
        <v>75</v>
      </c>
      <c r="I348" t="s">
        <v>76</v>
      </c>
      <c r="J348" t="s">
        <v>77</v>
      </c>
      <c r="K348" t="s">
        <v>78</v>
      </c>
      <c r="L348" t="s">
        <v>552</v>
      </c>
      <c r="M348" t="s">
        <v>553</v>
      </c>
      <c r="N348" t="s">
        <v>712</v>
      </c>
      <c r="O348" t="s">
        <v>82</v>
      </c>
      <c r="P348" t="str">
        <f>"217071809                     "</f>
        <v xml:space="preserve">217071809 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6.71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 s="4">
        <v>39.42</v>
      </c>
      <c r="BM348" s="4">
        <v>5.91</v>
      </c>
      <c r="BN348" s="4">
        <v>45.33</v>
      </c>
      <c r="BO348" s="4">
        <v>45.33</v>
      </c>
      <c r="BQ348" t="s">
        <v>121</v>
      </c>
      <c r="BR348" t="s">
        <v>84</v>
      </c>
      <c r="BS348" s="3">
        <v>43777</v>
      </c>
      <c r="BT348" s="5">
        <v>0.39583333333333331</v>
      </c>
      <c r="BU348" t="s">
        <v>733</v>
      </c>
      <c r="BV348" t="s">
        <v>86</v>
      </c>
      <c r="BY348">
        <v>1200</v>
      </c>
      <c r="CA348" t="s">
        <v>734</v>
      </c>
      <c r="CC348" t="s">
        <v>553</v>
      </c>
      <c r="CD348">
        <v>1541</v>
      </c>
      <c r="CE348" t="s">
        <v>147</v>
      </c>
      <c r="CF348" s="3">
        <v>43780</v>
      </c>
      <c r="CI348">
        <v>1</v>
      </c>
      <c r="CJ348">
        <v>1</v>
      </c>
      <c r="CK348">
        <v>22</v>
      </c>
      <c r="CL348" t="s">
        <v>89</v>
      </c>
    </row>
    <row r="349" spans="1:90">
      <c r="A349" t="s">
        <v>72</v>
      </c>
      <c r="B349" t="s">
        <v>73</v>
      </c>
      <c r="C349" t="s">
        <v>74</v>
      </c>
      <c r="E349" t="str">
        <f>"FES1162721774"</f>
        <v>FES1162721774</v>
      </c>
      <c r="F349" s="3">
        <v>43776</v>
      </c>
      <c r="G349">
        <v>202005</v>
      </c>
      <c r="H349" t="s">
        <v>75</v>
      </c>
      <c r="I349" t="s">
        <v>76</v>
      </c>
      <c r="J349" t="s">
        <v>77</v>
      </c>
      <c r="K349" t="s">
        <v>78</v>
      </c>
      <c r="L349" t="s">
        <v>133</v>
      </c>
      <c r="M349" t="s">
        <v>134</v>
      </c>
      <c r="N349" t="s">
        <v>735</v>
      </c>
      <c r="O349" t="s">
        <v>82</v>
      </c>
      <c r="P349" t="str">
        <f>"2170715923                    "</f>
        <v xml:space="preserve">2170715923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8.58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 s="4">
        <v>50.45</v>
      </c>
      <c r="BM349" s="4">
        <v>7.57</v>
      </c>
      <c r="BN349" s="4">
        <v>58.02</v>
      </c>
      <c r="BO349" s="4">
        <v>58.02</v>
      </c>
      <c r="BR349" t="s">
        <v>84</v>
      </c>
      <c r="BS349" s="3">
        <v>43777</v>
      </c>
      <c r="BT349" s="5">
        <v>0.39930555555555558</v>
      </c>
      <c r="BU349" t="s">
        <v>736</v>
      </c>
      <c r="BV349" t="s">
        <v>86</v>
      </c>
      <c r="BY349">
        <v>1200</v>
      </c>
      <c r="CA349" t="s">
        <v>698</v>
      </c>
      <c r="CC349" t="s">
        <v>134</v>
      </c>
      <c r="CD349">
        <v>5200</v>
      </c>
      <c r="CE349" t="s">
        <v>147</v>
      </c>
      <c r="CF349" s="3">
        <v>43780</v>
      </c>
      <c r="CI349">
        <v>1</v>
      </c>
      <c r="CJ349">
        <v>1</v>
      </c>
      <c r="CK349">
        <v>21</v>
      </c>
      <c r="CL349" t="s">
        <v>89</v>
      </c>
    </row>
    <row r="350" spans="1:90">
      <c r="A350" t="s">
        <v>72</v>
      </c>
      <c r="B350" t="s">
        <v>73</v>
      </c>
      <c r="C350" t="s">
        <v>74</v>
      </c>
      <c r="E350" t="str">
        <f>"FES1162721777"</f>
        <v>FES1162721777</v>
      </c>
      <c r="F350" s="3">
        <v>43776</v>
      </c>
      <c r="G350">
        <v>202005</v>
      </c>
      <c r="H350" t="s">
        <v>75</v>
      </c>
      <c r="I350" t="s">
        <v>76</v>
      </c>
      <c r="J350" t="s">
        <v>77</v>
      </c>
      <c r="K350" t="s">
        <v>78</v>
      </c>
      <c r="L350" t="s">
        <v>737</v>
      </c>
      <c r="M350" t="s">
        <v>738</v>
      </c>
      <c r="N350" t="s">
        <v>739</v>
      </c>
      <c r="O350" t="s">
        <v>82</v>
      </c>
      <c r="P350" t="str">
        <f>"2170715971                    "</f>
        <v xml:space="preserve">2170715971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16.63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1.7</v>
      </c>
      <c r="BJ350">
        <v>1.4</v>
      </c>
      <c r="BK350">
        <v>2</v>
      </c>
      <c r="BL350" s="4">
        <v>97.75</v>
      </c>
      <c r="BM350" s="4">
        <v>14.66</v>
      </c>
      <c r="BN350" s="4">
        <v>112.41</v>
      </c>
      <c r="BO350" s="4">
        <v>112.41</v>
      </c>
      <c r="BQ350" t="s">
        <v>109</v>
      </c>
      <c r="BR350" t="s">
        <v>84</v>
      </c>
      <c r="BS350" s="3">
        <v>43778</v>
      </c>
      <c r="BT350" s="5">
        <v>0.41666666666666669</v>
      </c>
      <c r="BU350" t="s">
        <v>740</v>
      </c>
      <c r="BV350" t="s">
        <v>86</v>
      </c>
      <c r="BY350">
        <v>7073.47</v>
      </c>
      <c r="CC350" t="s">
        <v>738</v>
      </c>
      <c r="CD350">
        <v>5099</v>
      </c>
      <c r="CE350" t="s">
        <v>88</v>
      </c>
      <c r="CF350" s="3">
        <v>43782</v>
      </c>
      <c r="CI350">
        <v>3</v>
      </c>
      <c r="CJ350">
        <v>1</v>
      </c>
      <c r="CK350">
        <v>23</v>
      </c>
      <c r="CL350" t="s">
        <v>89</v>
      </c>
    </row>
    <row r="351" spans="1:90">
      <c r="A351" t="s">
        <v>72</v>
      </c>
      <c r="B351" t="s">
        <v>73</v>
      </c>
      <c r="C351" t="s">
        <v>74</v>
      </c>
      <c r="E351" t="str">
        <f>"FES1162711876"</f>
        <v>FES1162711876</v>
      </c>
      <c r="F351" s="3">
        <v>43776</v>
      </c>
      <c r="G351">
        <v>202005</v>
      </c>
      <c r="H351" t="s">
        <v>75</v>
      </c>
      <c r="I351" t="s">
        <v>76</v>
      </c>
      <c r="J351" t="s">
        <v>77</v>
      </c>
      <c r="K351" t="s">
        <v>78</v>
      </c>
      <c r="L351" t="s">
        <v>344</v>
      </c>
      <c r="M351" t="s">
        <v>345</v>
      </c>
      <c r="N351" t="s">
        <v>741</v>
      </c>
      <c r="O351" t="s">
        <v>82</v>
      </c>
      <c r="P351" t="str">
        <f>"21707105717                   "</f>
        <v xml:space="preserve">21707105717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6.71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 s="4">
        <v>39.42</v>
      </c>
      <c r="BM351" s="4">
        <v>5.91</v>
      </c>
      <c r="BN351" s="4">
        <v>45.33</v>
      </c>
      <c r="BO351" s="4">
        <v>45.33</v>
      </c>
      <c r="BQ351" t="s">
        <v>109</v>
      </c>
      <c r="BR351" t="s">
        <v>84</v>
      </c>
      <c r="BS351" s="3">
        <v>43780</v>
      </c>
      <c r="BT351" s="5">
        <v>0.4236111111111111</v>
      </c>
      <c r="BU351" t="s">
        <v>742</v>
      </c>
      <c r="BV351" t="s">
        <v>89</v>
      </c>
      <c r="BW351" t="s">
        <v>319</v>
      </c>
      <c r="BX351" t="s">
        <v>743</v>
      </c>
      <c r="BY351">
        <v>1200</v>
      </c>
      <c r="CA351" t="s">
        <v>348</v>
      </c>
      <c r="CC351" t="s">
        <v>345</v>
      </c>
      <c r="CD351">
        <v>2163</v>
      </c>
      <c r="CE351" t="s">
        <v>147</v>
      </c>
      <c r="CF351" s="3">
        <v>43781</v>
      </c>
      <c r="CI351">
        <v>1</v>
      </c>
      <c r="CJ351">
        <v>2</v>
      </c>
      <c r="CK351">
        <v>22</v>
      </c>
      <c r="CL351" t="s">
        <v>89</v>
      </c>
    </row>
    <row r="352" spans="1:90">
      <c r="A352" t="s">
        <v>72</v>
      </c>
      <c r="B352" t="s">
        <v>73</v>
      </c>
      <c r="C352" t="s">
        <v>74</v>
      </c>
      <c r="E352" t="str">
        <f>"FES1162713472"</f>
        <v>FES1162713472</v>
      </c>
      <c r="F352" s="3">
        <v>43776</v>
      </c>
      <c r="G352">
        <v>202005</v>
      </c>
      <c r="H352" t="s">
        <v>75</v>
      </c>
      <c r="I352" t="s">
        <v>76</v>
      </c>
      <c r="J352" t="s">
        <v>77</v>
      </c>
      <c r="K352" t="s">
        <v>78</v>
      </c>
      <c r="L352" t="s">
        <v>744</v>
      </c>
      <c r="M352" t="s">
        <v>745</v>
      </c>
      <c r="N352" t="s">
        <v>746</v>
      </c>
      <c r="O352" t="s">
        <v>82</v>
      </c>
      <c r="P352" t="str">
        <f>"2170708767                    "</f>
        <v xml:space="preserve">2170708767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12.07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 s="4">
        <v>70.95</v>
      </c>
      <c r="BM352" s="4">
        <v>10.64</v>
      </c>
      <c r="BN352" s="4">
        <v>81.59</v>
      </c>
      <c r="BO352" s="4">
        <v>81.59</v>
      </c>
      <c r="BR352" t="s">
        <v>84</v>
      </c>
      <c r="BS352" s="3">
        <v>43781</v>
      </c>
      <c r="BT352" s="5">
        <v>0.42499999999999999</v>
      </c>
      <c r="BU352" t="s">
        <v>747</v>
      </c>
      <c r="BV352" t="s">
        <v>86</v>
      </c>
      <c r="BY352">
        <v>1200</v>
      </c>
      <c r="CA352" t="s">
        <v>123</v>
      </c>
      <c r="CC352" t="s">
        <v>745</v>
      </c>
      <c r="CD352">
        <v>319</v>
      </c>
      <c r="CE352" t="s">
        <v>147</v>
      </c>
      <c r="CF352" s="3">
        <v>43783</v>
      </c>
      <c r="CI352">
        <v>4</v>
      </c>
      <c r="CJ352">
        <v>3</v>
      </c>
      <c r="CK352">
        <v>24</v>
      </c>
      <c r="CL352" t="s">
        <v>89</v>
      </c>
    </row>
    <row r="353" spans="1:90">
      <c r="A353" t="s">
        <v>72</v>
      </c>
      <c r="B353" t="s">
        <v>73</v>
      </c>
      <c r="C353" t="s">
        <v>74</v>
      </c>
      <c r="E353" t="str">
        <f>"FES1162712465"</f>
        <v>FES1162712465</v>
      </c>
      <c r="F353" s="3">
        <v>43776</v>
      </c>
      <c r="G353">
        <v>202005</v>
      </c>
      <c r="H353" t="s">
        <v>75</v>
      </c>
      <c r="I353" t="s">
        <v>76</v>
      </c>
      <c r="J353" t="s">
        <v>77</v>
      </c>
      <c r="K353" t="s">
        <v>78</v>
      </c>
      <c r="L353" t="s">
        <v>124</v>
      </c>
      <c r="M353" t="s">
        <v>125</v>
      </c>
      <c r="N353" t="s">
        <v>748</v>
      </c>
      <c r="O353" t="s">
        <v>82</v>
      </c>
      <c r="P353" t="str">
        <f>"217070765                     "</f>
        <v xml:space="preserve">217070765 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6.71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 s="4">
        <v>39.42</v>
      </c>
      <c r="BM353" s="4">
        <v>5.91</v>
      </c>
      <c r="BN353" s="4">
        <v>45.33</v>
      </c>
      <c r="BO353" s="4">
        <v>45.33</v>
      </c>
      <c r="BQ353" t="s">
        <v>121</v>
      </c>
      <c r="BR353" t="s">
        <v>84</v>
      </c>
      <c r="BS353" s="3">
        <v>43777</v>
      </c>
      <c r="BT353" s="5">
        <v>0.3125</v>
      </c>
      <c r="BU353" t="s">
        <v>694</v>
      </c>
      <c r="BV353" t="s">
        <v>86</v>
      </c>
      <c r="BY353">
        <v>1200</v>
      </c>
      <c r="CC353" t="s">
        <v>125</v>
      </c>
      <c r="CD353">
        <v>2094</v>
      </c>
      <c r="CE353" t="s">
        <v>147</v>
      </c>
      <c r="CF353" s="3">
        <v>43780</v>
      </c>
      <c r="CI353">
        <v>1</v>
      </c>
      <c r="CJ353">
        <v>1</v>
      </c>
      <c r="CK353">
        <v>22</v>
      </c>
      <c r="CL353" t="s">
        <v>89</v>
      </c>
    </row>
    <row r="354" spans="1:90">
      <c r="A354" t="s">
        <v>72</v>
      </c>
      <c r="B354" t="s">
        <v>73</v>
      </c>
      <c r="C354" t="s">
        <v>74</v>
      </c>
      <c r="E354" t="str">
        <f>"FES1162710017"</f>
        <v>FES1162710017</v>
      </c>
      <c r="F354" s="3">
        <v>43776</v>
      </c>
      <c r="G354">
        <v>202005</v>
      </c>
      <c r="H354" t="s">
        <v>75</v>
      </c>
      <c r="I354" t="s">
        <v>76</v>
      </c>
      <c r="J354" t="s">
        <v>77</v>
      </c>
      <c r="K354" t="s">
        <v>78</v>
      </c>
      <c r="L354" t="s">
        <v>681</v>
      </c>
      <c r="M354" t="s">
        <v>682</v>
      </c>
      <c r="N354" t="s">
        <v>749</v>
      </c>
      <c r="O354" t="s">
        <v>82</v>
      </c>
      <c r="P354" t="str">
        <f>"2170710577                    "</f>
        <v xml:space="preserve">2170710577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12.07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 s="4">
        <v>70.95</v>
      </c>
      <c r="BM354" s="4">
        <v>10.64</v>
      </c>
      <c r="BN354" s="4">
        <v>81.59</v>
      </c>
      <c r="BO354" s="4">
        <v>81.59</v>
      </c>
      <c r="BQ354" t="s">
        <v>109</v>
      </c>
      <c r="BR354" t="s">
        <v>84</v>
      </c>
      <c r="BS354" s="3">
        <v>43777</v>
      </c>
      <c r="BT354" s="5">
        <v>0.33333333333333331</v>
      </c>
      <c r="BU354" t="s">
        <v>750</v>
      </c>
      <c r="BV354" t="s">
        <v>86</v>
      </c>
      <c r="BY354">
        <v>1200</v>
      </c>
      <c r="CA354" t="s">
        <v>751</v>
      </c>
      <c r="CC354" t="s">
        <v>682</v>
      </c>
      <c r="CD354">
        <v>1939</v>
      </c>
      <c r="CE354" t="s">
        <v>147</v>
      </c>
      <c r="CF354" s="3">
        <v>43780</v>
      </c>
      <c r="CI354">
        <v>1</v>
      </c>
      <c r="CJ354">
        <v>1</v>
      </c>
      <c r="CK354">
        <v>24</v>
      </c>
      <c r="CL354" t="s">
        <v>89</v>
      </c>
    </row>
    <row r="355" spans="1:90">
      <c r="A355" t="s">
        <v>72</v>
      </c>
      <c r="B355" t="s">
        <v>73</v>
      </c>
      <c r="C355" t="s">
        <v>74</v>
      </c>
      <c r="E355" t="str">
        <f>"FES1162721803"</f>
        <v>FES1162721803</v>
      </c>
      <c r="F355" s="3">
        <v>43776</v>
      </c>
      <c r="G355">
        <v>202005</v>
      </c>
      <c r="H355" t="s">
        <v>75</v>
      </c>
      <c r="I355" t="s">
        <v>76</v>
      </c>
      <c r="J355" t="s">
        <v>77</v>
      </c>
      <c r="K355" t="s">
        <v>78</v>
      </c>
      <c r="L355" t="s">
        <v>75</v>
      </c>
      <c r="M355" t="s">
        <v>76</v>
      </c>
      <c r="N355" t="s">
        <v>236</v>
      </c>
      <c r="O355" t="s">
        <v>82</v>
      </c>
      <c r="P355" t="str">
        <f>"2170716002                    "</f>
        <v xml:space="preserve">2170716002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6.71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 s="4">
        <v>39.42</v>
      </c>
      <c r="BM355" s="4">
        <v>5.91</v>
      </c>
      <c r="BN355" s="4">
        <v>45.33</v>
      </c>
      <c r="BO355" s="4">
        <v>45.33</v>
      </c>
      <c r="BQ355" t="s">
        <v>109</v>
      </c>
      <c r="BR355" t="s">
        <v>84</v>
      </c>
      <c r="BS355" s="3">
        <v>43777</v>
      </c>
      <c r="BT355" s="5">
        <v>0.3263888888888889</v>
      </c>
      <c r="BU355" t="s">
        <v>237</v>
      </c>
      <c r="BV355" t="s">
        <v>86</v>
      </c>
      <c r="BY355">
        <v>1200</v>
      </c>
      <c r="CA355" t="s">
        <v>238</v>
      </c>
      <c r="CC355" t="s">
        <v>76</v>
      </c>
      <c r="CD355">
        <v>1665</v>
      </c>
      <c r="CE355" t="s">
        <v>147</v>
      </c>
      <c r="CF355" s="3">
        <v>43780</v>
      </c>
      <c r="CI355">
        <v>1</v>
      </c>
      <c r="CJ355">
        <v>1</v>
      </c>
      <c r="CK355">
        <v>22</v>
      </c>
      <c r="CL355" t="s">
        <v>89</v>
      </c>
    </row>
    <row r="356" spans="1:90">
      <c r="A356" t="s">
        <v>72</v>
      </c>
      <c r="B356" t="s">
        <v>73</v>
      </c>
      <c r="C356" t="s">
        <v>74</v>
      </c>
      <c r="E356" t="str">
        <f>"FES1162721861"</f>
        <v>FES1162721861</v>
      </c>
      <c r="F356" s="3">
        <v>43776</v>
      </c>
      <c r="G356">
        <v>202005</v>
      </c>
      <c r="H356" t="s">
        <v>75</v>
      </c>
      <c r="I356" t="s">
        <v>76</v>
      </c>
      <c r="J356" t="s">
        <v>77</v>
      </c>
      <c r="K356" t="s">
        <v>78</v>
      </c>
      <c r="L356" t="s">
        <v>79</v>
      </c>
      <c r="M356" t="s">
        <v>80</v>
      </c>
      <c r="N356" t="s">
        <v>511</v>
      </c>
      <c r="O356" t="s">
        <v>82</v>
      </c>
      <c r="P356" t="str">
        <f>"2170713171                    "</f>
        <v xml:space="preserve">2170713171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8.58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 s="4">
        <v>50.45</v>
      </c>
      <c r="BM356" s="4">
        <v>7.57</v>
      </c>
      <c r="BN356" s="4">
        <v>58.02</v>
      </c>
      <c r="BO356" s="4">
        <v>58.02</v>
      </c>
      <c r="BQ356" t="s">
        <v>109</v>
      </c>
      <c r="BR356" t="s">
        <v>84</v>
      </c>
      <c r="BS356" s="3">
        <v>43777</v>
      </c>
      <c r="BT356" s="5">
        <v>0.31944444444444448</v>
      </c>
      <c r="BU356" t="s">
        <v>752</v>
      </c>
      <c r="BV356" t="s">
        <v>86</v>
      </c>
      <c r="BY356">
        <v>1200</v>
      </c>
      <c r="CA356" t="s">
        <v>87</v>
      </c>
      <c r="CC356" t="s">
        <v>80</v>
      </c>
      <c r="CD356">
        <v>6229</v>
      </c>
      <c r="CE356" t="s">
        <v>147</v>
      </c>
      <c r="CF356" s="3">
        <v>43780</v>
      </c>
      <c r="CI356">
        <v>1</v>
      </c>
      <c r="CJ356">
        <v>1</v>
      </c>
      <c r="CK356">
        <v>21</v>
      </c>
      <c r="CL356" t="s">
        <v>89</v>
      </c>
    </row>
    <row r="357" spans="1:90">
      <c r="A357" t="s">
        <v>72</v>
      </c>
      <c r="B357" t="s">
        <v>73</v>
      </c>
      <c r="C357" t="s">
        <v>74</v>
      </c>
      <c r="E357" t="str">
        <f>"FES1162721738"</f>
        <v>FES1162721738</v>
      </c>
      <c r="F357" s="3">
        <v>43776</v>
      </c>
      <c r="G357">
        <v>202005</v>
      </c>
      <c r="H357" t="s">
        <v>75</v>
      </c>
      <c r="I357" t="s">
        <v>76</v>
      </c>
      <c r="J357" t="s">
        <v>77</v>
      </c>
      <c r="K357" t="s">
        <v>78</v>
      </c>
      <c r="L357" t="s">
        <v>124</v>
      </c>
      <c r="M357" t="s">
        <v>125</v>
      </c>
      <c r="N357" t="s">
        <v>218</v>
      </c>
      <c r="O357" t="s">
        <v>82</v>
      </c>
      <c r="P357" t="str">
        <f>"2170713183                    "</f>
        <v xml:space="preserve">2170713183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6.71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0.9</v>
      </c>
      <c r="BK357">
        <v>1</v>
      </c>
      <c r="BL357" s="4">
        <v>39.42</v>
      </c>
      <c r="BM357" s="4">
        <v>5.91</v>
      </c>
      <c r="BN357" s="4">
        <v>45.33</v>
      </c>
      <c r="BO357" s="4">
        <v>45.33</v>
      </c>
      <c r="BQ357" t="s">
        <v>121</v>
      </c>
      <c r="BR357" t="s">
        <v>84</v>
      </c>
      <c r="BS357" s="3">
        <v>43777</v>
      </c>
      <c r="BT357" s="5">
        <v>0.43194444444444446</v>
      </c>
      <c r="BU357" t="s">
        <v>753</v>
      </c>
      <c r="BV357" t="s">
        <v>86</v>
      </c>
      <c r="BY357">
        <v>4500</v>
      </c>
      <c r="CA357" t="s">
        <v>123</v>
      </c>
      <c r="CC357" t="s">
        <v>125</v>
      </c>
      <c r="CD357">
        <v>2094</v>
      </c>
      <c r="CE357" t="s">
        <v>88</v>
      </c>
      <c r="CF357" s="3">
        <v>43780</v>
      </c>
      <c r="CI357">
        <v>1</v>
      </c>
      <c r="CJ357">
        <v>1</v>
      </c>
      <c r="CK357">
        <v>22</v>
      </c>
      <c r="CL357" t="s">
        <v>89</v>
      </c>
    </row>
    <row r="358" spans="1:90">
      <c r="A358" t="s">
        <v>72</v>
      </c>
      <c r="B358" t="s">
        <v>73</v>
      </c>
      <c r="C358" t="s">
        <v>74</v>
      </c>
      <c r="E358" t="str">
        <f>"FES1162721721"</f>
        <v>FES1162721721</v>
      </c>
      <c r="F358" s="3">
        <v>43776</v>
      </c>
      <c r="G358">
        <v>202005</v>
      </c>
      <c r="H358" t="s">
        <v>75</v>
      </c>
      <c r="I358" t="s">
        <v>76</v>
      </c>
      <c r="J358" t="s">
        <v>77</v>
      </c>
      <c r="K358" t="s">
        <v>78</v>
      </c>
      <c r="L358" t="s">
        <v>292</v>
      </c>
      <c r="M358" t="s">
        <v>293</v>
      </c>
      <c r="N358" t="s">
        <v>294</v>
      </c>
      <c r="O358" t="s">
        <v>82</v>
      </c>
      <c r="P358" t="str">
        <f>"2170715957                    "</f>
        <v xml:space="preserve">2170715957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16.63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1.4</v>
      </c>
      <c r="BJ358">
        <v>0.8</v>
      </c>
      <c r="BK358">
        <v>1.5</v>
      </c>
      <c r="BL358" s="4">
        <v>97.75</v>
      </c>
      <c r="BM358" s="4">
        <v>14.66</v>
      </c>
      <c r="BN358" s="4">
        <v>112.41</v>
      </c>
      <c r="BO358" s="4">
        <v>112.41</v>
      </c>
      <c r="BQ358" t="s">
        <v>121</v>
      </c>
      <c r="BR358" t="s">
        <v>84</v>
      </c>
      <c r="BS358" s="3">
        <v>43777</v>
      </c>
      <c r="BT358" s="5">
        <v>0.34513888888888888</v>
      </c>
      <c r="BU358" t="s">
        <v>754</v>
      </c>
      <c r="BV358" t="s">
        <v>86</v>
      </c>
      <c r="BY358">
        <v>4024.22</v>
      </c>
      <c r="CA358" t="s">
        <v>123</v>
      </c>
      <c r="CC358" t="s">
        <v>293</v>
      </c>
      <c r="CD358">
        <v>1947</v>
      </c>
      <c r="CE358" t="s">
        <v>88</v>
      </c>
      <c r="CF358" s="3">
        <v>43780</v>
      </c>
      <c r="CI358">
        <v>1</v>
      </c>
      <c r="CJ358">
        <v>1</v>
      </c>
      <c r="CK358">
        <v>23</v>
      </c>
      <c r="CL358" t="s">
        <v>89</v>
      </c>
    </row>
    <row r="359" spans="1:90">
      <c r="A359" t="s">
        <v>72</v>
      </c>
      <c r="B359" t="s">
        <v>73</v>
      </c>
      <c r="C359" t="s">
        <v>74</v>
      </c>
      <c r="E359" t="str">
        <f>"FES1162721728"</f>
        <v>FES1162721728</v>
      </c>
      <c r="F359" s="3">
        <v>43776</v>
      </c>
      <c r="G359">
        <v>202005</v>
      </c>
      <c r="H359" t="s">
        <v>75</v>
      </c>
      <c r="I359" t="s">
        <v>76</v>
      </c>
      <c r="J359" t="s">
        <v>77</v>
      </c>
      <c r="K359" t="s">
        <v>78</v>
      </c>
      <c r="L359" t="s">
        <v>202</v>
      </c>
      <c r="M359" t="s">
        <v>203</v>
      </c>
      <c r="N359" t="s">
        <v>755</v>
      </c>
      <c r="O359" t="s">
        <v>756</v>
      </c>
      <c r="P359" t="str">
        <f>"2170715958                    "</f>
        <v xml:space="preserve">2170715958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8.9600000000000009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2</v>
      </c>
      <c r="BI359">
        <v>6.7</v>
      </c>
      <c r="BJ359">
        <v>2.5</v>
      </c>
      <c r="BK359">
        <v>7</v>
      </c>
      <c r="BL359" s="4">
        <v>52.68</v>
      </c>
      <c r="BM359" s="4">
        <v>7.9</v>
      </c>
      <c r="BN359" s="4">
        <v>60.58</v>
      </c>
      <c r="BO359" s="4">
        <v>60.58</v>
      </c>
      <c r="BP359" t="s">
        <v>757</v>
      </c>
      <c r="BQ359" t="s">
        <v>121</v>
      </c>
      <c r="BR359" t="s">
        <v>84</v>
      </c>
      <c r="BS359" s="3">
        <v>43777</v>
      </c>
      <c r="BT359" s="5">
        <v>0.45416666666666666</v>
      </c>
      <c r="BU359" t="s">
        <v>758</v>
      </c>
      <c r="BV359" t="s">
        <v>86</v>
      </c>
      <c r="BY359">
        <v>12625.97</v>
      </c>
      <c r="CC359" t="s">
        <v>203</v>
      </c>
      <c r="CD359">
        <v>1401</v>
      </c>
      <c r="CE359" t="s">
        <v>147</v>
      </c>
      <c r="CF359" s="3">
        <v>43780</v>
      </c>
      <c r="CI359">
        <v>1</v>
      </c>
      <c r="CJ359">
        <v>1</v>
      </c>
      <c r="CK359">
        <v>32</v>
      </c>
      <c r="CL359" t="s">
        <v>89</v>
      </c>
    </row>
    <row r="360" spans="1:90">
      <c r="A360" t="s">
        <v>72</v>
      </c>
      <c r="B360" t="s">
        <v>73</v>
      </c>
      <c r="C360" t="s">
        <v>74</v>
      </c>
      <c r="E360" t="str">
        <f>"FES1162721795"</f>
        <v>FES1162721795</v>
      </c>
      <c r="F360" s="3">
        <v>43776</v>
      </c>
      <c r="G360">
        <v>202005</v>
      </c>
      <c r="H360" t="s">
        <v>75</v>
      </c>
      <c r="I360" t="s">
        <v>76</v>
      </c>
      <c r="J360" t="s">
        <v>77</v>
      </c>
      <c r="K360" t="s">
        <v>78</v>
      </c>
      <c r="L360" t="s">
        <v>124</v>
      </c>
      <c r="M360" t="s">
        <v>125</v>
      </c>
      <c r="N360" t="s">
        <v>759</v>
      </c>
      <c r="O360" t="s">
        <v>82</v>
      </c>
      <c r="P360" t="str">
        <f>"2170715844                    "</f>
        <v xml:space="preserve">2170715844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10.72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4.5</v>
      </c>
      <c r="BJ360">
        <v>3.4</v>
      </c>
      <c r="BK360">
        <v>4.5</v>
      </c>
      <c r="BL360" s="4">
        <v>63.03</v>
      </c>
      <c r="BM360" s="4">
        <v>9.4499999999999993</v>
      </c>
      <c r="BN360" s="4">
        <v>72.48</v>
      </c>
      <c r="BO360" s="4">
        <v>72.48</v>
      </c>
      <c r="BQ360" t="s">
        <v>121</v>
      </c>
      <c r="BR360" t="s">
        <v>84</v>
      </c>
      <c r="BS360" s="3">
        <v>43777</v>
      </c>
      <c r="BT360" s="5">
        <v>0.49305555555555558</v>
      </c>
      <c r="BU360" t="s">
        <v>760</v>
      </c>
      <c r="BV360" t="s">
        <v>89</v>
      </c>
      <c r="BW360" t="s">
        <v>319</v>
      </c>
      <c r="BX360" t="s">
        <v>761</v>
      </c>
      <c r="BY360">
        <v>16907.259999999998</v>
      </c>
      <c r="CA360" t="s">
        <v>762</v>
      </c>
      <c r="CC360" t="s">
        <v>125</v>
      </c>
      <c r="CD360">
        <v>2008</v>
      </c>
      <c r="CE360" t="s">
        <v>88</v>
      </c>
      <c r="CI360">
        <v>1</v>
      </c>
      <c r="CJ360">
        <v>1</v>
      </c>
      <c r="CK360">
        <v>22</v>
      </c>
      <c r="CL360" t="s">
        <v>89</v>
      </c>
    </row>
    <row r="361" spans="1:90">
      <c r="A361" t="s">
        <v>72</v>
      </c>
      <c r="B361" t="s">
        <v>73</v>
      </c>
      <c r="C361" t="s">
        <v>74</v>
      </c>
      <c r="E361" t="str">
        <f>"FES1162721815"</f>
        <v>FES1162721815</v>
      </c>
      <c r="F361" s="3">
        <v>43776</v>
      </c>
      <c r="G361">
        <v>202005</v>
      </c>
      <c r="H361" t="s">
        <v>75</v>
      </c>
      <c r="I361" t="s">
        <v>76</v>
      </c>
      <c r="J361" t="s">
        <v>77</v>
      </c>
      <c r="K361" t="s">
        <v>78</v>
      </c>
      <c r="L361" t="s">
        <v>106</v>
      </c>
      <c r="M361" t="s">
        <v>107</v>
      </c>
      <c r="N361" t="s">
        <v>128</v>
      </c>
      <c r="O361" t="s">
        <v>82</v>
      </c>
      <c r="P361" t="str">
        <f>"2170712348                    "</f>
        <v xml:space="preserve">2170712348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12.87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0.8</v>
      </c>
      <c r="BJ361">
        <v>3</v>
      </c>
      <c r="BK361">
        <v>3</v>
      </c>
      <c r="BL361" s="4">
        <v>75.66</v>
      </c>
      <c r="BM361" s="4">
        <v>11.35</v>
      </c>
      <c r="BN361" s="4">
        <v>87.01</v>
      </c>
      <c r="BO361" s="4">
        <v>87.01</v>
      </c>
      <c r="BQ361" t="s">
        <v>121</v>
      </c>
      <c r="BR361" t="s">
        <v>84</v>
      </c>
      <c r="BS361" s="3">
        <v>43777</v>
      </c>
      <c r="BT361" s="5">
        <v>0.33333333333333331</v>
      </c>
      <c r="BU361" t="s">
        <v>714</v>
      </c>
      <c r="BV361" t="s">
        <v>86</v>
      </c>
      <c r="BY361">
        <v>14864.93</v>
      </c>
      <c r="CA361" t="s">
        <v>87</v>
      </c>
      <c r="CC361" t="s">
        <v>107</v>
      </c>
      <c r="CD361">
        <v>6001</v>
      </c>
      <c r="CE361" t="s">
        <v>88</v>
      </c>
      <c r="CF361" s="3">
        <v>43780</v>
      </c>
      <c r="CI361">
        <v>1</v>
      </c>
      <c r="CJ361">
        <v>1</v>
      </c>
      <c r="CK361">
        <v>21</v>
      </c>
      <c r="CL361" t="s">
        <v>89</v>
      </c>
    </row>
    <row r="362" spans="1:90">
      <c r="A362" t="s">
        <v>72</v>
      </c>
      <c r="B362" t="s">
        <v>73</v>
      </c>
      <c r="C362" t="s">
        <v>74</v>
      </c>
      <c r="E362" t="str">
        <f>"FES1162721790"</f>
        <v>FES1162721790</v>
      </c>
      <c r="F362" s="3">
        <v>43776</v>
      </c>
      <c r="G362">
        <v>202005</v>
      </c>
      <c r="H362" t="s">
        <v>75</v>
      </c>
      <c r="I362" t="s">
        <v>76</v>
      </c>
      <c r="J362" t="s">
        <v>77</v>
      </c>
      <c r="K362" t="s">
        <v>78</v>
      </c>
      <c r="L362" t="s">
        <v>90</v>
      </c>
      <c r="M362" t="s">
        <v>91</v>
      </c>
      <c r="N362" t="s">
        <v>763</v>
      </c>
      <c r="O362" t="s">
        <v>82</v>
      </c>
      <c r="P362" t="str">
        <f>"2170715993                    "</f>
        <v xml:space="preserve">2170715993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34.31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8</v>
      </c>
      <c r="BJ362">
        <v>2</v>
      </c>
      <c r="BK362">
        <v>8</v>
      </c>
      <c r="BL362" s="4">
        <v>201.7</v>
      </c>
      <c r="BM362" s="4">
        <v>30.26</v>
      </c>
      <c r="BN362" s="4">
        <v>231.96</v>
      </c>
      <c r="BO362" s="4">
        <v>231.96</v>
      </c>
      <c r="BQ362" t="s">
        <v>109</v>
      </c>
      <c r="BR362" t="s">
        <v>84</v>
      </c>
      <c r="BS362" s="3">
        <v>43777</v>
      </c>
      <c r="BT362" s="5">
        <v>0.375</v>
      </c>
      <c r="BU362" t="s">
        <v>764</v>
      </c>
      <c r="BV362" t="s">
        <v>86</v>
      </c>
      <c r="BY362">
        <v>9918</v>
      </c>
      <c r="CA362" t="s">
        <v>140</v>
      </c>
      <c r="CC362" t="s">
        <v>91</v>
      </c>
      <c r="CD362">
        <v>7560</v>
      </c>
      <c r="CE362" t="s">
        <v>88</v>
      </c>
      <c r="CF362" s="3">
        <v>43780</v>
      </c>
      <c r="CI362">
        <v>1</v>
      </c>
      <c r="CJ362">
        <v>1</v>
      </c>
      <c r="CK362">
        <v>21</v>
      </c>
      <c r="CL362" t="s">
        <v>89</v>
      </c>
    </row>
    <row r="363" spans="1:90">
      <c r="A363" t="s">
        <v>72</v>
      </c>
      <c r="B363" t="s">
        <v>73</v>
      </c>
      <c r="C363" t="s">
        <v>74</v>
      </c>
      <c r="E363" t="str">
        <f>"FES1162721875"</f>
        <v>FES1162721875</v>
      </c>
      <c r="F363" s="3">
        <v>43776</v>
      </c>
      <c r="G363">
        <v>202005</v>
      </c>
      <c r="H363" t="s">
        <v>75</v>
      </c>
      <c r="I363" t="s">
        <v>76</v>
      </c>
      <c r="J363" t="s">
        <v>77</v>
      </c>
      <c r="K363" t="s">
        <v>78</v>
      </c>
      <c r="L363" t="s">
        <v>500</v>
      </c>
      <c r="M363" t="s">
        <v>501</v>
      </c>
      <c r="N363" t="s">
        <v>765</v>
      </c>
      <c r="O363" t="s">
        <v>82</v>
      </c>
      <c r="P363" t="str">
        <f>"2170713468                    "</f>
        <v xml:space="preserve">2170713468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16.63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 s="4">
        <v>97.75</v>
      </c>
      <c r="BM363" s="4">
        <v>14.66</v>
      </c>
      <c r="BN363" s="4">
        <v>112.41</v>
      </c>
      <c r="BO363" s="4">
        <v>112.41</v>
      </c>
      <c r="BR363" t="s">
        <v>84</v>
      </c>
      <c r="BS363" s="3">
        <v>43777</v>
      </c>
      <c r="BT363" s="5">
        <v>0.4368055555555555</v>
      </c>
      <c r="BU363" t="s">
        <v>766</v>
      </c>
      <c r="BV363" t="s">
        <v>86</v>
      </c>
      <c r="BY363">
        <v>1200</v>
      </c>
      <c r="CA363" t="s">
        <v>504</v>
      </c>
      <c r="CC363" t="s">
        <v>501</v>
      </c>
      <c r="CD363">
        <v>7349</v>
      </c>
      <c r="CE363" t="s">
        <v>147</v>
      </c>
      <c r="CF363" s="3">
        <v>43780</v>
      </c>
      <c r="CI363">
        <v>1</v>
      </c>
      <c r="CJ363">
        <v>1</v>
      </c>
      <c r="CK363">
        <v>23</v>
      </c>
      <c r="CL363" t="s">
        <v>89</v>
      </c>
    </row>
    <row r="364" spans="1:90">
      <c r="A364" t="s">
        <v>72</v>
      </c>
      <c r="B364" t="s">
        <v>73</v>
      </c>
      <c r="C364" t="s">
        <v>74</v>
      </c>
      <c r="E364" t="str">
        <f>"FES1162721386"</f>
        <v>FES1162721386</v>
      </c>
      <c r="F364" s="3">
        <v>43774</v>
      </c>
      <c r="G364">
        <v>202005</v>
      </c>
      <c r="H364" t="s">
        <v>75</v>
      </c>
      <c r="I364" t="s">
        <v>76</v>
      </c>
      <c r="J364" t="s">
        <v>77</v>
      </c>
      <c r="K364" t="s">
        <v>78</v>
      </c>
      <c r="L364" t="s">
        <v>214</v>
      </c>
      <c r="M364" t="s">
        <v>214</v>
      </c>
      <c r="N364" t="s">
        <v>314</v>
      </c>
      <c r="O364" t="s">
        <v>82</v>
      </c>
      <c r="P364" t="str">
        <f>"2170715692                    "</f>
        <v xml:space="preserve">2170715692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17.04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 s="4">
        <v>98.16</v>
      </c>
      <c r="BM364" s="4">
        <v>14.72</v>
      </c>
      <c r="BN364" s="4">
        <v>112.88</v>
      </c>
      <c r="BO364" s="4">
        <v>112.88</v>
      </c>
      <c r="BQ364" t="s">
        <v>109</v>
      </c>
      <c r="BR364" t="s">
        <v>84</v>
      </c>
      <c r="BS364" s="3">
        <v>43775</v>
      </c>
      <c r="BT364" s="5">
        <v>0.45833333333333331</v>
      </c>
      <c r="BU364" t="s">
        <v>767</v>
      </c>
      <c r="BV364" t="s">
        <v>86</v>
      </c>
      <c r="BY364">
        <v>1200</v>
      </c>
      <c r="CC364" t="s">
        <v>214</v>
      </c>
      <c r="CD364">
        <v>7646</v>
      </c>
      <c r="CE364" t="s">
        <v>147</v>
      </c>
      <c r="CF364" s="3">
        <v>43776</v>
      </c>
      <c r="CI364">
        <v>1</v>
      </c>
      <c r="CJ364">
        <v>1</v>
      </c>
      <c r="CK364">
        <v>23</v>
      </c>
      <c r="CL364" t="s">
        <v>89</v>
      </c>
    </row>
    <row r="365" spans="1:90">
      <c r="A365" t="s">
        <v>72</v>
      </c>
      <c r="B365" t="s">
        <v>73</v>
      </c>
      <c r="C365" t="s">
        <v>74</v>
      </c>
      <c r="E365" t="str">
        <f>"FES1162721735"</f>
        <v>FES1162721735</v>
      </c>
      <c r="F365" s="3">
        <v>43776</v>
      </c>
      <c r="G365">
        <v>202005</v>
      </c>
      <c r="H365" t="s">
        <v>75</v>
      </c>
      <c r="I365" t="s">
        <v>76</v>
      </c>
      <c r="J365" t="s">
        <v>77</v>
      </c>
      <c r="K365" t="s">
        <v>78</v>
      </c>
      <c r="L365" t="s">
        <v>101</v>
      </c>
      <c r="M365" t="s">
        <v>102</v>
      </c>
      <c r="N365" t="s">
        <v>768</v>
      </c>
      <c r="O365" t="s">
        <v>82</v>
      </c>
      <c r="P365" t="str">
        <f>"217071596                     "</f>
        <v xml:space="preserve">217071596 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8.58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 s="4">
        <v>50.45</v>
      </c>
      <c r="BM365" s="4">
        <v>7.57</v>
      </c>
      <c r="BN365" s="4">
        <v>58.02</v>
      </c>
      <c r="BO365" s="4">
        <v>58.02</v>
      </c>
      <c r="BQ365" t="s">
        <v>769</v>
      </c>
      <c r="BR365" t="s">
        <v>84</v>
      </c>
      <c r="BS365" s="3">
        <v>43777</v>
      </c>
      <c r="BT365" s="5">
        <v>0.41666666666666669</v>
      </c>
      <c r="BU365" t="s">
        <v>770</v>
      </c>
      <c r="BV365" t="s">
        <v>86</v>
      </c>
      <c r="BY365">
        <v>1200</v>
      </c>
      <c r="CA365" t="s">
        <v>105</v>
      </c>
      <c r="CC365" t="s">
        <v>102</v>
      </c>
      <c r="CD365">
        <v>117</v>
      </c>
      <c r="CE365" t="s">
        <v>147</v>
      </c>
      <c r="CF365" s="3">
        <v>43780</v>
      </c>
      <c r="CI365">
        <v>1</v>
      </c>
      <c r="CJ365">
        <v>1</v>
      </c>
      <c r="CK365">
        <v>21</v>
      </c>
      <c r="CL365" t="s">
        <v>89</v>
      </c>
    </row>
    <row r="366" spans="1:90">
      <c r="A366" t="s">
        <v>72</v>
      </c>
      <c r="B366" t="s">
        <v>73</v>
      </c>
      <c r="C366" t="s">
        <v>74</v>
      </c>
      <c r="E366" t="str">
        <f>"FES1162721379"</f>
        <v>FES1162721379</v>
      </c>
      <c r="F366" s="3">
        <v>43774</v>
      </c>
      <c r="G366">
        <v>202005</v>
      </c>
      <c r="H366" t="s">
        <v>75</v>
      </c>
      <c r="I366" t="s">
        <v>76</v>
      </c>
      <c r="J366" t="s">
        <v>77</v>
      </c>
      <c r="K366" t="s">
        <v>78</v>
      </c>
      <c r="L366" t="s">
        <v>106</v>
      </c>
      <c r="M366" t="s">
        <v>107</v>
      </c>
      <c r="N366" t="s">
        <v>301</v>
      </c>
      <c r="O366" t="s">
        <v>82</v>
      </c>
      <c r="P366" t="str">
        <f>"2170715678                    "</f>
        <v xml:space="preserve">2170715678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8.7899999999999991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 s="4">
        <v>50.66</v>
      </c>
      <c r="BM366" s="4">
        <v>7.6</v>
      </c>
      <c r="BN366" s="4">
        <v>58.26</v>
      </c>
      <c r="BO366" s="4">
        <v>58.26</v>
      </c>
      <c r="BQ366" t="s">
        <v>302</v>
      </c>
      <c r="BR366" t="s">
        <v>84</v>
      </c>
      <c r="BS366" s="3">
        <v>43775</v>
      </c>
      <c r="BT366" s="5">
        <v>0.34097222222222223</v>
      </c>
      <c r="BU366" t="s">
        <v>418</v>
      </c>
      <c r="BV366" t="s">
        <v>86</v>
      </c>
      <c r="BY366">
        <v>1200</v>
      </c>
      <c r="CA366" t="s">
        <v>244</v>
      </c>
      <c r="CC366" t="s">
        <v>107</v>
      </c>
      <c r="CD366">
        <v>6001</v>
      </c>
      <c r="CE366" t="s">
        <v>147</v>
      </c>
      <c r="CF366" s="3">
        <v>43776</v>
      </c>
      <c r="CI366">
        <v>1</v>
      </c>
      <c r="CJ366">
        <v>1</v>
      </c>
      <c r="CK366">
        <v>21</v>
      </c>
      <c r="CL366" t="s">
        <v>89</v>
      </c>
    </row>
    <row r="367" spans="1:90">
      <c r="A367" t="s">
        <v>72</v>
      </c>
      <c r="B367" t="s">
        <v>73</v>
      </c>
      <c r="C367" t="s">
        <v>74</v>
      </c>
      <c r="E367" t="str">
        <f>"FES1162721258"</f>
        <v>FES1162721258</v>
      </c>
      <c r="F367" s="3">
        <v>43774</v>
      </c>
      <c r="G367">
        <v>202005</v>
      </c>
      <c r="H367" t="s">
        <v>75</v>
      </c>
      <c r="I367" t="s">
        <v>76</v>
      </c>
      <c r="J367" t="s">
        <v>77</v>
      </c>
      <c r="K367" t="s">
        <v>78</v>
      </c>
      <c r="L367" t="s">
        <v>106</v>
      </c>
      <c r="M367" t="s">
        <v>107</v>
      </c>
      <c r="N367" t="s">
        <v>771</v>
      </c>
      <c r="O367" t="s">
        <v>82</v>
      </c>
      <c r="P367" t="str">
        <f>"2170715535                    "</f>
        <v xml:space="preserve">2170715535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8.7899999999999991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 s="4">
        <v>50.66</v>
      </c>
      <c r="BM367" s="4">
        <v>7.6</v>
      </c>
      <c r="BN367" s="4">
        <v>58.26</v>
      </c>
      <c r="BO367" s="4">
        <v>58.26</v>
      </c>
      <c r="BQ367" t="s">
        <v>109</v>
      </c>
      <c r="BR367" t="s">
        <v>84</v>
      </c>
      <c r="BS367" s="3">
        <v>43775</v>
      </c>
      <c r="BT367" s="5">
        <v>0.41666666666666669</v>
      </c>
      <c r="BU367" t="s">
        <v>772</v>
      </c>
      <c r="BV367" t="s">
        <v>86</v>
      </c>
      <c r="BY367">
        <v>1200</v>
      </c>
      <c r="CA367" t="s">
        <v>773</v>
      </c>
      <c r="CC367" t="s">
        <v>107</v>
      </c>
      <c r="CD367">
        <v>6012</v>
      </c>
      <c r="CE367" t="s">
        <v>147</v>
      </c>
      <c r="CF367" s="3">
        <v>43776</v>
      </c>
      <c r="CI367">
        <v>1</v>
      </c>
      <c r="CJ367">
        <v>1</v>
      </c>
      <c r="CK367">
        <v>21</v>
      </c>
      <c r="CL367" t="s">
        <v>89</v>
      </c>
    </row>
    <row r="368" spans="1:90">
      <c r="A368" t="s">
        <v>72</v>
      </c>
      <c r="B368" t="s">
        <v>73</v>
      </c>
      <c r="C368" t="s">
        <v>74</v>
      </c>
      <c r="E368" t="str">
        <f>"FES1162721382"</f>
        <v>FES1162721382</v>
      </c>
      <c r="F368" s="3">
        <v>43774</v>
      </c>
      <c r="G368">
        <v>202005</v>
      </c>
      <c r="H368" t="s">
        <v>75</v>
      </c>
      <c r="I368" t="s">
        <v>76</v>
      </c>
      <c r="J368" t="s">
        <v>77</v>
      </c>
      <c r="K368" t="s">
        <v>78</v>
      </c>
      <c r="L368" t="s">
        <v>112</v>
      </c>
      <c r="M368" t="s">
        <v>113</v>
      </c>
      <c r="N368" t="s">
        <v>423</v>
      </c>
      <c r="O368" t="s">
        <v>82</v>
      </c>
      <c r="P368" t="str">
        <f>"2170715686                    "</f>
        <v xml:space="preserve">2170715686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15.38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3.4</v>
      </c>
      <c r="BJ368">
        <v>1.2</v>
      </c>
      <c r="BK368">
        <v>3.5</v>
      </c>
      <c r="BL368" s="4">
        <v>88.63</v>
      </c>
      <c r="BM368" s="4">
        <v>13.29</v>
      </c>
      <c r="BN368" s="4">
        <v>101.92</v>
      </c>
      <c r="BO368" s="4">
        <v>101.92</v>
      </c>
      <c r="BQ368" t="s">
        <v>424</v>
      </c>
      <c r="BR368" t="s">
        <v>84</v>
      </c>
      <c r="BS368" s="3">
        <v>43775</v>
      </c>
      <c r="BT368" s="5">
        <v>0.29305555555555557</v>
      </c>
      <c r="BU368" t="s">
        <v>774</v>
      </c>
      <c r="BV368" t="s">
        <v>86</v>
      </c>
      <c r="BY368">
        <v>6029.22</v>
      </c>
      <c r="CA368" t="s">
        <v>426</v>
      </c>
      <c r="CC368" t="s">
        <v>113</v>
      </c>
      <c r="CD368">
        <v>4001</v>
      </c>
      <c r="CE368" t="s">
        <v>88</v>
      </c>
      <c r="CF368" s="3">
        <v>43777</v>
      </c>
      <c r="CI368">
        <v>1</v>
      </c>
      <c r="CJ368">
        <v>1</v>
      </c>
      <c r="CK368">
        <v>21</v>
      </c>
      <c r="CL368" t="s">
        <v>89</v>
      </c>
    </row>
    <row r="369" spans="1:90">
      <c r="A369" t="s">
        <v>72</v>
      </c>
      <c r="B369" t="s">
        <v>73</v>
      </c>
      <c r="C369" t="s">
        <v>74</v>
      </c>
      <c r="E369" t="str">
        <f>"FES1162721389"</f>
        <v>FES1162721389</v>
      </c>
      <c r="F369" s="3">
        <v>43774</v>
      </c>
      <c r="G369">
        <v>202005</v>
      </c>
      <c r="H369" t="s">
        <v>75</v>
      </c>
      <c r="I369" t="s">
        <v>76</v>
      </c>
      <c r="J369" t="s">
        <v>77</v>
      </c>
      <c r="K369" t="s">
        <v>78</v>
      </c>
      <c r="L369" t="s">
        <v>118</v>
      </c>
      <c r="M369" t="s">
        <v>119</v>
      </c>
      <c r="N369" t="s">
        <v>775</v>
      </c>
      <c r="O369" t="s">
        <v>82</v>
      </c>
      <c r="P369" t="str">
        <f>"2170715696                    "</f>
        <v xml:space="preserve">2170715696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19.78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4.3</v>
      </c>
      <c r="BJ369">
        <v>0.8</v>
      </c>
      <c r="BK369">
        <v>4.5</v>
      </c>
      <c r="BL369" s="4">
        <v>113.95</v>
      </c>
      <c r="BM369" s="4">
        <v>17.09</v>
      </c>
      <c r="BN369" s="4">
        <v>131.04</v>
      </c>
      <c r="BO369" s="4">
        <v>131.04</v>
      </c>
      <c r="BQ369" t="s">
        <v>142</v>
      </c>
      <c r="BR369" t="s">
        <v>84</v>
      </c>
      <c r="BS369" s="3">
        <v>43775</v>
      </c>
      <c r="BT369" s="5">
        <v>0.3888888888888889</v>
      </c>
      <c r="BU369" t="s">
        <v>776</v>
      </c>
      <c r="BV369" t="s">
        <v>86</v>
      </c>
      <c r="BY369">
        <v>4188.07</v>
      </c>
      <c r="CA369" t="s">
        <v>777</v>
      </c>
      <c r="CC369" t="s">
        <v>119</v>
      </c>
      <c r="CD369">
        <v>3201</v>
      </c>
      <c r="CE369" t="s">
        <v>88</v>
      </c>
      <c r="CF369" s="3">
        <v>43777</v>
      </c>
      <c r="CI369">
        <v>1</v>
      </c>
      <c r="CJ369">
        <v>1</v>
      </c>
      <c r="CK369">
        <v>21</v>
      </c>
      <c r="CL369" t="s">
        <v>89</v>
      </c>
    </row>
    <row r="370" spans="1:90">
      <c r="A370" t="s">
        <v>72</v>
      </c>
      <c r="B370" t="s">
        <v>73</v>
      </c>
      <c r="C370" t="s">
        <v>74</v>
      </c>
      <c r="E370" t="str">
        <f>"FES1162721202"</f>
        <v>FES1162721202</v>
      </c>
      <c r="F370" s="3">
        <v>43774</v>
      </c>
      <c r="G370">
        <v>202005</v>
      </c>
      <c r="H370" t="s">
        <v>75</v>
      </c>
      <c r="I370" t="s">
        <v>76</v>
      </c>
      <c r="J370" t="s">
        <v>77</v>
      </c>
      <c r="K370" t="s">
        <v>78</v>
      </c>
      <c r="L370" t="s">
        <v>482</v>
      </c>
      <c r="M370" t="s">
        <v>483</v>
      </c>
      <c r="N370" t="s">
        <v>449</v>
      </c>
      <c r="O370" t="s">
        <v>82</v>
      </c>
      <c r="P370" t="str">
        <f>"2170715448                    "</f>
        <v xml:space="preserve">2170715448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9.34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1.9</v>
      </c>
      <c r="BJ370">
        <v>3.1</v>
      </c>
      <c r="BK370">
        <v>3.5</v>
      </c>
      <c r="BL370" s="4">
        <v>53.81</v>
      </c>
      <c r="BM370" s="4">
        <v>8.07</v>
      </c>
      <c r="BN370" s="4">
        <v>61.88</v>
      </c>
      <c r="BO370" s="4">
        <v>61.88</v>
      </c>
      <c r="BQ370" t="s">
        <v>109</v>
      </c>
      <c r="BR370" t="s">
        <v>84</v>
      </c>
      <c r="BS370" s="3">
        <v>43775</v>
      </c>
      <c r="BT370" s="5">
        <v>0.33333333333333331</v>
      </c>
      <c r="BU370" t="s">
        <v>778</v>
      </c>
      <c r="BV370" t="s">
        <v>86</v>
      </c>
      <c r="BY370">
        <v>15553.4</v>
      </c>
      <c r="CC370" t="s">
        <v>483</v>
      </c>
      <c r="CD370">
        <v>1459</v>
      </c>
      <c r="CE370" t="s">
        <v>88</v>
      </c>
      <c r="CF370" s="3">
        <v>43776</v>
      </c>
      <c r="CI370">
        <v>1</v>
      </c>
      <c r="CJ370">
        <v>1</v>
      </c>
      <c r="CK370">
        <v>22</v>
      </c>
      <c r="CL370" t="s">
        <v>89</v>
      </c>
    </row>
    <row r="371" spans="1:90">
      <c r="A371" t="s">
        <v>72</v>
      </c>
      <c r="B371" t="s">
        <v>73</v>
      </c>
      <c r="C371" t="s">
        <v>74</v>
      </c>
      <c r="E371" t="str">
        <f>"FES1162721378"</f>
        <v>FES1162721378</v>
      </c>
      <c r="F371" s="3">
        <v>43774</v>
      </c>
      <c r="G371">
        <v>202005</v>
      </c>
      <c r="H371" t="s">
        <v>75</v>
      </c>
      <c r="I371" t="s">
        <v>76</v>
      </c>
      <c r="J371" t="s">
        <v>77</v>
      </c>
      <c r="K371" t="s">
        <v>78</v>
      </c>
      <c r="L371" t="s">
        <v>270</v>
      </c>
      <c r="M371" t="s">
        <v>271</v>
      </c>
      <c r="N371" t="s">
        <v>779</v>
      </c>
      <c r="O371" t="s">
        <v>82</v>
      </c>
      <c r="P371" t="str">
        <f>"2170714877                    "</f>
        <v xml:space="preserve">2170714877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30.76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6.9</v>
      </c>
      <c r="BJ371">
        <v>5</v>
      </c>
      <c r="BK371">
        <v>7</v>
      </c>
      <c r="BL371" s="4">
        <v>177.23</v>
      </c>
      <c r="BM371" s="4">
        <v>26.58</v>
      </c>
      <c r="BN371" s="4">
        <v>203.81</v>
      </c>
      <c r="BO371" s="4">
        <v>203.81</v>
      </c>
      <c r="BQ371" t="s">
        <v>121</v>
      </c>
      <c r="BR371" t="s">
        <v>84</v>
      </c>
      <c r="BS371" s="3">
        <v>43775</v>
      </c>
      <c r="BT371" s="5">
        <v>0.37638888888888888</v>
      </c>
      <c r="BU371" t="s">
        <v>780</v>
      </c>
      <c r="BV371" t="s">
        <v>86</v>
      </c>
      <c r="BY371">
        <v>25082.6</v>
      </c>
      <c r="CA371" t="s">
        <v>773</v>
      </c>
      <c r="CC371" t="s">
        <v>271</v>
      </c>
      <c r="CD371">
        <v>6220</v>
      </c>
      <c r="CE371" t="s">
        <v>88</v>
      </c>
      <c r="CF371" s="3">
        <v>43776</v>
      </c>
      <c r="CI371">
        <v>1</v>
      </c>
      <c r="CJ371">
        <v>1</v>
      </c>
      <c r="CK371">
        <v>21</v>
      </c>
      <c r="CL371" t="s">
        <v>89</v>
      </c>
    </row>
    <row r="372" spans="1:90">
      <c r="A372" t="s">
        <v>72</v>
      </c>
      <c r="B372" t="s">
        <v>73</v>
      </c>
      <c r="C372" t="s">
        <v>74</v>
      </c>
      <c r="E372" t="str">
        <f>"FES1162721289"</f>
        <v>FES1162721289</v>
      </c>
      <c r="F372" s="3">
        <v>43774</v>
      </c>
      <c r="G372">
        <v>202005</v>
      </c>
      <c r="H372" t="s">
        <v>75</v>
      </c>
      <c r="I372" t="s">
        <v>76</v>
      </c>
      <c r="J372" t="s">
        <v>77</v>
      </c>
      <c r="K372" t="s">
        <v>78</v>
      </c>
      <c r="L372" t="s">
        <v>202</v>
      </c>
      <c r="M372" t="s">
        <v>203</v>
      </c>
      <c r="N372" t="s">
        <v>781</v>
      </c>
      <c r="O372" t="s">
        <v>82</v>
      </c>
      <c r="P372" t="str">
        <f>"2170715574                    "</f>
        <v xml:space="preserve">2170715574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10.99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3.2</v>
      </c>
      <c r="BJ372">
        <v>4.5</v>
      </c>
      <c r="BK372">
        <v>4.5</v>
      </c>
      <c r="BL372" s="4">
        <v>63.3</v>
      </c>
      <c r="BM372" s="4">
        <v>9.5</v>
      </c>
      <c r="BN372" s="4">
        <v>72.8</v>
      </c>
      <c r="BO372" s="4">
        <v>72.8</v>
      </c>
      <c r="BQ372" t="s">
        <v>121</v>
      </c>
      <c r="BR372" t="s">
        <v>84</v>
      </c>
      <c r="BS372" s="3">
        <v>43775</v>
      </c>
      <c r="BT372" s="5">
        <v>0.3611111111111111</v>
      </c>
      <c r="BU372" t="s">
        <v>782</v>
      </c>
      <c r="BV372" t="s">
        <v>86</v>
      </c>
      <c r="BY372">
        <v>22430.52</v>
      </c>
      <c r="CC372" t="s">
        <v>203</v>
      </c>
      <c r="CD372">
        <v>1428</v>
      </c>
      <c r="CE372" t="s">
        <v>88</v>
      </c>
      <c r="CF372" s="3">
        <v>43776</v>
      </c>
      <c r="CI372">
        <v>1</v>
      </c>
      <c r="CJ372">
        <v>1</v>
      </c>
      <c r="CK372">
        <v>22</v>
      </c>
      <c r="CL372" t="s">
        <v>89</v>
      </c>
    </row>
    <row r="373" spans="1:90">
      <c r="A373" t="s">
        <v>72</v>
      </c>
      <c r="B373" t="s">
        <v>73</v>
      </c>
      <c r="C373" t="s">
        <v>74</v>
      </c>
      <c r="E373" t="str">
        <f>"FES1162721360"</f>
        <v>FES1162721360</v>
      </c>
      <c r="F373" s="3">
        <v>43774</v>
      </c>
      <c r="G373">
        <v>202005</v>
      </c>
      <c r="H373" t="s">
        <v>75</v>
      </c>
      <c r="I373" t="s">
        <v>76</v>
      </c>
      <c r="J373" t="s">
        <v>77</v>
      </c>
      <c r="K373" t="s">
        <v>78</v>
      </c>
      <c r="L373" t="s">
        <v>783</v>
      </c>
      <c r="M373" t="s">
        <v>784</v>
      </c>
      <c r="N373" t="s">
        <v>785</v>
      </c>
      <c r="O373" t="s">
        <v>82</v>
      </c>
      <c r="P373" t="str">
        <f>"2170715660                    "</f>
        <v xml:space="preserve">2170715660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17.04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1.2</v>
      </c>
      <c r="BJ373">
        <v>1.7</v>
      </c>
      <c r="BK373">
        <v>2</v>
      </c>
      <c r="BL373" s="4">
        <v>98.16</v>
      </c>
      <c r="BM373" s="4">
        <v>14.72</v>
      </c>
      <c r="BN373" s="4">
        <v>112.88</v>
      </c>
      <c r="BO373" s="4">
        <v>112.88</v>
      </c>
      <c r="BQ373" t="s">
        <v>109</v>
      </c>
      <c r="BR373" t="s">
        <v>84</v>
      </c>
      <c r="BS373" s="3">
        <v>43775</v>
      </c>
      <c r="BT373" s="5">
        <v>0.39583333333333331</v>
      </c>
      <c r="BU373" t="s">
        <v>786</v>
      </c>
      <c r="BV373" t="s">
        <v>86</v>
      </c>
      <c r="BY373">
        <v>8583.2999999999993</v>
      </c>
      <c r="CC373" t="s">
        <v>784</v>
      </c>
      <c r="CD373">
        <v>9880</v>
      </c>
      <c r="CE373" t="s">
        <v>88</v>
      </c>
      <c r="CF373" s="3">
        <v>43777</v>
      </c>
      <c r="CI373">
        <v>1</v>
      </c>
      <c r="CJ373">
        <v>1</v>
      </c>
      <c r="CK373">
        <v>23</v>
      </c>
      <c r="CL373" t="s">
        <v>89</v>
      </c>
    </row>
    <row r="374" spans="1:90">
      <c r="A374" t="s">
        <v>72</v>
      </c>
      <c r="B374" t="s">
        <v>73</v>
      </c>
      <c r="C374" t="s">
        <v>74</v>
      </c>
      <c r="E374" t="str">
        <f>"FES1162721393"</f>
        <v>FES1162721393</v>
      </c>
      <c r="F374" s="3">
        <v>43774</v>
      </c>
      <c r="G374">
        <v>202005</v>
      </c>
      <c r="H374" t="s">
        <v>75</v>
      </c>
      <c r="I374" t="s">
        <v>76</v>
      </c>
      <c r="J374" t="s">
        <v>77</v>
      </c>
      <c r="K374" t="s">
        <v>78</v>
      </c>
      <c r="L374" t="s">
        <v>133</v>
      </c>
      <c r="M374" t="s">
        <v>134</v>
      </c>
      <c r="N374" t="s">
        <v>787</v>
      </c>
      <c r="O374" t="s">
        <v>82</v>
      </c>
      <c r="P374" t="str">
        <f>"2170713837                    "</f>
        <v xml:space="preserve">2170713837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8.7899999999999991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 s="4">
        <v>50.66</v>
      </c>
      <c r="BM374" s="4">
        <v>7.6</v>
      </c>
      <c r="BN374" s="4">
        <v>58.26</v>
      </c>
      <c r="BO374" s="4">
        <v>58.26</v>
      </c>
      <c r="BQ374" t="s">
        <v>788</v>
      </c>
      <c r="BR374" t="s">
        <v>84</v>
      </c>
      <c r="BS374" s="3">
        <v>43775</v>
      </c>
      <c r="BT374" s="5">
        <v>0.58888888888888891</v>
      </c>
      <c r="BU374" t="s">
        <v>789</v>
      </c>
      <c r="BV374" t="s">
        <v>86</v>
      </c>
      <c r="BY374">
        <v>1200</v>
      </c>
      <c r="CA374" t="s">
        <v>732</v>
      </c>
      <c r="CC374" t="s">
        <v>134</v>
      </c>
      <c r="CD374">
        <v>5247</v>
      </c>
      <c r="CE374" t="s">
        <v>147</v>
      </c>
      <c r="CF374" s="3">
        <v>43777</v>
      </c>
      <c r="CI374">
        <v>1</v>
      </c>
      <c r="CJ374">
        <v>1</v>
      </c>
      <c r="CK374">
        <v>21</v>
      </c>
      <c r="CL374" t="s">
        <v>89</v>
      </c>
    </row>
    <row r="375" spans="1:90">
      <c r="A375" t="s">
        <v>72</v>
      </c>
      <c r="B375" t="s">
        <v>73</v>
      </c>
      <c r="C375" t="s">
        <v>74</v>
      </c>
      <c r="E375" t="str">
        <f>"FES1162721266"</f>
        <v>FES1162721266</v>
      </c>
      <c r="F375" s="3">
        <v>43774</v>
      </c>
      <c r="G375">
        <v>202005</v>
      </c>
      <c r="H375" t="s">
        <v>75</v>
      </c>
      <c r="I375" t="s">
        <v>76</v>
      </c>
      <c r="J375" t="s">
        <v>77</v>
      </c>
      <c r="K375" t="s">
        <v>78</v>
      </c>
      <c r="L375" t="s">
        <v>112</v>
      </c>
      <c r="M375" t="s">
        <v>113</v>
      </c>
      <c r="N375" t="s">
        <v>790</v>
      </c>
      <c r="O375" t="s">
        <v>82</v>
      </c>
      <c r="P375" t="str">
        <f>"2170715550                    "</f>
        <v xml:space="preserve">2170715550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8.7899999999999991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1.4</v>
      </c>
      <c r="BJ375">
        <v>1.1000000000000001</v>
      </c>
      <c r="BK375">
        <v>1.5</v>
      </c>
      <c r="BL375" s="4">
        <v>50.66</v>
      </c>
      <c r="BM375" s="4">
        <v>7.6</v>
      </c>
      <c r="BN375" s="4">
        <v>58.26</v>
      </c>
      <c r="BO375" s="4">
        <v>58.26</v>
      </c>
      <c r="BQ375" t="s">
        <v>121</v>
      </c>
      <c r="BR375" t="s">
        <v>84</v>
      </c>
      <c r="BS375" s="3">
        <v>43775</v>
      </c>
      <c r="BT375" s="5">
        <v>0.41666666666666669</v>
      </c>
      <c r="BU375" t="s">
        <v>791</v>
      </c>
      <c r="BV375" t="s">
        <v>86</v>
      </c>
      <c r="BY375">
        <v>5432</v>
      </c>
      <c r="CC375" t="s">
        <v>113</v>
      </c>
      <c r="CD375">
        <v>4068</v>
      </c>
      <c r="CE375" t="s">
        <v>88</v>
      </c>
      <c r="CF375" s="3">
        <v>43777</v>
      </c>
      <c r="CI375">
        <v>1</v>
      </c>
      <c r="CJ375">
        <v>1</v>
      </c>
      <c r="CK375">
        <v>21</v>
      </c>
      <c r="CL375" t="s">
        <v>89</v>
      </c>
    </row>
    <row r="376" spans="1:90">
      <c r="A376" t="s">
        <v>72</v>
      </c>
      <c r="B376" t="s">
        <v>73</v>
      </c>
      <c r="C376" t="s">
        <v>74</v>
      </c>
      <c r="E376" t="str">
        <f>"FES1162721335"</f>
        <v>FES1162721335</v>
      </c>
      <c r="F376" s="3">
        <v>43774</v>
      </c>
      <c r="G376">
        <v>202005</v>
      </c>
      <c r="H376" t="s">
        <v>75</v>
      </c>
      <c r="I376" t="s">
        <v>76</v>
      </c>
      <c r="J376" t="s">
        <v>77</v>
      </c>
      <c r="K376" t="s">
        <v>78</v>
      </c>
      <c r="L376" t="s">
        <v>176</v>
      </c>
      <c r="M376" t="s">
        <v>177</v>
      </c>
      <c r="N376" t="s">
        <v>792</v>
      </c>
      <c r="O376" t="s">
        <v>82</v>
      </c>
      <c r="P376" t="str">
        <f>"2170715632                    "</f>
        <v xml:space="preserve">2170715632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10.99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1.2</v>
      </c>
      <c r="BJ376">
        <v>2.1</v>
      </c>
      <c r="BK376">
        <v>2.5</v>
      </c>
      <c r="BL376" s="4">
        <v>63.32</v>
      </c>
      <c r="BM376" s="4">
        <v>9.5</v>
      </c>
      <c r="BN376" s="4">
        <v>72.819999999999993</v>
      </c>
      <c r="BO376" s="4">
        <v>72.819999999999993</v>
      </c>
      <c r="BQ376" t="s">
        <v>121</v>
      </c>
      <c r="BR376" t="s">
        <v>84</v>
      </c>
      <c r="BS376" s="3">
        <v>43775</v>
      </c>
      <c r="BT376" s="5">
        <v>0.40416666666666662</v>
      </c>
      <c r="BU376" t="s">
        <v>599</v>
      </c>
      <c r="BV376" t="s">
        <v>86</v>
      </c>
      <c r="BY376">
        <v>10695.43</v>
      </c>
      <c r="CA376" t="s">
        <v>224</v>
      </c>
      <c r="CC376" t="s">
        <v>177</v>
      </c>
      <c r="CD376">
        <v>3610</v>
      </c>
      <c r="CE376" t="s">
        <v>88</v>
      </c>
      <c r="CF376" s="3">
        <v>43777</v>
      </c>
      <c r="CI376">
        <v>1</v>
      </c>
      <c r="CJ376">
        <v>1</v>
      </c>
      <c r="CK376">
        <v>21</v>
      </c>
      <c r="CL376" t="s">
        <v>89</v>
      </c>
    </row>
    <row r="377" spans="1:90">
      <c r="A377" t="s">
        <v>72</v>
      </c>
      <c r="B377" t="s">
        <v>73</v>
      </c>
      <c r="C377" t="s">
        <v>74</v>
      </c>
      <c r="E377" t="str">
        <f>"FES1162721281"</f>
        <v>FES1162721281</v>
      </c>
      <c r="F377" s="3">
        <v>43774</v>
      </c>
      <c r="G377">
        <v>202005</v>
      </c>
      <c r="H377" t="s">
        <v>75</v>
      </c>
      <c r="I377" t="s">
        <v>76</v>
      </c>
      <c r="J377" t="s">
        <v>77</v>
      </c>
      <c r="K377" t="s">
        <v>78</v>
      </c>
      <c r="L377" t="s">
        <v>482</v>
      </c>
      <c r="M377" t="s">
        <v>483</v>
      </c>
      <c r="N377" t="s">
        <v>594</v>
      </c>
      <c r="O377" t="s">
        <v>82</v>
      </c>
      <c r="P377" t="str">
        <f>"2170715565                    "</f>
        <v xml:space="preserve">2170715565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6.87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 s="4">
        <v>39.58</v>
      </c>
      <c r="BM377" s="4">
        <v>5.94</v>
      </c>
      <c r="BN377" s="4">
        <v>45.52</v>
      </c>
      <c r="BO377" s="4">
        <v>45.52</v>
      </c>
      <c r="BQ377" t="s">
        <v>109</v>
      </c>
      <c r="BR377" t="s">
        <v>84</v>
      </c>
      <c r="BS377" s="3">
        <v>43775</v>
      </c>
      <c r="BT377" s="5">
        <v>0.33333333333333331</v>
      </c>
      <c r="BU377" t="s">
        <v>793</v>
      </c>
      <c r="BV377" t="s">
        <v>86</v>
      </c>
      <c r="BY377">
        <v>1200</v>
      </c>
      <c r="CC377" t="s">
        <v>483</v>
      </c>
      <c r="CD377">
        <v>1459</v>
      </c>
      <c r="CE377" t="s">
        <v>147</v>
      </c>
      <c r="CF377" s="3">
        <v>43776</v>
      </c>
      <c r="CI377">
        <v>1</v>
      </c>
      <c r="CJ377">
        <v>1</v>
      </c>
      <c r="CK377">
        <v>22</v>
      </c>
      <c r="CL377" t="s">
        <v>89</v>
      </c>
    </row>
    <row r="378" spans="1:90">
      <c r="A378" t="s">
        <v>72</v>
      </c>
      <c r="B378" t="s">
        <v>73</v>
      </c>
      <c r="C378" t="s">
        <v>74</v>
      </c>
      <c r="E378" t="str">
        <f>"FES1162721298"</f>
        <v>FES1162721298</v>
      </c>
      <c r="F378" s="3">
        <v>43774</v>
      </c>
      <c r="G378">
        <v>202005</v>
      </c>
      <c r="H378" t="s">
        <v>75</v>
      </c>
      <c r="I378" t="s">
        <v>76</v>
      </c>
      <c r="J378" t="s">
        <v>77</v>
      </c>
      <c r="K378" t="s">
        <v>78</v>
      </c>
      <c r="L378" t="s">
        <v>691</v>
      </c>
      <c r="M378" t="s">
        <v>692</v>
      </c>
      <c r="N378" t="s">
        <v>794</v>
      </c>
      <c r="O378" t="s">
        <v>82</v>
      </c>
      <c r="P378" t="str">
        <f>"2170715580                    "</f>
        <v xml:space="preserve">2170715580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6.87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 s="4">
        <v>39.58</v>
      </c>
      <c r="BM378" s="4">
        <v>5.94</v>
      </c>
      <c r="BN378" s="4">
        <v>45.52</v>
      </c>
      <c r="BO378" s="4">
        <v>45.52</v>
      </c>
      <c r="BR378" t="s">
        <v>84</v>
      </c>
      <c r="BS378" s="3">
        <v>43775</v>
      </c>
      <c r="BT378" s="5">
        <v>0.33333333333333331</v>
      </c>
      <c r="BU378" t="s">
        <v>795</v>
      </c>
      <c r="BV378" t="s">
        <v>86</v>
      </c>
      <c r="BY378">
        <v>1200</v>
      </c>
      <c r="CC378" t="s">
        <v>692</v>
      </c>
      <c r="CD378">
        <v>1559</v>
      </c>
      <c r="CE378" t="s">
        <v>147</v>
      </c>
      <c r="CF378" s="3">
        <v>43776</v>
      </c>
      <c r="CI378">
        <v>1</v>
      </c>
      <c r="CJ378">
        <v>1</v>
      </c>
      <c r="CK378">
        <v>22</v>
      </c>
      <c r="CL378" t="s">
        <v>89</v>
      </c>
    </row>
    <row r="379" spans="1:90">
      <c r="A379" t="s">
        <v>72</v>
      </c>
      <c r="B379" t="s">
        <v>73</v>
      </c>
      <c r="C379" t="s">
        <v>74</v>
      </c>
      <c r="E379" t="str">
        <f>"FES1162721384"</f>
        <v>FES1162721384</v>
      </c>
      <c r="F379" s="3">
        <v>43774</v>
      </c>
      <c r="G379">
        <v>202005</v>
      </c>
      <c r="H379" t="s">
        <v>75</v>
      </c>
      <c r="I379" t="s">
        <v>76</v>
      </c>
      <c r="J379" t="s">
        <v>77</v>
      </c>
      <c r="K379" t="s">
        <v>78</v>
      </c>
      <c r="L379" t="s">
        <v>176</v>
      </c>
      <c r="M379" t="s">
        <v>177</v>
      </c>
      <c r="N379" t="s">
        <v>598</v>
      </c>
      <c r="O379" t="s">
        <v>82</v>
      </c>
      <c r="P379" t="str">
        <f>"2170715960                    "</f>
        <v xml:space="preserve">2170715960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8.7899999999999991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 s="4">
        <v>50.66</v>
      </c>
      <c r="BM379" s="4">
        <v>7.6</v>
      </c>
      <c r="BN379" s="4">
        <v>58.26</v>
      </c>
      <c r="BO379" s="4">
        <v>58.26</v>
      </c>
      <c r="BQ379" t="s">
        <v>121</v>
      </c>
      <c r="BR379" t="s">
        <v>84</v>
      </c>
      <c r="BS379" s="3">
        <v>43775</v>
      </c>
      <c r="BT379" s="5">
        <v>0.40416666666666662</v>
      </c>
      <c r="BU379" t="s">
        <v>599</v>
      </c>
      <c r="BV379" t="s">
        <v>86</v>
      </c>
      <c r="BY379">
        <v>1200</v>
      </c>
      <c r="CA379" t="s">
        <v>224</v>
      </c>
      <c r="CC379" t="s">
        <v>177</v>
      </c>
      <c r="CD379">
        <v>3610</v>
      </c>
      <c r="CE379" t="s">
        <v>147</v>
      </c>
      <c r="CF379" s="3">
        <v>43777</v>
      </c>
      <c r="CI379">
        <v>1</v>
      </c>
      <c r="CJ379">
        <v>1</v>
      </c>
      <c r="CK379">
        <v>21</v>
      </c>
      <c r="CL379" t="s">
        <v>89</v>
      </c>
    </row>
    <row r="380" spans="1:90">
      <c r="A380" t="s">
        <v>72</v>
      </c>
      <c r="B380" t="s">
        <v>73</v>
      </c>
      <c r="C380" t="s">
        <v>74</v>
      </c>
      <c r="E380" t="str">
        <f>"FES1162711283"</f>
        <v>FES1162711283</v>
      </c>
      <c r="F380" s="3">
        <v>43774</v>
      </c>
      <c r="G380">
        <v>202005</v>
      </c>
      <c r="H380" t="s">
        <v>75</v>
      </c>
      <c r="I380" t="s">
        <v>76</v>
      </c>
      <c r="J380" t="s">
        <v>77</v>
      </c>
      <c r="K380" t="s">
        <v>78</v>
      </c>
      <c r="L380" t="s">
        <v>296</v>
      </c>
      <c r="M380" t="s">
        <v>297</v>
      </c>
      <c r="N380" t="s">
        <v>298</v>
      </c>
      <c r="O380" t="s">
        <v>82</v>
      </c>
      <c r="P380" t="str">
        <f>"2170691796                    "</f>
        <v xml:space="preserve">2170691796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17.04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 s="4">
        <v>98.16</v>
      </c>
      <c r="BM380" s="4">
        <v>14.72</v>
      </c>
      <c r="BN380" s="4">
        <v>112.88</v>
      </c>
      <c r="BO380" s="4">
        <v>112.88</v>
      </c>
      <c r="BQ380" t="s">
        <v>121</v>
      </c>
      <c r="BR380" t="s">
        <v>84</v>
      </c>
      <c r="BS380" s="3">
        <v>43776</v>
      </c>
      <c r="BT380" s="5">
        <v>0.3756944444444445</v>
      </c>
      <c r="BU380" t="s">
        <v>658</v>
      </c>
      <c r="BV380" t="s">
        <v>86</v>
      </c>
      <c r="BY380">
        <v>1200</v>
      </c>
      <c r="CA380" t="s">
        <v>300</v>
      </c>
      <c r="CC380" t="s">
        <v>297</v>
      </c>
      <c r="CD380">
        <v>6849</v>
      </c>
      <c r="CE380" t="s">
        <v>147</v>
      </c>
      <c r="CF380" s="3">
        <v>43777</v>
      </c>
      <c r="CI380">
        <v>3</v>
      </c>
      <c r="CJ380">
        <v>2</v>
      </c>
      <c r="CK380">
        <v>23</v>
      </c>
      <c r="CL380" t="s">
        <v>89</v>
      </c>
    </row>
    <row r="381" spans="1:90">
      <c r="A381" t="s">
        <v>72</v>
      </c>
      <c r="B381" t="s">
        <v>73</v>
      </c>
      <c r="C381" t="s">
        <v>74</v>
      </c>
      <c r="E381" t="str">
        <f>"FES1162721092"</f>
        <v>FES1162721092</v>
      </c>
      <c r="F381" s="3">
        <v>43774</v>
      </c>
      <c r="G381">
        <v>202005</v>
      </c>
      <c r="H381" t="s">
        <v>75</v>
      </c>
      <c r="I381" t="s">
        <v>76</v>
      </c>
      <c r="J381" t="s">
        <v>77</v>
      </c>
      <c r="K381" t="s">
        <v>78</v>
      </c>
      <c r="L381" t="s">
        <v>75</v>
      </c>
      <c r="M381" t="s">
        <v>76</v>
      </c>
      <c r="N381" t="s">
        <v>360</v>
      </c>
      <c r="O381" t="s">
        <v>82</v>
      </c>
      <c r="P381" t="str">
        <f>"2170715362                    "</f>
        <v xml:space="preserve">2170715362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14.28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6.3</v>
      </c>
      <c r="BJ381">
        <v>3.2</v>
      </c>
      <c r="BK381">
        <v>6.5</v>
      </c>
      <c r="BL381" s="4">
        <v>82.27</v>
      </c>
      <c r="BM381" s="4">
        <v>12.34</v>
      </c>
      <c r="BN381" s="4">
        <v>94.61</v>
      </c>
      <c r="BO381" s="4">
        <v>94.61</v>
      </c>
      <c r="BQ381" t="s">
        <v>109</v>
      </c>
      <c r="BR381" t="s">
        <v>84</v>
      </c>
      <c r="BS381" s="3">
        <v>43775</v>
      </c>
      <c r="BT381" s="5">
        <v>0.32569444444444445</v>
      </c>
      <c r="BU381" t="s">
        <v>796</v>
      </c>
      <c r="BV381" t="s">
        <v>86</v>
      </c>
      <c r="BY381">
        <v>15769.73</v>
      </c>
      <c r="CA381" t="s">
        <v>797</v>
      </c>
      <c r="CC381" t="s">
        <v>76</v>
      </c>
      <c r="CD381">
        <v>1645</v>
      </c>
      <c r="CE381" t="s">
        <v>88</v>
      </c>
      <c r="CF381" s="3">
        <v>43776</v>
      </c>
      <c r="CI381">
        <v>1</v>
      </c>
      <c r="CJ381">
        <v>1</v>
      </c>
      <c r="CK381">
        <v>22</v>
      </c>
      <c r="CL381" t="s">
        <v>89</v>
      </c>
    </row>
    <row r="382" spans="1:90">
      <c r="A382" t="s">
        <v>72</v>
      </c>
      <c r="B382" t="s">
        <v>73</v>
      </c>
      <c r="C382" t="s">
        <v>74</v>
      </c>
      <c r="E382" t="str">
        <f>"FES1162721381"</f>
        <v>FES1162721381</v>
      </c>
      <c r="F382" s="3">
        <v>43774</v>
      </c>
      <c r="G382">
        <v>202005</v>
      </c>
      <c r="H382" t="s">
        <v>75</v>
      </c>
      <c r="I382" t="s">
        <v>76</v>
      </c>
      <c r="J382" t="s">
        <v>77</v>
      </c>
      <c r="K382" t="s">
        <v>78</v>
      </c>
      <c r="L382" t="s">
        <v>176</v>
      </c>
      <c r="M382" t="s">
        <v>177</v>
      </c>
      <c r="N382" t="s">
        <v>419</v>
      </c>
      <c r="O382" t="s">
        <v>82</v>
      </c>
      <c r="P382" t="str">
        <f>"2170715681                    "</f>
        <v xml:space="preserve">2170715681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8.7899999999999991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 s="4">
        <v>50.66</v>
      </c>
      <c r="BM382" s="4">
        <v>7.6</v>
      </c>
      <c r="BN382" s="4">
        <v>58.26</v>
      </c>
      <c r="BO382" s="4">
        <v>58.26</v>
      </c>
      <c r="BQ382" t="s">
        <v>109</v>
      </c>
      <c r="BR382" t="s">
        <v>84</v>
      </c>
      <c r="BS382" s="3">
        <v>43775</v>
      </c>
      <c r="BT382" s="5">
        <v>0.4145833333333333</v>
      </c>
      <c r="BU382" t="s">
        <v>420</v>
      </c>
      <c r="BV382" t="s">
        <v>86</v>
      </c>
      <c r="BY382">
        <v>1200</v>
      </c>
      <c r="CA382" t="s">
        <v>224</v>
      </c>
      <c r="CC382" t="s">
        <v>177</v>
      </c>
      <c r="CD382">
        <v>3620</v>
      </c>
      <c r="CE382" t="s">
        <v>147</v>
      </c>
      <c r="CF382" s="3">
        <v>43777</v>
      </c>
      <c r="CI382">
        <v>1</v>
      </c>
      <c r="CJ382">
        <v>1</v>
      </c>
      <c r="CK382">
        <v>21</v>
      </c>
      <c r="CL382" t="s">
        <v>89</v>
      </c>
    </row>
    <row r="383" spans="1:90">
      <c r="A383" t="s">
        <v>72</v>
      </c>
      <c r="B383" t="s">
        <v>73</v>
      </c>
      <c r="C383" t="s">
        <v>74</v>
      </c>
      <c r="E383" t="str">
        <f>"FES1162721250"</f>
        <v>FES1162721250</v>
      </c>
      <c r="F383" s="3">
        <v>43774</v>
      </c>
      <c r="G383">
        <v>202005</v>
      </c>
      <c r="H383" t="s">
        <v>75</v>
      </c>
      <c r="I383" t="s">
        <v>76</v>
      </c>
      <c r="J383" t="s">
        <v>77</v>
      </c>
      <c r="K383" t="s">
        <v>78</v>
      </c>
      <c r="L383" t="s">
        <v>482</v>
      </c>
      <c r="M383" t="s">
        <v>483</v>
      </c>
      <c r="N383" t="s">
        <v>594</v>
      </c>
      <c r="O383" t="s">
        <v>82</v>
      </c>
      <c r="P383" t="str">
        <f>"2170715529                    "</f>
        <v xml:space="preserve">2170715529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6.87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 s="4">
        <v>39.58</v>
      </c>
      <c r="BM383" s="4">
        <v>5.94</v>
      </c>
      <c r="BN383" s="4">
        <v>45.52</v>
      </c>
      <c r="BO383" s="4">
        <v>45.52</v>
      </c>
      <c r="BQ383" t="s">
        <v>109</v>
      </c>
      <c r="BR383" t="s">
        <v>84</v>
      </c>
      <c r="BS383" s="3">
        <v>43775</v>
      </c>
      <c r="BT383" s="5">
        <v>0.33333333333333331</v>
      </c>
      <c r="BU383" t="s">
        <v>793</v>
      </c>
      <c r="BV383" t="s">
        <v>86</v>
      </c>
      <c r="BY383">
        <v>1200</v>
      </c>
      <c r="CC383" t="s">
        <v>483</v>
      </c>
      <c r="CD383">
        <v>1459</v>
      </c>
      <c r="CE383" t="s">
        <v>147</v>
      </c>
      <c r="CF383" s="3">
        <v>43776</v>
      </c>
      <c r="CI383">
        <v>1</v>
      </c>
      <c r="CJ383">
        <v>1</v>
      </c>
      <c r="CK383">
        <v>22</v>
      </c>
      <c r="CL383" t="s">
        <v>89</v>
      </c>
    </row>
    <row r="384" spans="1:90">
      <c r="A384" t="s">
        <v>72</v>
      </c>
      <c r="B384" t="s">
        <v>73</v>
      </c>
      <c r="C384" t="s">
        <v>74</v>
      </c>
      <c r="E384" t="str">
        <f>"FES1162721255"</f>
        <v>FES1162721255</v>
      </c>
      <c r="F384" s="3">
        <v>43774</v>
      </c>
      <c r="G384">
        <v>202005</v>
      </c>
      <c r="H384" t="s">
        <v>75</v>
      </c>
      <c r="I384" t="s">
        <v>76</v>
      </c>
      <c r="J384" t="s">
        <v>77</v>
      </c>
      <c r="K384" t="s">
        <v>78</v>
      </c>
      <c r="L384" t="s">
        <v>90</v>
      </c>
      <c r="M384" t="s">
        <v>91</v>
      </c>
      <c r="N384" t="s">
        <v>513</v>
      </c>
      <c r="O384" t="s">
        <v>798</v>
      </c>
      <c r="P384" t="str">
        <f>"2170715482                    "</f>
        <v xml:space="preserve">2170715482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437.5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100.67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 s="4">
        <v>580.04</v>
      </c>
      <c r="BM384" s="4">
        <v>87.01</v>
      </c>
      <c r="BN384" s="4">
        <v>667.05</v>
      </c>
      <c r="BO384" s="4">
        <v>667.05</v>
      </c>
      <c r="BP384" t="s">
        <v>799</v>
      </c>
      <c r="BQ384" t="s">
        <v>800</v>
      </c>
      <c r="BR384" t="s">
        <v>84</v>
      </c>
      <c r="BS384" s="3">
        <v>43774</v>
      </c>
      <c r="BT384" s="5">
        <v>0.46180555555555558</v>
      </c>
      <c r="BU384" t="s">
        <v>801</v>
      </c>
      <c r="BV384" t="s">
        <v>86</v>
      </c>
      <c r="BY384">
        <v>1200</v>
      </c>
      <c r="BZ384" t="s">
        <v>24</v>
      </c>
      <c r="CC384" t="s">
        <v>91</v>
      </c>
      <c r="CD384">
        <v>7493</v>
      </c>
      <c r="CE384" t="s">
        <v>147</v>
      </c>
      <c r="CF384" s="3">
        <v>43776</v>
      </c>
      <c r="CI384">
        <v>0</v>
      </c>
      <c r="CJ384">
        <v>0</v>
      </c>
      <c r="CK384">
        <v>21</v>
      </c>
      <c r="CL384" t="s">
        <v>89</v>
      </c>
    </row>
    <row r="385" spans="1:90">
      <c r="A385" t="s">
        <v>72</v>
      </c>
      <c r="B385" t="s">
        <v>73</v>
      </c>
      <c r="C385" t="s">
        <v>74</v>
      </c>
      <c r="E385" t="str">
        <f>"FES1162721256"</f>
        <v>FES1162721256</v>
      </c>
      <c r="F385" s="3">
        <v>43774</v>
      </c>
      <c r="G385">
        <v>202005</v>
      </c>
      <c r="H385" t="s">
        <v>75</v>
      </c>
      <c r="I385" t="s">
        <v>76</v>
      </c>
      <c r="J385" t="s">
        <v>77</v>
      </c>
      <c r="K385" t="s">
        <v>78</v>
      </c>
      <c r="L385" t="s">
        <v>662</v>
      </c>
      <c r="M385" t="s">
        <v>663</v>
      </c>
      <c r="N385" t="s">
        <v>802</v>
      </c>
      <c r="O385" t="s">
        <v>82</v>
      </c>
      <c r="P385" t="str">
        <f>"21707134643                   "</f>
        <v xml:space="preserve">21707134643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17.04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 s="4">
        <v>98.16</v>
      </c>
      <c r="BM385" s="4">
        <v>14.72</v>
      </c>
      <c r="BN385" s="4">
        <v>112.88</v>
      </c>
      <c r="BO385" s="4">
        <v>112.88</v>
      </c>
      <c r="BQ385" t="s">
        <v>121</v>
      </c>
      <c r="BR385" t="s">
        <v>84</v>
      </c>
      <c r="BS385" s="3">
        <v>43775</v>
      </c>
      <c r="BT385" s="5">
        <v>0.41666666666666669</v>
      </c>
      <c r="BU385" t="s">
        <v>803</v>
      </c>
      <c r="BV385" t="s">
        <v>86</v>
      </c>
      <c r="BY385">
        <v>1200</v>
      </c>
      <c r="CC385" t="s">
        <v>663</v>
      </c>
      <c r="CD385">
        <v>6500</v>
      </c>
      <c r="CE385" t="s">
        <v>147</v>
      </c>
      <c r="CF385" s="3">
        <v>43777</v>
      </c>
      <c r="CI385">
        <v>1</v>
      </c>
      <c r="CJ385">
        <v>1</v>
      </c>
      <c r="CK385">
        <v>23</v>
      </c>
      <c r="CL385" t="s">
        <v>89</v>
      </c>
    </row>
    <row r="386" spans="1:90">
      <c r="A386" t="s">
        <v>72</v>
      </c>
      <c r="B386" t="s">
        <v>73</v>
      </c>
      <c r="C386" t="s">
        <v>74</v>
      </c>
      <c r="E386" t="str">
        <f>"FES1162721242"</f>
        <v>FES1162721242</v>
      </c>
      <c r="F386" s="3">
        <v>43774</v>
      </c>
      <c r="G386">
        <v>202005</v>
      </c>
      <c r="H386" t="s">
        <v>75</v>
      </c>
      <c r="I386" t="s">
        <v>76</v>
      </c>
      <c r="J386" t="s">
        <v>77</v>
      </c>
      <c r="K386" t="s">
        <v>78</v>
      </c>
      <c r="L386" t="s">
        <v>90</v>
      </c>
      <c r="M386" t="s">
        <v>91</v>
      </c>
      <c r="N386" t="s">
        <v>401</v>
      </c>
      <c r="O386" t="s">
        <v>82</v>
      </c>
      <c r="P386" t="str">
        <f>"2170715519                    "</f>
        <v xml:space="preserve">2170715519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8.7899999999999991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 s="4">
        <v>50.66</v>
      </c>
      <c r="BM386" s="4">
        <v>7.6</v>
      </c>
      <c r="BN386" s="4">
        <v>58.26</v>
      </c>
      <c r="BO386" s="4">
        <v>58.26</v>
      </c>
      <c r="BQ386" t="s">
        <v>109</v>
      </c>
      <c r="BR386" t="s">
        <v>84</v>
      </c>
      <c r="BS386" s="3">
        <v>43775</v>
      </c>
      <c r="BT386" s="5">
        <v>0.41666666666666669</v>
      </c>
      <c r="BU386" t="s">
        <v>804</v>
      </c>
      <c r="BV386" t="s">
        <v>86</v>
      </c>
      <c r="BY386">
        <v>1200</v>
      </c>
      <c r="CC386" t="s">
        <v>91</v>
      </c>
      <c r="CD386">
        <v>7441</v>
      </c>
      <c r="CE386" t="s">
        <v>147</v>
      </c>
      <c r="CF386" s="3">
        <v>43776</v>
      </c>
      <c r="CI386">
        <v>1</v>
      </c>
      <c r="CJ386">
        <v>1</v>
      </c>
      <c r="CK386">
        <v>21</v>
      </c>
      <c r="CL386" t="s">
        <v>89</v>
      </c>
    </row>
    <row r="387" spans="1:90">
      <c r="A387" t="s">
        <v>72</v>
      </c>
      <c r="B387" t="s">
        <v>73</v>
      </c>
      <c r="C387" t="s">
        <v>74</v>
      </c>
      <c r="E387" t="str">
        <f>"FES1162721192"</f>
        <v>FES1162721192</v>
      </c>
      <c r="F387" s="3">
        <v>43774</v>
      </c>
      <c r="G387">
        <v>202005</v>
      </c>
      <c r="H387" t="s">
        <v>75</v>
      </c>
      <c r="I387" t="s">
        <v>76</v>
      </c>
      <c r="J387" t="s">
        <v>77</v>
      </c>
      <c r="K387" t="s">
        <v>78</v>
      </c>
      <c r="L387" t="s">
        <v>192</v>
      </c>
      <c r="M387" t="s">
        <v>193</v>
      </c>
      <c r="N387" t="s">
        <v>805</v>
      </c>
      <c r="O387" t="s">
        <v>82</v>
      </c>
      <c r="P387" t="str">
        <f>"2170713671                    "</f>
        <v xml:space="preserve">2170713671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17.04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 s="4">
        <v>98.16</v>
      </c>
      <c r="BM387" s="4">
        <v>14.72</v>
      </c>
      <c r="BN387" s="4">
        <v>112.88</v>
      </c>
      <c r="BO387" s="4">
        <v>112.88</v>
      </c>
      <c r="BQ387" t="s">
        <v>806</v>
      </c>
      <c r="BR387" t="s">
        <v>84</v>
      </c>
      <c r="BS387" s="3">
        <v>43775</v>
      </c>
      <c r="BT387" s="5">
        <v>0.41666666666666669</v>
      </c>
      <c r="BU387" t="s">
        <v>807</v>
      </c>
      <c r="BV387" t="s">
        <v>86</v>
      </c>
      <c r="BY387">
        <v>1200</v>
      </c>
      <c r="CA387" t="s">
        <v>123</v>
      </c>
      <c r="CC387" t="s">
        <v>193</v>
      </c>
      <c r="CD387">
        <v>7130</v>
      </c>
      <c r="CE387" t="s">
        <v>147</v>
      </c>
      <c r="CF387" s="3">
        <v>43776</v>
      </c>
      <c r="CI387">
        <v>1</v>
      </c>
      <c r="CJ387">
        <v>1</v>
      </c>
      <c r="CK387">
        <v>23</v>
      </c>
      <c r="CL387" t="s">
        <v>89</v>
      </c>
    </row>
    <row r="388" spans="1:90">
      <c r="A388" t="s">
        <v>72</v>
      </c>
      <c r="B388" t="s">
        <v>73</v>
      </c>
      <c r="C388" t="s">
        <v>74</v>
      </c>
      <c r="E388" t="str">
        <f>"FES1162721236"</f>
        <v>FES1162721236</v>
      </c>
      <c r="F388" s="3">
        <v>43774</v>
      </c>
      <c r="G388">
        <v>202005</v>
      </c>
      <c r="H388" t="s">
        <v>75</v>
      </c>
      <c r="I388" t="s">
        <v>76</v>
      </c>
      <c r="J388" t="s">
        <v>77</v>
      </c>
      <c r="K388" t="s">
        <v>78</v>
      </c>
      <c r="L388" t="s">
        <v>214</v>
      </c>
      <c r="M388" t="s">
        <v>214</v>
      </c>
      <c r="N388" t="s">
        <v>314</v>
      </c>
      <c r="O388" t="s">
        <v>82</v>
      </c>
      <c r="P388" t="str">
        <f>"217071551 0                   "</f>
        <v xml:space="preserve">217071551 0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17.04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 s="4">
        <v>98.16</v>
      </c>
      <c r="BM388" s="4">
        <v>14.72</v>
      </c>
      <c r="BN388" s="4">
        <v>112.88</v>
      </c>
      <c r="BO388" s="4">
        <v>112.88</v>
      </c>
      <c r="BQ388" t="s">
        <v>109</v>
      </c>
      <c r="BR388" t="s">
        <v>84</v>
      </c>
      <c r="BS388" s="3">
        <v>43775</v>
      </c>
      <c r="BT388" s="5">
        <v>0.45833333333333331</v>
      </c>
      <c r="BU388" t="s">
        <v>767</v>
      </c>
      <c r="BV388" t="s">
        <v>86</v>
      </c>
      <c r="BY388">
        <v>1200</v>
      </c>
      <c r="CC388" t="s">
        <v>214</v>
      </c>
      <c r="CD388">
        <v>7646</v>
      </c>
      <c r="CE388" t="s">
        <v>147</v>
      </c>
      <c r="CF388" s="3">
        <v>43776</v>
      </c>
      <c r="CI388">
        <v>1</v>
      </c>
      <c r="CJ388">
        <v>1</v>
      </c>
      <c r="CK388">
        <v>23</v>
      </c>
      <c r="CL388" t="s">
        <v>89</v>
      </c>
    </row>
    <row r="389" spans="1:90">
      <c r="A389" t="s">
        <v>72</v>
      </c>
      <c r="B389" t="s">
        <v>73</v>
      </c>
      <c r="C389" t="s">
        <v>74</v>
      </c>
      <c r="E389" t="str">
        <f>"FES1162721241"</f>
        <v>FES1162721241</v>
      </c>
      <c r="F389" s="3">
        <v>43774</v>
      </c>
      <c r="G389">
        <v>202005</v>
      </c>
      <c r="H389" t="s">
        <v>75</v>
      </c>
      <c r="I389" t="s">
        <v>76</v>
      </c>
      <c r="J389" t="s">
        <v>77</v>
      </c>
      <c r="K389" t="s">
        <v>78</v>
      </c>
      <c r="L389" t="s">
        <v>90</v>
      </c>
      <c r="M389" t="s">
        <v>91</v>
      </c>
      <c r="N389" t="s">
        <v>808</v>
      </c>
      <c r="O389" t="s">
        <v>82</v>
      </c>
      <c r="P389" t="str">
        <f>"2170715518                    "</f>
        <v xml:space="preserve">2170715518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8.7899999999999991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 s="4">
        <v>50.66</v>
      </c>
      <c r="BM389" s="4">
        <v>7.6</v>
      </c>
      <c r="BN389" s="4">
        <v>58.26</v>
      </c>
      <c r="BO389" s="4">
        <v>58.26</v>
      </c>
      <c r="BQ389" t="s">
        <v>543</v>
      </c>
      <c r="BR389" t="s">
        <v>84</v>
      </c>
      <c r="BS389" s="3">
        <v>43775</v>
      </c>
      <c r="BT389" s="5">
        <v>0.41666666666666669</v>
      </c>
      <c r="BU389" t="s">
        <v>809</v>
      </c>
      <c r="BV389" t="s">
        <v>86</v>
      </c>
      <c r="BY389">
        <v>1200</v>
      </c>
      <c r="CC389" t="s">
        <v>91</v>
      </c>
      <c r="CD389">
        <v>7405</v>
      </c>
      <c r="CE389" t="s">
        <v>147</v>
      </c>
      <c r="CF389" s="3">
        <v>43776</v>
      </c>
      <c r="CI389">
        <v>1</v>
      </c>
      <c r="CJ389">
        <v>1</v>
      </c>
      <c r="CK389">
        <v>21</v>
      </c>
      <c r="CL389" t="s">
        <v>89</v>
      </c>
    </row>
    <row r="390" spans="1:90">
      <c r="A390" t="s">
        <v>72</v>
      </c>
      <c r="B390" t="s">
        <v>73</v>
      </c>
      <c r="C390" t="s">
        <v>74</v>
      </c>
      <c r="E390" t="str">
        <f>"FES1162721248"</f>
        <v>FES1162721248</v>
      </c>
      <c r="F390" s="3">
        <v>43774</v>
      </c>
      <c r="G390">
        <v>202005</v>
      </c>
      <c r="H390" t="s">
        <v>75</v>
      </c>
      <c r="I390" t="s">
        <v>76</v>
      </c>
      <c r="J390" t="s">
        <v>77</v>
      </c>
      <c r="K390" t="s">
        <v>78</v>
      </c>
      <c r="L390" t="s">
        <v>90</v>
      </c>
      <c r="M390" t="s">
        <v>91</v>
      </c>
      <c r="N390" t="s">
        <v>810</v>
      </c>
      <c r="O390" t="s">
        <v>82</v>
      </c>
      <c r="P390" t="str">
        <f>"2170715526                    "</f>
        <v xml:space="preserve">2170715526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8.7899999999999991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 s="4">
        <v>50.66</v>
      </c>
      <c r="BM390" s="4">
        <v>7.6</v>
      </c>
      <c r="BN390" s="4">
        <v>58.26</v>
      </c>
      <c r="BO390" s="4">
        <v>58.26</v>
      </c>
      <c r="BR390" t="s">
        <v>84</v>
      </c>
      <c r="BS390" s="3">
        <v>43775</v>
      </c>
      <c r="BT390" s="5">
        <v>0.41666666666666669</v>
      </c>
      <c r="BU390" t="s">
        <v>811</v>
      </c>
      <c r="BV390" t="s">
        <v>86</v>
      </c>
      <c r="BY390">
        <v>1200</v>
      </c>
      <c r="CC390" t="s">
        <v>91</v>
      </c>
      <c r="CD390">
        <v>7405</v>
      </c>
      <c r="CE390" t="s">
        <v>147</v>
      </c>
      <c r="CF390" s="3">
        <v>43776</v>
      </c>
      <c r="CI390">
        <v>1</v>
      </c>
      <c r="CJ390">
        <v>1</v>
      </c>
      <c r="CK390">
        <v>21</v>
      </c>
      <c r="CL390" t="s">
        <v>89</v>
      </c>
    </row>
    <row r="391" spans="1:90">
      <c r="A391" t="s">
        <v>72</v>
      </c>
      <c r="B391" t="s">
        <v>73</v>
      </c>
      <c r="C391" t="s">
        <v>74</v>
      </c>
      <c r="E391" t="str">
        <f>"FES1162721240"</f>
        <v>FES1162721240</v>
      </c>
      <c r="F391" s="3">
        <v>43774</v>
      </c>
      <c r="G391">
        <v>202005</v>
      </c>
      <c r="H391" t="s">
        <v>75</v>
      </c>
      <c r="I391" t="s">
        <v>76</v>
      </c>
      <c r="J391" t="s">
        <v>77</v>
      </c>
      <c r="K391" t="s">
        <v>78</v>
      </c>
      <c r="L391" t="s">
        <v>90</v>
      </c>
      <c r="M391" t="s">
        <v>91</v>
      </c>
      <c r="N391" t="s">
        <v>533</v>
      </c>
      <c r="O391" t="s">
        <v>82</v>
      </c>
      <c r="P391" t="str">
        <f>"2170715517                    "</f>
        <v xml:space="preserve">2170715517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8.7899999999999991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 s="4">
        <v>50.66</v>
      </c>
      <c r="BM391" s="4">
        <v>7.6</v>
      </c>
      <c r="BN391" s="4">
        <v>58.26</v>
      </c>
      <c r="BO391" s="4">
        <v>58.26</v>
      </c>
      <c r="BQ391" t="s">
        <v>161</v>
      </c>
      <c r="BR391" t="s">
        <v>84</v>
      </c>
      <c r="BS391" s="3">
        <v>43775</v>
      </c>
      <c r="BT391" s="5">
        <v>0.41666666666666669</v>
      </c>
      <c r="BU391" t="s">
        <v>812</v>
      </c>
      <c r="BV391" t="s">
        <v>86</v>
      </c>
      <c r="BY391">
        <v>1200</v>
      </c>
      <c r="CC391" t="s">
        <v>91</v>
      </c>
      <c r="CD391">
        <v>7460</v>
      </c>
      <c r="CE391" t="s">
        <v>147</v>
      </c>
      <c r="CF391" s="3">
        <v>43776</v>
      </c>
      <c r="CI391">
        <v>1</v>
      </c>
      <c r="CJ391">
        <v>1</v>
      </c>
      <c r="CK391">
        <v>21</v>
      </c>
      <c r="CL391" t="s">
        <v>89</v>
      </c>
    </row>
    <row r="392" spans="1:90">
      <c r="A392" t="s">
        <v>72</v>
      </c>
      <c r="B392" t="s">
        <v>73</v>
      </c>
      <c r="C392" t="s">
        <v>74</v>
      </c>
      <c r="E392" t="str">
        <f>"FES1162721247"</f>
        <v>FES1162721247</v>
      </c>
      <c r="F392" s="3">
        <v>43774</v>
      </c>
      <c r="G392">
        <v>202005</v>
      </c>
      <c r="H392" t="s">
        <v>75</v>
      </c>
      <c r="I392" t="s">
        <v>76</v>
      </c>
      <c r="J392" t="s">
        <v>77</v>
      </c>
      <c r="K392" t="s">
        <v>78</v>
      </c>
      <c r="L392" t="s">
        <v>90</v>
      </c>
      <c r="M392" t="s">
        <v>91</v>
      </c>
      <c r="N392" t="s">
        <v>538</v>
      </c>
      <c r="O392" t="s">
        <v>82</v>
      </c>
      <c r="P392" t="str">
        <f>"2170715525                    "</f>
        <v xml:space="preserve">2170715525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8.7899999999999991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 s="4">
        <v>50.66</v>
      </c>
      <c r="BM392" s="4">
        <v>7.6</v>
      </c>
      <c r="BN392" s="4">
        <v>58.26</v>
      </c>
      <c r="BO392" s="4">
        <v>58.26</v>
      </c>
      <c r="BQ392" t="s">
        <v>109</v>
      </c>
      <c r="BR392" t="s">
        <v>84</v>
      </c>
      <c r="BS392" s="3">
        <v>43775</v>
      </c>
      <c r="BT392" s="5">
        <v>0.32430555555555557</v>
      </c>
      <c r="BU392" t="s">
        <v>813</v>
      </c>
      <c r="BV392" t="s">
        <v>86</v>
      </c>
      <c r="BY392">
        <v>1200</v>
      </c>
      <c r="CC392" t="s">
        <v>91</v>
      </c>
      <c r="CD392">
        <v>7530</v>
      </c>
      <c r="CE392" t="s">
        <v>147</v>
      </c>
      <c r="CF392" s="3">
        <v>43776</v>
      </c>
      <c r="CI392">
        <v>1</v>
      </c>
      <c r="CJ392">
        <v>1</v>
      </c>
      <c r="CK392">
        <v>21</v>
      </c>
      <c r="CL392" t="s">
        <v>89</v>
      </c>
    </row>
    <row r="393" spans="1:90">
      <c r="A393" t="s">
        <v>72</v>
      </c>
      <c r="B393" t="s">
        <v>73</v>
      </c>
      <c r="C393" t="s">
        <v>74</v>
      </c>
      <c r="E393" t="str">
        <f>"FES1162721238"</f>
        <v>FES1162721238</v>
      </c>
      <c r="F393" s="3">
        <v>43774</v>
      </c>
      <c r="G393">
        <v>202005</v>
      </c>
      <c r="H393" t="s">
        <v>75</v>
      </c>
      <c r="I393" t="s">
        <v>76</v>
      </c>
      <c r="J393" t="s">
        <v>77</v>
      </c>
      <c r="K393" t="s">
        <v>78</v>
      </c>
      <c r="L393" t="s">
        <v>90</v>
      </c>
      <c r="M393" t="s">
        <v>91</v>
      </c>
      <c r="N393" t="s">
        <v>533</v>
      </c>
      <c r="O393" t="s">
        <v>82</v>
      </c>
      <c r="P393" t="str">
        <f>"2170715515                    "</f>
        <v xml:space="preserve">2170715515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8.7899999999999991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 s="4">
        <v>50.66</v>
      </c>
      <c r="BM393" s="4">
        <v>7.6</v>
      </c>
      <c r="BN393" s="4">
        <v>58.26</v>
      </c>
      <c r="BO393" s="4">
        <v>58.26</v>
      </c>
      <c r="BQ393" t="s">
        <v>161</v>
      </c>
      <c r="BR393" t="s">
        <v>84</v>
      </c>
      <c r="BS393" s="3">
        <v>43775</v>
      </c>
      <c r="BT393" s="5">
        <v>0.41666666666666669</v>
      </c>
      <c r="BU393" t="s">
        <v>812</v>
      </c>
      <c r="BV393" t="s">
        <v>86</v>
      </c>
      <c r="BY393">
        <v>1200</v>
      </c>
      <c r="CC393" t="s">
        <v>91</v>
      </c>
      <c r="CD393">
        <v>7460</v>
      </c>
      <c r="CE393" t="s">
        <v>147</v>
      </c>
      <c r="CF393" s="3">
        <v>43776</v>
      </c>
      <c r="CI393">
        <v>1</v>
      </c>
      <c r="CJ393">
        <v>1</v>
      </c>
      <c r="CK393">
        <v>21</v>
      </c>
      <c r="CL393" t="s">
        <v>89</v>
      </c>
    </row>
    <row r="394" spans="1:90">
      <c r="A394" t="s">
        <v>72</v>
      </c>
      <c r="B394" t="s">
        <v>73</v>
      </c>
      <c r="C394" t="s">
        <v>74</v>
      </c>
      <c r="E394" t="str">
        <f>"FES1162721239"</f>
        <v>FES1162721239</v>
      </c>
      <c r="F394" s="3">
        <v>43774</v>
      </c>
      <c r="G394">
        <v>202005</v>
      </c>
      <c r="H394" t="s">
        <v>75</v>
      </c>
      <c r="I394" t="s">
        <v>76</v>
      </c>
      <c r="J394" t="s">
        <v>77</v>
      </c>
      <c r="K394" t="s">
        <v>78</v>
      </c>
      <c r="L394" t="s">
        <v>90</v>
      </c>
      <c r="M394" t="s">
        <v>91</v>
      </c>
      <c r="N394" t="s">
        <v>533</v>
      </c>
      <c r="O394" t="s">
        <v>82</v>
      </c>
      <c r="P394" t="str">
        <f>"2170715516                    "</f>
        <v xml:space="preserve">2170715516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8.7899999999999991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 s="4">
        <v>50.66</v>
      </c>
      <c r="BM394" s="4">
        <v>7.6</v>
      </c>
      <c r="BN394" s="4">
        <v>58.26</v>
      </c>
      <c r="BO394" s="4">
        <v>58.26</v>
      </c>
      <c r="BQ394" t="s">
        <v>161</v>
      </c>
      <c r="BR394" t="s">
        <v>84</v>
      </c>
      <c r="BS394" s="3">
        <v>43775</v>
      </c>
      <c r="BT394" s="5">
        <v>0.41666666666666669</v>
      </c>
      <c r="BU394" t="s">
        <v>812</v>
      </c>
      <c r="BV394" t="s">
        <v>86</v>
      </c>
      <c r="BY394">
        <v>1200</v>
      </c>
      <c r="CC394" t="s">
        <v>91</v>
      </c>
      <c r="CD394">
        <v>7460</v>
      </c>
      <c r="CE394" t="s">
        <v>147</v>
      </c>
      <c r="CF394" s="3">
        <v>43776</v>
      </c>
      <c r="CI394">
        <v>1</v>
      </c>
      <c r="CJ394">
        <v>1</v>
      </c>
      <c r="CK394">
        <v>21</v>
      </c>
      <c r="CL394" t="s">
        <v>89</v>
      </c>
    </row>
    <row r="395" spans="1:90">
      <c r="A395" t="s">
        <v>72</v>
      </c>
      <c r="B395" t="s">
        <v>73</v>
      </c>
      <c r="C395" t="s">
        <v>74</v>
      </c>
      <c r="E395" t="str">
        <f>"FES1162721019"</f>
        <v>FES1162721019</v>
      </c>
      <c r="F395" s="3">
        <v>43774</v>
      </c>
      <c r="G395">
        <v>202005</v>
      </c>
      <c r="H395" t="s">
        <v>75</v>
      </c>
      <c r="I395" t="s">
        <v>76</v>
      </c>
      <c r="J395" t="s">
        <v>77</v>
      </c>
      <c r="K395" t="s">
        <v>78</v>
      </c>
      <c r="L395" t="s">
        <v>482</v>
      </c>
      <c r="M395" t="s">
        <v>483</v>
      </c>
      <c r="N395" t="s">
        <v>544</v>
      </c>
      <c r="O395" t="s">
        <v>82</v>
      </c>
      <c r="P395" t="str">
        <f>"2170715303                    "</f>
        <v xml:space="preserve">2170715303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6.87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 s="4">
        <v>39.58</v>
      </c>
      <c r="BM395" s="4">
        <v>5.94</v>
      </c>
      <c r="BN395" s="4">
        <v>45.52</v>
      </c>
      <c r="BO395" s="4">
        <v>45.52</v>
      </c>
      <c r="BQ395" t="s">
        <v>545</v>
      </c>
      <c r="BR395" t="s">
        <v>84</v>
      </c>
      <c r="BS395" s="3">
        <v>43775</v>
      </c>
      <c r="BT395" s="5">
        <v>0.35069444444444442</v>
      </c>
      <c r="BU395" t="s">
        <v>814</v>
      </c>
      <c r="BV395" t="s">
        <v>86</v>
      </c>
      <c r="BY395">
        <v>1200</v>
      </c>
      <c r="CC395" t="s">
        <v>483</v>
      </c>
      <c r="CD395">
        <v>1459</v>
      </c>
      <c r="CE395" t="s">
        <v>147</v>
      </c>
      <c r="CI395">
        <v>1</v>
      </c>
      <c r="CJ395">
        <v>1</v>
      </c>
      <c r="CK395">
        <v>22</v>
      </c>
      <c r="CL395" t="s">
        <v>89</v>
      </c>
    </row>
    <row r="396" spans="1:90">
      <c r="A396" t="s">
        <v>72</v>
      </c>
      <c r="B396" t="s">
        <v>73</v>
      </c>
      <c r="C396" t="s">
        <v>74</v>
      </c>
      <c r="E396" t="str">
        <f>"FES1162720997"</f>
        <v>FES1162720997</v>
      </c>
      <c r="F396" s="3">
        <v>43774</v>
      </c>
      <c r="G396">
        <v>202005</v>
      </c>
      <c r="H396" t="s">
        <v>75</v>
      </c>
      <c r="I396" t="s">
        <v>76</v>
      </c>
      <c r="J396" t="s">
        <v>77</v>
      </c>
      <c r="K396" t="s">
        <v>78</v>
      </c>
      <c r="L396" t="s">
        <v>75</v>
      </c>
      <c r="M396" t="s">
        <v>76</v>
      </c>
      <c r="N396" t="s">
        <v>360</v>
      </c>
      <c r="O396" t="s">
        <v>82</v>
      </c>
      <c r="P396" t="str">
        <f>"2170715273                    "</f>
        <v xml:space="preserve">2170715273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6.87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 s="4">
        <v>39.58</v>
      </c>
      <c r="BM396" s="4">
        <v>5.94</v>
      </c>
      <c r="BN396" s="4">
        <v>45.52</v>
      </c>
      <c r="BO396" s="4">
        <v>45.52</v>
      </c>
      <c r="BQ396" t="s">
        <v>109</v>
      </c>
      <c r="BR396" t="s">
        <v>84</v>
      </c>
      <c r="BS396" s="3">
        <v>43775</v>
      </c>
      <c r="BT396" s="5">
        <v>0.3125</v>
      </c>
      <c r="BU396" t="s">
        <v>815</v>
      </c>
      <c r="BV396" t="s">
        <v>86</v>
      </c>
      <c r="BY396">
        <v>1200</v>
      </c>
      <c r="CA396" t="s">
        <v>797</v>
      </c>
      <c r="CC396" t="s">
        <v>76</v>
      </c>
      <c r="CD396">
        <v>1645</v>
      </c>
      <c r="CE396" t="s">
        <v>147</v>
      </c>
      <c r="CF396" s="3">
        <v>43776</v>
      </c>
      <c r="CI396">
        <v>1</v>
      </c>
      <c r="CJ396">
        <v>1</v>
      </c>
      <c r="CK396">
        <v>22</v>
      </c>
      <c r="CL396" t="s">
        <v>89</v>
      </c>
    </row>
    <row r="397" spans="1:90">
      <c r="A397" t="s">
        <v>72</v>
      </c>
      <c r="B397" t="s">
        <v>73</v>
      </c>
      <c r="C397" t="s">
        <v>74</v>
      </c>
      <c r="E397" t="str">
        <f>"FES1162721059"</f>
        <v>FES1162721059</v>
      </c>
      <c r="F397" s="3">
        <v>43774</v>
      </c>
      <c r="G397">
        <v>202005</v>
      </c>
      <c r="H397" t="s">
        <v>75</v>
      </c>
      <c r="I397" t="s">
        <v>76</v>
      </c>
      <c r="J397" t="s">
        <v>77</v>
      </c>
      <c r="K397" t="s">
        <v>78</v>
      </c>
      <c r="L397" t="s">
        <v>691</v>
      </c>
      <c r="M397" t="s">
        <v>692</v>
      </c>
      <c r="N397" t="s">
        <v>816</v>
      </c>
      <c r="O397" t="s">
        <v>82</v>
      </c>
      <c r="P397" t="str">
        <f>"217071525                     "</f>
        <v xml:space="preserve">217071525 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6.87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 s="4">
        <v>39.58</v>
      </c>
      <c r="BM397" s="4">
        <v>5.94</v>
      </c>
      <c r="BN397" s="4">
        <v>45.52</v>
      </c>
      <c r="BO397" s="4">
        <v>45.52</v>
      </c>
      <c r="BQ397" t="s">
        <v>817</v>
      </c>
      <c r="BR397" t="s">
        <v>84</v>
      </c>
      <c r="BS397" s="3">
        <v>43775</v>
      </c>
      <c r="BT397" s="5">
        <v>0.33333333333333331</v>
      </c>
      <c r="BU397" t="s">
        <v>818</v>
      </c>
      <c r="BV397" t="s">
        <v>86</v>
      </c>
      <c r="BY397">
        <v>1200</v>
      </c>
      <c r="CA397" t="s">
        <v>819</v>
      </c>
      <c r="CC397" t="s">
        <v>692</v>
      </c>
      <c r="CD397">
        <v>1559</v>
      </c>
      <c r="CE397" t="s">
        <v>147</v>
      </c>
      <c r="CF397" s="3">
        <v>43776</v>
      </c>
      <c r="CI397">
        <v>1</v>
      </c>
      <c r="CJ397">
        <v>1</v>
      </c>
      <c r="CK397">
        <v>22</v>
      </c>
      <c r="CL397" t="s">
        <v>89</v>
      </c>
    </row>
    <row r="398" spans="1:90">
      <c r="A398" t="s">
        <v>72</v>
      </c>
      <c r="B398" t="s">
        <v>73</v>
      </c>
      <c r="C398" t="s">
        <v>74</v>
      </c>
      <c r="E398" t="str">
        <f>"FES1162721160"</f>
        <v>FES1162721160</v>
      </c>
      <c r="F398" s="3">
        <v>43774</v>
      </c>
      <c r="G398">
        <v>202005</v>
      </c>
      <c r="H398" t="s">
        <v>75</v>
      </c>
      <c r="I398" t="s">
        <v>76</v>
      </c>
      <c r="J398" t="s">
        <v>77</v>
      </c>
      <c r="K398" t="s">
        <v>78</v>
      </c>
      <c r="L398" t="s">
        <v>172</v>
      </c>
      <c r="M398" t="s">
        <v>173</v>
      </c>
      <c r="N398" t="s">
        <v>820</v>
      </c>
      <c r="O398" t="s">
        <v>82</v>
      </c>
      <c r="P398" t="str">
        <f>"2170715438                    "</f>
        <v xml:space="preserve">2170715438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12.36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 s="4">
        <v>71.239999999999995</v>
      </c>
      <c r="BM398" s="4">
        <v>10.69</v>
      </c>
      <c r="BN398" s="4">
        <v>81.93</v>
      </c>
      <c r="BO398" s="4">
        <v>81.93</v>
      </c>
      <c r="BQ398" t="s">
        <v>142</v>
      </c>
      <c r="BR398" t="s">
        <v>84</v>
      </c>
      <c r="BS398" s="3">
        <v>43775</v>
      </c>
      <c r="BT398" s="5">
        <v>0.33333333333333331</v>
      </c>
      <c r="BU398" t="s">
        <v>821</v>
      </c>
      <c r="BV398" t="s">
        <v>86</v>
      </c>
      <c r="BY398">
        <v>1200</v>
      </c>
      <c r="CC398" t="s">
        <v>173</v>
      </c>
      <c r="CD398">
        <v>1739</v>
      </c>
      <c r="CE398" t="s">
        <v>147</v>
      </c>
      <c r="CF398" s="3">
        <v>43776</v>
      </c>
      <c r="CI398">
        <v>1</v>
      </c>
      <c r="CJ398">
        <v>1</v>
      </c>
      <c r="CK398">
        <v>24</v>
      </c>
      <c r="CL398" t="s">
        <v>89</v>
      </c>
    </row>
    <row r="399" spans="1:90">
      <c r="A399" t="s">
        <v>72</v>
      </c>
      <c r="B399" t="s">
        <v>73</v>
      </c>
      <c r="C399" t="s">
        <v>74</v>
      </c>
      <c r="E399" t="str">
        <f>"FES1162721222"</f>
        <v>FES1162721222</v>
      </c>
      <c r="F399" s="3">
        <v>43774</v>
      </c>
      <c r="G399">
        <v>202005</v>
      </c>
      <c r="H399" t="s">
        <v>75</v>
      </c>
      <c r="I399" t="s">
        <v>76</v>
      </c>
      <c r="J399" t="s">
        <v>77</v>
      </c>
      <c r="K399" t="s">
        <v>78</v>
      </c>
      <c r="L399" t="s">
        <v>90</v>
      </c>
      <c r="M399" t="s">
        <v>91</v>
      </c>
      <c r="N399" t="s">
        <v>538</v>
      </c>
      <c r="O399" t="s">
        <v>82</v>
      </c>
      <c r="P399" t="str">
        <f>"2170715495                    "</f>
        <v xml:space="preserve">2170715495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26.37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5.7</v>
      </c>
      <c r="BJ399">
        <v>3</v>
      </c>
      <c r="BK399">
        <v>6</v>
      </c>
      <c r="BL399" s="4">
        <v>151.91999999999999</v>
      </c>
      <c r="BM399" s="4">
        <v>22.79</v>
      </c>
      <c r="BN399" s="4">
        <v>174.71</v>
      </c>
      <c r="BO399" s="4">
        <v>174.71</v>
      </c>
      <c r="BQ399" t="s">
        <v>109</v>
      </c>
      <c r="BR399" t="s">
        <v>84</v>
      </c>
      <c r="BS399" s="3">
        <v>43775</v>
      </c>
      <c r="BT399" s="5">
        <v>0.41666666666666669</v>
      </c>
      <c r="BU399" t="s">
        <v>813</v>
      </c>
      <c r="BV399" t="s">
        <v>86</v>
      </c>
      <c r="BY399">
        <v>14896.32</v>
      </c>
      <c r="CC399" t="s">
        <v>91</v>
      </c>
      <c r="CD399">
        <v>7530</v>
      </c>
      <c r="CE399" t="s">
        <v>88</v>
      </c>
      <c r="CF399" s="3">
        <v>43776</v>
      </c>
      <c r="CI399">
        <v>1</v>
      </c>
      <c r="CJ399">
        <v>1</v>
      </c>
      <c r="CK399">
        <v>21</v>
      </c>
      <c r="CL399" t="s">
        <v>89</v>
      </c>
    </row>
    <row r="400" spans="1:90">
      <c r="A400" t="s">
        <v>72</v>
      </c>
      <c r="B400" t="s">
        <v>73</v>
      </c>
      <c r="C400" t="s">
        <v>74</v>
      </c>
      <c r="E400" t="str">
        <f>"FES1162721228"</f>
        <v>FES1162721228</v>
      </c>
      <c r="F400" s="3">
        <v>43774</v>
      </c>
      <c r="G400">
        <v>202005</v>
      </c>
      <c r="H400" t="s">
        <v>75</v>
      </c>
      <c r="I400" t="s">
        <v>76</v>
      </c>
      <c r="J400" t="s">
        <v>77</v>
      </c>
      <c r="K400" t="s">
        <v>78</v>
      </c>
      <c r="L400" t="s">
        <v>296</v>
      </c>
      <c r="M400" t="s">
        <v>297</v>
      </c>
      <c r="N400" t="s">
        <v>298</v>
      </c>
      <c r="O400" t="s">
        <v>82</v>
      </c>
      <c r="P400" t="str">
        <f>"2170715501                    "</f>
        <v xml:space="preserve">2170715501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28.58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3.3</v>
      </c>
      <c r="BJ400">
        <v>0.9</v>
      </c>
      <c r="BK400">
        <v>3.5</v>
      </c>
      <c r="BL400" s="4">
        <v>164.66</v>
      </c>
      <c r="BM400" s="4">
        <v>24.7</v>
      </c>
      <c r="BN400" s="4">
        <v>189.36</v>
      </c>
      <c r="BO400" s="4">
        <v>189.36</v>
      </c>
      <c r="BQ400" t="s">
        <v>121</v>
      </c>
      <c r="BR400" t="s">
        <v>84</v>
      </c>
      <c r="BS400" s="3">
        <v>43776</v>
      </c>
      <c r="BT400" s="5">
        <v>0.3756944444444445</v>
      </c>
      <c r="BU400" t="s">
        <v>658</v>
      </c>
      <c r="BV400" t="s">
        <v>86</v>
      </c>
      <c r="BY400">
        <v>4712.3999999999996</v>
      </c>
      <c r="CA400" t="s">
        <v>300</v>
      </c>
      <c r="CC400" t="s">
        <v>297</v>
      </c>
      <c r="CD400">
        <v>6849</v>
      </c>
      <c r="CE400" t="s">
        <v>88</v>
      </c>
      <c r="CF400" s="3">
        <v>43777</v>
      </c>
      <c r="CI400">
        <v>3</v>
      </c>
      <c r="CJ400">
        <v>2</v>
      </c>
      <c r="CK400">
        <v>23</v>
      </c>
      <c r="CL400" t="s">
        <v>89</v>
      </c>
    </row>
    <row r="401" spans="1:90">
      <c r="A401" t="s">
        <v>72</v>
      </c>
      <c r="B401" t="s">
        <v>73</v>
      </c>
      <c r="C401" t="s">
        <v>74</v>
      </c>
      <c r="E401" t="str">
        <f>"FES1162721283"</f>
        <v>FES1162721283</v>
      </c>
      <c r="F401" s="3">
        <v>43774</v>
      </c>
      <c r="G401">
        <v>202005</v>
      </c>
      <c r="H401" t="s">
        <v>75</v>
      </c>
      <c r="I401" t="s">
        <v>76</v>
      </c>
      <c r="J401" t="s">
        <v>77</v>
      </c>
      <c r="K401" t="s">
        <v>78</v>
      </c>
      <c r="L401" t="s">
        <v>90</v>
      </c>
      <c r="M401" t="s">
        <v>91</v>
      </c>
      <c r="N401" t="s">
        <v>190</v>
      </c>
      <c r="O401" t="s">
        <v>82</v>
      </c>
      <c r="P401" t="str">
        <f>"2170715567                    "</f>
        <v xml:space="preserve">2170715567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8.7899999999999991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1.3</v>
      </c>
      <c r="BJ401">
        <v>0.8</v>
      </c>
      <c r="BK401">
        <v>1.5</v>
      </c>
      <c r="BL401" s="4">
        <v>50.66</v>
      </c>
      <c r="BM401" s="4">
        <v>7.6</v>
      </c>
      <c r="BN401" s="4">
        <v>58.26</v>
      </c>
      <c r="BO401" s="4">
        <v>58.26</v>
      </c>
      <c r="BQ401" t="s">
        <v>109</v>
      </c>
      <c r="BR401" t="s">
        <v>84</v>
      </c>
      <c r="BS401" s="3">
        <v>43775</v>
      </c>
      <c r="BT401" s="5">
        <v>0.41666666666666669</v>
      </c>
      <c r="BU401" t="s">
        <v>822</v>
      </c>
      <c r="BV401" t="s">
        <v>86</v>
      </c>
      <c r="BY401">
        <v>4233.66</v>
      </c>
      <c r="CC401" t="s">
        <v>91</v>
      </c>
      <c r="CD401">
        <v>7441</v>
      </c>
      <c r="CE401" t="s">
        <v>88</v>
      </c>
      <c r="CF401" s="3">
        <v>43776</v>
      </c>
      <c r="CI401">
        <v>1</v>
      </c>
      <c r="CJ401">
        <v>1</v>
      </c>
      <c r="CK401">
        <v>21</v>
      </c>
      <c r="CL401" t="s">
        <v>89</v>
      </c>
    </row>
    <row r="402" spans="1:90">
      <c r="A402" t="s">
        <v>72</v>
      </c>
      <c r="B402" t="s">
        <v>73</v>
      </c>
      <c r="C402" t="s">
        <v>74</v>
      </c>
      <c r="E402" t="str">
        <f>"FES1162721274"</f>
        <v>FES1162721274</v>
      </c>
      <c r="F402" s="3">
        <v>43774</v>
      </c>
      <c r="G402">
        <v>202005</v>
      </c>
      <c r="H402" t="s">
        <v>75</v>
      </c>
      <c r="I402" t="s">
        <v>76</v>
      </c>
      <c r="J402" t="s">
        <v>77</v>
      </c>
      <c r="K402" t="s">
        <v>78</v>
      </c>
      <c r="L402" t="s">
        <v>90</v>
      </c>
      <c r="M402" t="s">
        <v>91</v>
      </c>
      <c r="N402" t="s">
        <v>823</v>
      </c>
      <c r="O402" t="s">
        <v>82</v>
      </c>
      <c r="P402" t="str">
        <f>"2170715559                    "</f>
        <v xml:space="preserve">2170715559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8.7899999999999991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1.4</v>
      </c>
      <c r="BJ402">
        <v>1.2</v>
      </c>
      <c r="BK402">
        <v>1.5</v>
      </c>
      <c r="BL402" s="4">
        <v>50.66</v>
      </c>
      <c r="BM402" s="4">
        <v>7.6</v>
      </c>
      <c r="BN402" s="4">
        <v>58.26</v>
      </c>
      <c r="BO402" s="4">
        <v>58.26</v>
      </c>
      <c r="BQ402" t="s">
        <v>142</v>
      </c>
      <c r="BR402" t="s">
        <v>84</v>
      </c>
      <c r="BS402" s="3">
        <v>43775</v>
      </c>
      <c r="BT402" s="5">
        <v>0.37708333333333338</v>
      </c>
      <c r="BU402" t="s">
        <v>824</v>
      </c>
      <c r="BV402" t="s">
        <v>86</v>
      </c>
      <c r="BY402">
        <v>5976.79</v>
      </c>
      <c r="CC402" t="s">
        <v>91</v>
      </c>
      <c r="CD402">
        <v>7441</v>
      </c>
      <c r="CE402" t="s">
        <v>88</v>
      </c>
      <c r="CF402" s="3">
        <v>43776</v>
      </c>
      <c r="CI402">
        <v>1</v>
      </c>
      <c r="CJ402">
        <v>1</v>
      </c>
      <c r="CK402">
        <v>21</v>
      </c>
      <c r="CL402" t="s">
        <v>89</v>
      </c>
    </row>
    <row r="403" spans="1:90">
      <c r="A403" t="s">
        <v>72</v>
      </c>
      <c r="B403" t="s">
        <v>73</v>
      </c>
      <c r="C403" t="s">
        <v>74</v>
      </c>
      <c r="E403" t="str">
        <f>"FES1162721158"</f>
        <v>FES1162721158</v>
      </c>
      <c r="F403" s="3">
        <v>43774</v>
      </c>
      <c r="G403">
        <v>202005</v>
      </c>
      <c r="H403" t="s">
        <v>75</v>
      </c>
      <c r="I403" t="s">
        <v>76</v>
      </c>
      <c r="J403" t="s">
        <v>77</v>
      </c>
      <c r="K403" t="s">
        <v>78</v>
      </c>
      <c r="L403" t="s">
        <v>825</v>
      </c>
      <c r="M403" t="s">
        <v>826</v>
      </c>
      <c r="N403" t="s">
        <v>827</v>
      </c>
      <c r="O403" t="s">
        <v>82</v>
      </c>
      <c r="P403" t="str">
        <f>"2170715434                    "</f>
        <v xml:space="preserve">2170715434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12.36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0.5</v>
      </c>
      <c r="BJ403">
        <v>0.9</v>
      </c>
      <c r="BK403">
        <v>1</v>
      </c>
      <c r="BL403" s="4">
        <v>71.239999999999995</v>
      </c>
      <c r="BM403" s="4">
        <v>10.69</v>
      </c>
      <c r="BN403" s="4">
        <v>81.93</v>
      </c>
      <c r="BO403" s="4">
        <v>81.93</v>
      </c>
      <c r="BQ403" t="s">
        <v>121</v>
      </c>
      <c r="BR403" t="s">
        <v>84</v>
      </c>
      <c r="BS403" s="3">
        <v>43775</v>
      </c>
      <c r="BT403" s="5">
        <v>0.375</v>
      </c>
      <c r="BU403" t="s">
        <v>694</v>
      </c>
      <c r="BV403" t="s">
        <v>86</v>
      </c>
      <c r="BY403">
        <v>4727.6899999999996</v>
      </c>
      <c r="CC403" t="s">
        <v>826</v>
      </c>
      <c r="CD403">
        <v>1759</v>
      </c>
      <c r="CE403" t="s">
        <v>88</v>
      </c>
      <c r="CF403" s="3">
        <v>43776</v>
      </c>
      <c r="CI403">
        <v>1</v>
      </c>
      <c r="CJ403">
        <v>1</v>
      </c>
      <c r="CK403">
        <v>24</v>
      </c>
      <c r="CL403" t="s">
        <v>89</v>
      </c>
    </row>
    <row r="404" spans="1:90">
      <c r="A404" t="s">
        <v>72</v>
      </c>
      <c r="B404" t="s">
        <v>73</v>
      </c>
      <c r="C404" t="s">
        <v>74</v>
      </c>
      <c r="E404" t="str">
        <f>"FES1162721169"</f>
        <v>FES1162721169</v>
      </c>
      <c r="F404" s="3">
        <v>43774</v>
      </c>
      <c r="G404">
        <v>202005</v>
      </c>
      <c r="H404" t="s">
        <v>75</v>
      </c>
      <c r="I404" t="s">
        <v>76</v>
      </c>
      <c r="J404" t="s">
        <v>77</v>
      </c>
      <c r="K404" t="s">
        <v>78</v>
      </c>
      <c r="L404" t="s">
        <v>75</v>
      </c>
      <c r="M404" t="s">
        <v>76</v>
      </c>
      <c r="N404" t="s">
        <v>828</v>
      </c>
      <c r="O404" t="s">
        <v>82</v>
      </c>
      <c r="P404" t="str">
        <f>"2170715455                    "</f>
        <v xml:space="preserve">2170715455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6.87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1.9</v>
      </c>
      <c r="BJ404">
        <v>1.2</v>
      </c>
      <c r="BK404">
        <v>2</v>
      </c>
      <c r="BL404" s="4">
        <v>39.58</v>
      </c>
      <c r="BM404" s="4">
        <v>5.94</v>
      </c>
      <c r="BN404" s="4">
        <v>45.52</v>
      </c>
      <c r="BO404" s="4">
        <v>45.52</v>
      </c>
      <c r="BQ404" t="s">
        <v>121</v>
      </c>
      <c r="BR404" t="s">
        <v>84</v>
      </c>
      <c r="BS404" s="3">
        <v>43775</v>
      </c>
      <c r="BT404" s="5">
        <v>0.375</v>
      </c>
      <c r="BU404" t="s">
        <v>829</v>
      </c>
      <c r="BV404" t="s">
        <v>86</v>
      </c>
      <c r="BY404">
        <v>6217.98</v>
      </c>
      <c r="CC404" t="s">
        <v>76</v>
      </c>
      <c r="CD404">
        <v>1609</v>
      </c>
      <c r="CE404" t="s">
        <v>88</v>
      </c>
      <c r="CF404" s="3">
        <v>43776</v>
      </c>
      <c r="CI404">
        <v>1</v>
      </c>
      <c r="CJ404">
        <v>1</v>
      </c>
      <c r="CK404">
        <v>22</v>
      </c>
      <c r="CL404" t="s">
        <v>89</v>
      </c>
    </row>
    <row r="405" spans="1:90">
      <c r="A405" t="s">
        <v>72</v>
      </c>
      <c r="B405" t="s">
        <v>73</v>
      </c>
      <c r="C405" t="s">
        <v>74</v>
      </c>
      <c r="E405" t="str">
        <f>"FES1162721157"</f>
        <v>FES1162721157</v>
      </c>
      <c r="F405" s="3">
        <v>43774</v>
      </c>
      <c r="G405">
        <v>202005</v>
      </c>
      <c r="H405" t="s">
        <v>75</v>
      </c>
      <c r="I405" t="s">
        <v>76</v>
      </c>
      <c r="J405" t="s">
        <v>77</v>
      </c>
      <c r="K405" t="s">
        <v>78</v>
      </c>
      <c r="L405" t="s">
        <v>546</v>
      </c>
      <c r="M405" t="s">
        <v>547</v>
      </c>
      <c r="N405" t="s">
        <v>830</v>
      </c>
      <c r="O405" t="s">
        <v>82</v>
      </c>
      <c r="P405" t="str">
        <f>"2170715435                    "</f>
        <v xml:space="preserve">2170715435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8.52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2.8</v>
      </c>
      <c r="BJ405">
        <v>2.9</v>
      </c>
      <c r="BK405">
        <v>3</v>
      </c>
      <c r="BL405" s="4">
        <v>49.07</v>
      </c>
      <c r="BM405" s="4">
        <v>7.36</v>
      </c>
      <c r="BN405" s="4">
        <v>56.43</v>
      </c>
      <c r="BO405" s="4">
        <v>56.43</v>
      </c>
      <c r="BQ405" t="s">
        <v>121</v>
      </c>
      <c r="BR405" t="s">
        <v>84</v>
      </c>
      <c r="BS405" s="3">
        <v>43775</v>
      </c>
      <c r="BT405" s="5">
        <v>0.33333333333333331</v>
      </c>
      <c r="BU405" t="s">
        <v>831</v>
      </c>
      <c r="BV405" t="s">
        <v>86</v>
      </c>
      <c r="BY405">
        <v>14664.96</v>
      </c>
      <c r="CC405" t="s">
        <v>547</v>
      </c>
      <c r="CD405">
        <v>1709</v>
      </c>
      <c r="CE405" t="s">
        <v>88</v>
      </c>
      <c r="CF405" s="3">
        <v>43776</v>
      </c>
      <c r="CI405">
        <v>1</v>
      </c>
      <c r="CJ405">
        <v>1</v>
      </c>
      <c r="CK405">
        <v>22</v>
      </c>
      <c r="CL405" t="s">
        <v>89</v>
      </c>
    </row>
    <row r="406" spans="1:90">
      <c r="A406" t="s">
        <v>72</v>
      </c>
      <c r="B406" t="s">
        <v>73</v>
      </c>
      <c r="C406" t="s">
        <v>74</v>
      </c>
      <c r="E406" t="str">
        <f>"FES1162721251"</f>
        <v>FES1162721251</v>
      </c>
      <c r="F406" s="3">
        <v>43774</v>
      </c>
      <c r="G406">
        <v>202005</v>
      </c>
      <c r="H406" t="s">
        <v>75</v>
      </c>
      <c r="I406" t="s">
        <v>76</v>
      </c>
      <c r="J406" t="s">
        <v>77</v>
      </c>
      <c r="K406" t="s">
        <v>78</v>
      </c>
      <c r="L406" t="s">
        <v>106</v>
      </c>
      <c r="M406" t="s">
        <v>107</v>
      </c>
      <c r="N406" t="s">
        <v>771</v>
      </c>
      <c r="O406" t="s">
        <v>82</v>
      </c>
      <c r="P406" t="str">
        <f>"2170715531                    "</f>
        <v xml:space="preserve">2170715531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8.7899999999999991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 s="4">
        <v>50.66</v>
      </c>
      <c r="BM406" s="4">
        <v>7.6</v>
      </c>
      <c r="BN406" s="4">
        <v>58.26</v>
      </c>
      <c r="BO406" s="4">
        <v>58.26</v>
      </c>
      <c r="BQ406" t="s">
        <v>109</v>
      </c>
      <c r="BR406" t="s">
        <v>84</v>
      </c>
      <c r="BS406" s="3">
        <v>43775</v>
      </c>
      <c r="BT406" s="5">
        <v>0.34930555555555554</v>
      </c>
      <c r="BU406" t="s">
        <v>772</v>
      </c>
      <c r="BV406" t="s">
        <v>86</v>
      </c>
      <c r="BY406">
        <v>1200</v>
      </c>
      <c r="CA406" t="s">
        <v>773</v>
      </c>
      <c r="CC406" t="s">
        <v>107</v>
      </c>
      <c r="CD406">
        <v>6012</v>
      </c>
      <c r="CE406" t="s">
        <v>147</v>
      </c>
      <c r="CF406" s="3">
        <v>43776</v>
      </c>
      <c r="CI406">
        <v>1</v>
      </c>
      <c r="CJ406">
        <v>1</v>
      </c>
      <c r="CK406">
        <v>21</v>
      </c>
      <c r="CL406" t="s">
        <v>89</v>
      </c>
    </row>
    <row r="407" spans="1:90">
      <c r="A407" t="s">
        <v>72</v>
      </c>
      <c r="B407" t="s">
        <v>73</v>
      </c>
      <c r="C407" t="s">
        <v>74</v>
      </c>
      <c r="E407" t="str">
        <f>"FES1162721178"</f>
        <v>FES1162721178</v>
      </c>
      <c r="F407" s="3">
        <v>43774</v>
      </c>
      <c r="G407">
        <v>202005</v>
      </c>
      <c r="H407" t="s">
        <v>75</v>
      </c>
      <c r="I407" t="s">
        <v>76</v>
      </c>
      <c r="J407" t="s">
        <v>77</v>
      </c>
      <c r="K407" t="s">
        <v>78</v>
      </c>
      <c r="L407" t="s">
        <v>133</v>
      </c>
      <c r="M407" t="s">
        <v>134</v>
      </c>
      <c r="N407" t="s">
        <v>696</v>
      </c>
      <c r="O407" t="s">
        <v>82</v>
      </c>
      <c r="P407" t="str">
        <f>"2170715468                    "</f>
        <v xml:space="preserve">2170715468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8.7899999999999991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 s="4">
        <v>50.66</v>
      </c>
      <c r="BM407" s="4">
        <v>7.6</v>
      </c>
      <c r="BN407" s="4">
        <v>58.26</v>
      </c>
      <c r="BO407" s="4">
        <v>58.26</v>
      </c>
      <c r="BQ407" t="s">
        <v>121</v>
      </c>
      <c r="BR407" t="s">
        <v>84</v>
      </c>
      <c r="BS407" s="3">
        <v>43775</v>
      </c>
      <c r="BT407" s="5">
        <v>0.39583333333333331</v>
      </c>
      <c r="BU407" t="s">
        <v>832</v>
      </c>
      <c r="BV407" t="s">
        <v>86</v>
      </c>
      <c r="BY407">
        <v>1200</v>
      </c>
      <c r="CC407" t="s">
        <v>134</v>
      </c>
      <c r="CD407">
        <v>5201</v>
      </c>
      <c r="CE407" t="s">
        <v>147</v>
      </c>
      <c r="CF407" s="3">
        <v>43776</v>
      </c>
      <c r="CI407">
        <v>1</v>
      </c>
      <c r="CJ407">
        <v>1</v>
      </c>
      <c r="CK407">
        <v>21</v>
      </c>
      <c r="CL407" t="s">
        <v>89</v>
      </c>
    </row>
    <row r="408" spans="1:90">
      <c r="A408" t="s">
        <v>72</v>
      </c>
      <c r="B408" t="s">
        <v>73</v>
      </c>
      <c r="C408" t="s">
        <v>74</v>
      </c>
      <c r="E408" t="str">
        <f>"FES1162721207"</f>
        <v>FES1162721207</v>
      </c>
      <c r="F408" s="3">
        <v>43774</v>
      </c>
      <c r="G408">
        <v>202005</v>
      </c>
      <c r="H408" t="s">
        <v>75</v>
      </c>
      <c r="I408" t="s">
        <v>76</v>
      </c>
      <c r="J408" t="s">
        <v>77</v>
      </c>
      <c r="K408" t="s">
        <v>78</v>
      </c>
      <c r="L408" t="s">
        <v>106</v>
      </c>
      <c r="M408" t="s">
        <v>107</v>
      </c>
      <c r="N408" t="s">
        <v>771</v>
      </c>
      <c r="O408" t="s">
        <v>82</v>
      </c>
      <c r="P408" t="str">
        <f>"2170715477                    "</f>
        <v xml:space="preserve">2170715477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8.7899999999999991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 s="4">
        <v>50.66</v>
      </c>
      <c r="BM408" s="4">
        <v>7.6</v>
      </c>
      <c r="BN408" s="4">
        <v>58.26</v>
      </c>
      <c r="BO408" s="4">
        <v>58.26</v>
      </c>
      <c r="BQ408" t="s">
        <v>109</v>
      </c>
      <c r="BR408" t="s">
        <v>84</v>
      </c>
      <c r="BS408" s="3">
        <v>43775</v>
      </c>
      <c r="BT408" s="5">
        <v>0.41666666666666669</v>
      </c>
      <c r="BU408" t="s">
        <v>772</v>
      </c>
      <c r="BV408" t="s">
        <v>86</v>
      </c>
      <c r="BY408">
        <v>1200</v>
      </c>
      <c r="CA408" t="s">
        <v>773</v>
      </c>
      <c r="CC408" t="s">
        <v>107</v>
      </c>
      <c r="CD408">
        <v>6012</v>
      </c>
      <c r="CE408" t="s">
        <v>147</v>
      </c>
      <c r="CF408" s="3">
        <v>43776</v>
      </c>
      <c r="CI408">
        <v>1</v>
      </c>
      <c r="CJ408">
        <v>1</v>
      </c>
      <c r="CK408">
        <v>21</v>
      </c>
      <c r="CL408" t="s">
        <v>89</v>
      </c>
    </row>
    <row r="409" spans="1:90">
      <c r="A409" t="s">
        <v>72</v>
      </c>
      <c r="B409" t="s">
        <v>73</v>
      </c>
      <c r="C409" t="s">
        <v>74</v>
      </c>
      <c r="E409" t="str">
        <f>"FES1162721224"</f>
        <v>FES1162721224</v>
      </c>
      <c r="F409" s="3">
        <v>43774</v>
      </c>
      <c r="G409">
        <v>202005</v>
      </c>
      <c r="H409" t="s">
        <v>75</v>
      </c>
      <c r="I409" t="s">
        <v>76</v>
      </c>
      <c r="J409" t="s">
        <v>77</v>
      </c>
      <c r="K409" t="s">
        <v>78</v>
      </c>
      <c r="L409" t="s">
        <v>106</v>
      </c>
      <c r="M409" t="s">
        <v>107</v>
      </c>
      <c r="N409" t="s">
        <v>150</v>
      </c>
      <c r="O409" t="s">
        <v>82</v>
      </c>
      <c r="P409" t="str">
        <f>"2170715485                    "</f>
        <v xml:space="preserve">2170715485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8.7899999999999991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 s="4">
        <v>50.66</v>
      </c>
      <c r="BM409" s="4">
        <v>7.6</v>
      </c>
      <c r="BN409" s="4">
        <v>58.26</v>
      </c>
      <c r="BO409" s="4">
        <v>58.26</v>
      </c>
      <c r="BQ409" t="s">
        <v>109</v>
      </c>
      <c r="BR409" t="s">
        <v>84</v>
      </c>
      <c r="BS409" s="3">
        <v>43775</v>
      </c>
      <c r="BT409" s="5">
        <v>0.34583333333333338</v>
      </c>
      <c r="BU409" t="s">
        <v>418</v>
      </c>
      <c r="BV409" t="s">
        <v>86</v>
      </c>
      <c r="BY409">
        <v>1200</v>
      </c>
      <c r="CA409" t="s">
        <v>111</v>
      </c>
      <c r="CC409" t="s">
        <v>107</v>
      </c>
      <c r="CD409">
        <v>6001</v>
      </c>
      <c r="CE409" t="s">
        <v>147</v>
      </c>
      <c r="CF409" s="3">
        <v>43776</v>
      </c>
      <c r="CI409">
        <v>1</v>
      </c>
      <c r="CJ409">
        <v>1</v>
      </c>
      <c r="CK409">
        <v>21</v>
      </c>
      <c r="CL409" t="s">
        <v>89</v>
      </c>
    </row>
    <row r="410" spans="1:90">
      <c r="A410" t="s">
        <v>72</v>
      </c>
      <c r="B410" t="s">
        <v>73</v>
      </c>
      <c r="C410" t="s">
        <v>74</v>
      </c>
      <c r="E410" t="str">
        <f>"FES1162721183"</f>
        <v>FES1162721183</v>
      </c>
      <c r="F410" s="3">
        <v>43774</v>
      </c>
      <c r="G410">
        <v>202005</v>
      </c>
      <c r="H410" t="s">
        <v>75</v>
      </c>
      <c r="I410" t="s">
        <v>76</v>
      </c>
      <c r="J410" t="s">
        <v>77</v>
      </c>
      <c r="K410" t="s">
        <v>78</v>
      </c>
      <c r="L410" t="s">
        <v>106</v>
      </c>
      <c r="M410" t="s">
        <v>107</v>
      </c>
      <c r="N410" t="s">
        <v>128</v>
      </c>
      <c r="O410" t="s">
        <v>82</v>
      </c>
      <c r="P410" t="str">
        <f>"2170717880                    "</f>
        <v xml:space="preserve">2170717880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8.7899999999999991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 s="4">
        <v>50.66</v>
      </c>
      <c r="BM410" s="4">
        <v>7.6</v>
      </c>
      <c r="BN410" s="4">
        <v>58.26</v>
      </c>
      <c r="BO410" s="4">
        <v>58.26</v>
      </c>
      <c r="BQ410" t="s">
        <v>121</v>
      </c>
      <c r="BR410" t="s">
        <v>84</v>
      </c>
      <c r="BS410" s="3">
        <v>43775</v>
      </c>
      <c r="BT410" s="5">
        <v>0.33333333333333331</v>
      </c>
      <c r="BU410" t="s">
        <v>833</v>
      </c>
      <c r="BV410" t="s">
        <v>86</v>
      </c>
      <c r="BY410">
        <v>1200</v>
      </c>
      <c r="CA410" t="s">
        <v>87</v>
      </c>
      <c r="CC410" t="s">
        <v>107</v>
      </c>
      <c r="CD410">
        <v>6001</v>
      </c>
      <c r="CE410" t="s">
        <v>147</v>
      </c>
      <c r="CF410" s="3">
        <v>43776</v>
      </c>
      <c r="CI410">
        <v>1</v>
      </c>
      <c r="CJ410">
        <v>1</v>
      </c>
      <c r="CK410">
        <v>21</v>
      </c>
      <c r="CL410" t="s">
        <v>89</v>
      </c>
    </row>
    <row r="411" spans="1:90">
      <c r="A411" t="s">
        <v>72</v>
      </c>
      <c r="B411" t="s">
        <v>73</v>
      </c>
      <c r="C411" t="s">
        <v>74</v>
      </c>
      <c r="E411" t="str">
        <f>"FES1162721275"</f>
        <v>FES1162721275</v>
      </c>
      <c r="F411" s="3">
        <v>43774</v>
      </c>
      <c r="G411">
        <v>202005</v>
      </c>
      <c r="H411" t="s">
        <v>75</v>
      </c>
      <c r="I411" t="s">
        <v>76</v>
      </c>
      <c r="J411" t="s">
        <v>77</v>
      </c>
      <c r="K411" t="s">
        <v>78</v>
      </c>
      <c r="L411" t="s">
        <v>106</v>
      </c>
      <c r="M411" t="s">
        <v>107</v>
      </c>
      <c r="N411" t="s">
        <v>150</v>
      </c>
      <c r="O411" t="s">
        <v>82</v>
      </c>
      <c r="P411" t="str">
        <f>"21707155555                   "</f>
        <v xml:space="preserve">21707155555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8.7899999999999991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 s="4">
        <v>50.66</v>
      </c>
      <c r="BM411" s="4">
        <v>7.6</v>
      </c>
      <c r="BN411" s="4">
        <v>58.26</v>
      </c>
      <c r="BO411" s="4">
        <v>58.26</v>
      </c>
      <c r="BQ411" t="s">
        <v>109</v>
      </c>
      <c r="BR411" t="s">
        <v>84</v>
      </c>
      <c r="BS411" s="3">
        <v>43775</v>
      </c>
      <c r="BT411" s="5">
        <v>0.34583333333333338</v>
      </c>
      <c r="BU411" t="s">
        <v>418</v>
      </c>
      <c r="BV411" t="s">
        <v>86</v>
      </c>
      <c r="BY411">
        <v>1200</v>
      </c>
      <c r="CA411" t="s">
        <v>111</v>
      </c>
      <c r="CC411" t="s">
        <v>107</v>
      </c>
      <c r="CD411">
        <v>6001</v>
      </c>
      <c r="CE411" t="s">
        <v>147</v>
      </c>
      <c r="CF411" s="3">
        <v>43776</v>
      </c>
      <c r="CI411">
        <v>1</v>
      </c>
      <c r="CJ411">
        <v>1</v>
      </c>
      <c r="CK411">
        <v>21</v>
      </c>
      <c r="CL411" t="s">
        <v>89</v>
      </c>
    </row>
    <row r="412" spans="1:90">
      <c r="A412" t="s">
        <v>72</v>
      </c>
      <c r="B412" t="s">
        <v>73</v>
      </c>
      <c r="C412" t="s">
        <v>74</v>
      </c>
      <c r="E412" t="str">
        <f>"FES1162721179"</f>
        <v>FES1162721179</v>
      </c>
      <c r="F412" s="3">
        <v>43774</v>
      </c>
      <c r="G412">
        <v>202005</v>
      </c>
      <c r="H412" t="s">
        <v>75</v>
      </c>
      <c r="I412" t="s">
        <v>76</v>
      </c>
      <c r="J412" t="s">
        <v>77</v>
      </c>
      <c r="K412" t="s">
        <v>78</v>
      </c>
      <c r="L412" t="s">
        <v>681</v>
      </c>
      <c r="M412" t="s">
        <v>682</v>
      </c>
      <c r="N412" t="s">
        <v>683</v>
      </c>
      <c r="O412" t="s">
        <v>82</v>
      </c>
      <c r="P412" t="str">
        <f>"217071546+9                   "</f>
        <v xml:space="preserve">217071546+9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12.36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 s="4">
        <v>71.239999999999995</v>
      </c>
      <c r="BM412" s="4">
        <v>10.69</v>
      </c>
      <c r="BN412" s="4">
        <v>81.93</v>
      </c>
      <c r="BO412" s="4">
        <v>81.93</v>
      </c>
      <c r="BQ412" t="s">
        <v>121</v>
      </c>
      <c r="BR412" t="s">
        <v>84</v>
      </c>
      <c r="BS412" s="3">
        <v>43775</v>
      </c>
      <c r="BT412" s="5">
        <v>0.38819444444444445</v>
      </c>
      <c r="BU412" t="s">
        <v>834</v>
      </c>
      <c r="BV412" t="s">
        <v>86</v>
      </c>
      <c r="BY412">
        <v>1200</v>
      </c>
      <c r="CA412" t="s">
        <v>685</v>
      </c>
      <c r="CC412" t="s">
        <v>682</v>
      </c>
      <c r="CD412">
        <v>1961</v>
      </c>
      <c r="CE412" t="s">
        <v>147</v>
      </c>
      <c r="CF412" s="3">
        <v>43776</v>
      </c>
      <c r="CI412">
        <v>1</v>
      </c>
      <c r="CJ412">
        <v>1</v>
      </c>
      <c r="CK412">
        <v>24</v>
      </c>
      <c r="CL412" t="s">
        <v>89</v>
      </c>
    </row>
    <row r="413" spans="1:90">
      <c r="A413" t="s">
        <v>72</v>
      </c>
      <c r="B413" t="s">
        <v>73</v>
      </c>
      <c r="C413" t="s">
        <v>74</v>
      </c>
      <c r="E413" t="str">
        <f>"FES1162721219"</f>
        <v>FES1162721219</v>
      </c>
      <c r="F413" s="3">
        <v>43774</v>
      </c>
      <c r="G413">
        <v>202005</v>
      </c>
      <c r="H413" t="s">
        <v>75</v>
      </c>
      <c r="I413" t="s">
        <v>76</v>
      </c>
      <c r="J413" t="s">
        <v>77</v>
      </c>
      <c r="K413" t="s">
        <v>78</v>
      </c>
      <c r="L413" t="s">
        <v>124</v>
      </c>
      <c r="M413" t="s">
        <v>125</v>
      </c>
      <c r="N413" t="s">
        <v>487</v>
      </c>
      <c r="O413" t="s">
        <v>82</v>
      </c>
      <c r="P413" t="str">
        <f>"2170714351                    "</f>
        <v xml:space="preserve">2170714351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6.87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 s="4">
        <v>39.58</v>
      </c>
      <c r="BM413" s="4">
        <v>5.94</v>
      </c>
      <c r="BN413" s="4">
        <v>45.52</v>
      </c>
      <c r="BO413" s="4">
        <v>45.52</v>
      </c>
      <c r="BQ413" t="s">
        <v>835</v>
      </c>
      <c r="BR413" t="s">
        <v>84</v>
      </c>
      <c r="BS413" s="3">
        <v>43775</v>
      </c>
      <c r="BT413" s="5">
        <v>0.3354166666666667</v>
      </c>
      <c r="BU413" t="s">
        <v>836</v>
      </c>
      <c r="BV413" t="s">
        <v>86</v>
      </c>
      <c r="BY413">
        <v>1200</v>
      </c>
      <c r="CA413" t="s">
        <v>837</v>
      </c>
      <c r="CC413" t="s">
        <v>125</v>
      </c>
      <c r="CD413">
        <v>2094</v>
      </c>
      <c r="CE413" t="s">
        <v>147</v>
      </c>
      <c r="CF413" s="3">
        <v>43776</v>
      </c>
      <c r="CI413">
        <v>1</v>
      </c>
      <c r="CJ413">
        <v>1</v>
      </c>
      <c r="CK413">
        <v>22</v>
      </c>
      <c r="CL413" t="s">
        <v>89</v>
      </c>
    </row>
    <row r="414" spans="1:90">
      <c r="A414" t="s">
        <v>72</v>
      </c>
      <c r="B414" t="s">
        <v>73</v>
      </c>
      <c r="C414" t="s">
        <v>74</v>
      </c>
      <c r="E414" t="str">
        <f>"FES1162721232"</f>
        <v>FES1162721232</v>
      </c>
      <c r="F414" s="3">
        <v>43774</v>
      </c>
      <c r="G414">
        <v>202005</v>
      </c>
      <c r="H414" t="s">
        <v>75</v>
      </c>
      <c r="I414" t="s">
        <v>76</v>
      </c>
      <c r="J414" t="s">
        <v>77</v>
      </c>
      <c r="K414" t="s">
        <v>78</v>
      </c>
      <c r="L414" t="s">
        <v>124</v>
      </c>
      <c r="M414" t="s">
        <v>125</v>
      </c>
      <c r="N414" t="s">
        <v>218</v>
      </c>
      <c r="O414" t="s">
        <v>82</v>
      </c>
      <c r="P414" t="str">
        <f>"2170715506                    "</f>
        <v xml:space="preserve">2170715506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6.87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 s="4">
        <v>39.58</v>
      </c>
      <c r="BM414" s="4">
        <v>5.94</v>
      </c>
      <c r="BN414" s="4">
        <v>45.52</v>
      </c>
      <c r="BO414" s="4">
        <v>45.52</v>
      </c>
      <c r="BQ414" t="s">
        <v>121</v>
      </c>
      <c r="BR414" t="s">
        <v>84</v>
      </c>
      <c r="BS414" s="3">
        <v>43775</v>
      </c>
      <c r="BT414" s="5">
        <v>0.3756944444444445</v>
      </c>
      <c r="BU414" t="s">
        <v>838</v>
      </c>
      <c r="BV414" t="s">
        <v>86</v>
      </c>
      <c r="BY414">
        <v>1200</v>
      </c>
      <c r="CA414" t="s">
        <v>837</v>
      </c>
      <c r="CC414" t="s">
        <v>125</v>
      </c>
      <c r="CD414">
        <v>2094</v>
      </c>
      <c r="CE414" t="s">
        <v>147</v>
      </c>
      <c r="CF414" s="3">
        <v>43776</v>
      </c>
      <c r="CI414">
        <v>1</v>
      </c>
      <c r="CJ414">
        <v>1</v>
      </c>
      <c r="CK414">
        <v>22</v>
      </c>
      <c r="CL414" t="s">
        <v>89</v>
      </c>
    </row>
    <row r="415" spans="1:90">
      <c r="A415" t="s">
        <v>72</v>
      </c>
      <c r="B415" t="s">
        <v>73</v>
      </c>
      <c r="C415" t="s">
        <v>74</v>
      </c>
      <c r="E415" t="str">
        <f>"FES1162721286"</f>
        <v>FES1162721286</v>
      </c>
      <c r="F415" s="3">
        <v>43774</v>
      </c>
      <c r="G415">
        <v>202005</v>
      </c>
      <c r="H415" t="s">
        <v>75</v>
      </c>
      <c r="I415" t="s">
        <v>76</v>
      </c>
      <c r="J415" t="s">
        <v>77</v>
      </c>
      <c r="K415" t="s">
        <v>78</v>
      </c>
      <c r="L415" t="s">
        <v>90</v>
      </c>
      <c r="M415" t="s">
        <v>91</v>
      </c>
      <c r="N415" t="s">
        <v>538</v>
      </c>
      <c r="O415" t="s">
        <v>82</v>
      </c>
      <c r="P415" t="str">
        <f>"21707155470                   "</f>
        <v xml:space="preserve">21707155470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8.7899999999999991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 s="4">
        <v>50.66</v>
      </c>
      <c r="BM415" s="4">
        <v>7.6</v>
      </c>
      <c r="BN415" s="4">
        <v>58.26</v>
      </c>
      <c r="BO415" s="4">
        <v>58.26</v>
      </c>
      <c r="BQ415" t="s">
        <v>109</v>
      </c>
      <c r="BR415" t="s">
        <v>84</v>
      </c>
      <c r="BS415" s="3">
        <v>43775</v>
      </c>
      <c r="BT415" s="5">
        <v>0.32430555555555557</v>
      </c>
      <c r="BU415" t="s">
        <v>813</v>
      </c>
      <c r="BV415" t="s">
        <v>86</v>
      </c>
      <c r="BY415">
        <v>1200</v>
      </c>
      <c r="CC415" t="s">
        <v>91</v>
      </c>
      <c r="CD415">
        <v>7530</v>
      </c>
      <c r="CE415" t="s">
        <v>147</v>
      </c>
      <c r="CF415" s="3">
        <v>43776</v>
      </c>
      <c r="CI415">
        <v>1</v>
      </c>
      <c r="CJ415">
        <v>1</v>
      </c>
      <c r="CK415">
        <v>21</v>
      </c>
      <c r="CL415" t="s">
        <v>89</v>
      </c>
    </row>
    <row r="416" spans="1:90">
      <c r="A416" t="s">
        <v>72</v>
      </c>
      <c r="B416" t="s">
        <v>73</v>
      </c>
      <c r="C416" t="s">
        <v>74</v>
      </c>
      <c r="E416" t="str">
        <f>"FES1162721197"</f>
        <v>FES1162721197</v>
      </c>
      <c r="F416" s="3">
        <v>43774</v>
      </c>
      <c r="G416">
        <v>202005</v>
      </c>
      <c r="H416" t="s">
        <v>75</v>
      </c>
      <c r="I416" t="s">
        <v>76</v>
      </c>
      <c r="J416" t="s">
        <v>77</v>
      </c>
      <c r="K416" t="s">
        <v>78</v>
      </c>
      <c r="L416" t="s">
        <v>270</v>
      </c>
      <c r="M416" t="s">
        <v>271</v>
      </c>
      <c r="N416" t="s">
        <v>779</v>
      </c>
      <c r="O416" t="s">
        <v>82</v>
      </c>
      <c r="P416" t="str">
        <f>"2170714877                    "</f>
        <v xml:space="preserve">2170714877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17.579999999999998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1.8</v>
      </c>
      <c r="BJ416">
        <v>3.8</v>
      </c>
      <c r="BK416">
        <v>4</v>
      </c>
      <c r="BL416" s="4">
        <v>101.29</v>
      </c>
      <c r="BM416" s="4">
        <v>15.19</v>
      </c>
      <c r="BN416" s="4">
        <v>116.48</v>
      </c>
      <c r="BO416" s="4">
        <v>116.48</v>
      </c>
      <c r="BQ416" t="s">
        <v>121</v>
      </c>
      <c r="BR416" t="s">
        <v>84</v>
      </c>
      <c r="BS416" s="3">
        <v>43775</v>
      </c>
      <c r="BT416" s="5">
        <v>0.37638888888888888</v>
      </c>
      <c r="BU416" t="s">
        <v>780</v>
      </c>
      <c r="BV416" t="s">
        <v>86</v>
      </c>
      <c r="BY416">
        <v>19182.8</v>
      </c>
      <c r="CA416" t="s">
        <v>773</v>
      </c>
      <c r="CC416" t="s">
        <v>271</v>
      </c>
      <c r="CD416">
        <v>6220</v>
      </c>
      <c r="CE416" t="s">
        <v>88</v>
      </c>
      <c r="CF416" s="3">
        <v>43776</v>
      </c>
      <c r="CI416">
        <v>1</v>
      </c>
      <c r="CJ416">
        <v>1</v>
      </c>
      <c r="CK416">
        <v>21</v>
      </c>
      <c r="CL416" t="s">
        <v>89</v>
      </c>
    </row>
    <row r="417" spans="1:90">
      <c r="A417" t="s">
        <v>72</v>
      </c>
      <c r="B417" t="s">
        <v>73</v>
      </c>
      <c r="C417" t="s">
        <v>74</v>
      </c>
      <c r="E417" t="str">
        <f>"FES1162721204"</f>
        <v>FES1162721204</v>
      </c>
      <c r="F417" s="3">
        <v>43774</v>
      </c>
      <c r="G417">
        <v>202005</v>
      </c>
      <c r="H417" t="s">
        <v>75</v>
      </c>
      <c r="I417" t="s">
        <v>76</v>
      </c>
      <c r="J417" t="s">
        <v>77</v>
      </c>
      <c r="K417" t="s">
        <v>78</v>
      </c>
      <c r="L417" t="s">
        <v>270</v>
      </c>
      <c r="M417" t="s">
        <v>271</v>
      </c>
      <c r="N417" t="s">
        <v>618</v>
      </c>
      <c r="O417" t="s">
        <v>82</v>
      </c>
      <c r="P417" t="str">
        <f>"2170715472                    "</f>
        <v xml:space="preserve">2170715472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15.38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3.1</v>
      </c>
      <c r="BJ417">
        <v>1.5</v>
      </c>
      <c r="BK417">
        <v>3.5</v>
      </c>
      <c r="BL417" s="4">
        <v>88.63</v>
      </c>
      <c r="BM417" s="4">
        <v>13.29</v>
      </c>
      <c r="BN417" s="4">
        <v>101.92</v>
      </c>
      <c r="BO417" s="4">
        <v>101.92</v>
      </c>
      <c r="BQ417" t="s">
        <v>121</v>
      </c>
      <c r="BR417" t="s">
        <v>84</v>
      </c>
      <c r="BS417" s="3">
        <v>43775</v>
      </c>
      <c r="BT417" s="5">
        <v>0.36458333333333331</v>
      </c>
      <c r="BU417" t="s">
        <v>839</v>
      </c>
      <c r="BV417" t="s">
        <v>86</v>
      </c>
      <c r="BY417">
        <v>7252.93</v>
      </c>
      <c r="CA417" t="s">
        <v>773</v>
      </c>
      <c r="CC417" t="s">
        <v>271</v>
      </c>
      <c r="CD417">
        <v>6220</v>
      </c>
      <c r="CE417" t="s">
        <v>88</v>
      </c>
      <c r="CF417" s="3">
        <v>43776</v>
      </c>
      <c r="CI417">
        <v>1</v>
      </c>
      <c r="CJ417">
        <v>1</v>
      </c>
      <c r="CK417">
        <v>21</v>
      </c>
      <c r="CL417" t="s">
        <v>89</v>
      </c>
    </row>
    <row r="418" spans="1:90">
      <c r="A418" t="s">
        <v>72</v>
      </c>
      <c r="B418" t="s">
        <v>73</v>
      </c>
      <c r="C418" t="s">
        <v>74</v>
      </c>
      <c r="E418" t="str">
        <f>"FES1162721200"</f>
        <v>FES1162721200</v>
      </c>
      <c r="F418" s="3">
        <v>43774</v>
      </c>
      <c r="G418">
        <v>202005</v>
      </c>
      <c r="H418" t="s">
        <v>75</v>
      </c>
      <c r="I418" t="s">
        <v>76</v>
      </c>
      <c r="J418" t="s">
        <v>77</v>
      </c>
      <c r="K418" t="s">
        <v>78</v>
      </c>
      <c r="L418" t="s">
        <v>106</v>
      </c>
      <c r="M418" t="s">
        <v>107</v>
      </c>
      <c r="N418" t="s">
        <v>840</v>
      </c>
      <c r="O418" t="s">
        <v>82</v>
      </c>
      <c r="P418" t="str">
        <f>"2170715329                    "</f>
        <v xml:space="preserve">2170715329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17.579999999999998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4</v>
      </c>
      <c r="BJ418">
        <v>1.5</v>
      </c>
      <c r="BK418">
        <v>4</v>
      </c>
      <c r="BL418" s="4">
        <v>101.29</v>
      </c>
      <c r="BM418" s="4">
        <v>15.19</v>
      </c>
      <c r="BN418" s="4">
        <v>116.48</v>
      </c>
      <c r="BO418" s="4">
        <v>116.48</v>
      </c>
      <c r="BQ418" t="s">
        <v>121</v>
      </c>
      <c r="BR418" t="s">
        <v>84</v>
      </c>
      <c r="BS418" s="3">
        <v>43775</v>
      </c>
      <c r="BT418" s="5">
        <v>0.3979166666666667</v>
      </c>
      <c r="BU418" t="s">
        <v>841</v>
      </c>
      <c r="BV418" t="s">
        <v>86</v>
      </c>
      <c r="BY418">
        <v>7251.01</v>
      </c>
      <c r="CA418" t="s">
        <v>111</v>
      </c>
      <c r="CC418" t="s">
        <v>107</v>
      </c>
      <c r="CD418">
        <v>6014</v>
      </c>
      <c r="CE418" t="s">
        <v>88</v>
      </c>
      <c r="CF418" s="3">
        <v>43776</v>
      </c>
      <c r="CI418">
        <v>1</v>
      </c>
      <c r="CJ418">
        <v>1</v>
      </c>
      <c r="CK418">
        <v>21</v>
      </c>
      <c r="CL418" t="s">
        <v>89</v>
      </c>
    </row>
    <row r="419" spans="1:90">
      <c r="A419" t="s">
        <v>72</v>
      </c>
      <c r="B419" t="s">
        <v>73</v>
      </c>
      <c r="C419" t="s">
        <v>74</v>
      </c>
      <c r="E419" t="str">
        <f>"FES1162721246"</f>
        <v>FES1162721246</v>
      </c>
      <c r="F419" s="3">
        <v>43774</v>
      </c>
      <c r="G419">
        <v>202005</v>
      </c>
      <c r="H419" t="s">
        <v>75</v>
      </c>
      <c r="I419" t="s">
        <v>76</v>
      </c>
      <c r="J419" t="s">
        <v>77</v>
      </c>
      <c r="K419" t="s">
        <v>78</v>
      </c>
      <c r="L419" t="s">
        <v>106</v>
      </c>
      <c r="M419" t="s">
        <v>107</v>
      </c>
      <c r="N419" t="s">
        <v>842</v>
      </c>
      <c r="O419" t="s">
        <v>82</v>
      </c>
      <c r="P419" t="str">
        <f>"2170715524                    "</f>
        <v xml:space="preserve">2170715524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8.7899999999999991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0.9</v>
      </c>
      <c r="BJ419">
        <v>2</v>
      </c>
      <c r="BK419">
        <v>2</v>
      </c>
      <c r="BL419" s="4">
        <v>50.66</v>
      </c>
      <c r="BM419" s="4">
        <v>7.6</v>
      </c>
      <c r="BN419" s="4">
        <v>58.26</v>
      </c>
      <c r="BO419" s="4">
        <v>58.26</v>
      </c>
      <c r="BQ419" t="s">
        <v>121</v>
      </c>
      <c r="BR419" t="s">
        <v>84</v>
      </c>
      <c r="BS419" s="3">
        <v>43775</v>
      </c>
      <c r="BT419" s="5">
        <v>0.36736111111111108</v>
      </c>
      <c r="BU419" t="s">
        <v>638</v>
      </c>
      <c r="BV419" t="s">
        <v>86</v>
      </c>
      <c r="BY419">
        <v>9960.86</v>
      </c>
      <c r="CA419" t="s">
        <v>111</v>
      </c>
      <c r="CC419" t="s">
        <v>107</v>
      </c>
      <c r="CD419">
        <v>6001</v>
      </c>
      <c r="CE419" t="s">
        <v>88</v>
      </c>
      <c r="CF419" s="3">
        <v>43776</v>
      </c>
      <c r="CI419">
        <v>1</v>
      </c>
      <c r="CJ419">
        <v>1</v>
      </c>
      <c r="CK419">
        <v>21</v>
      </c>
      <c r="CL419" t="s">
        <v>89</v>
      </c>
    </row>
    <row r="420" spans="1:90">
      <c r="A420" t="s">
        <v>72</v>
      </c>
      <c r="B420" t="s">
        <v>73</v>
      </c>
      <c r="C420" t="s">
        <v>74</v>
      </c>
      <c r="E420" t="str">
        <f>"FES1162721205"</f>
        <v>FES1162721205</v>
      </c>
      <c r="F420" s="3">
        <v>43774</v>
      </c>
      <c r="G420">
        <v>202005</v>
      </c>
      <c r="H420" t="s">
        <v>75</v>
      </c>
      <c r="I420" t="s">
        <v>76</v>
      </c>
      <c r="J420" t="s">
        <v>77</v>
      </c>
      <c r="K420" t="s">
        <v>78</v>
      </c>
      <c r="L420" t="s">
        <v>106</v>
      </c>
      <c r="M420" t="s">
        <v>107</v>
      </c>
      <c r="N420" t="s">
        <v>843</v>
      </c>
      <c r="O420" t="s">
        <v>82</v>
      </c>
      <c r="P420" t="str">
        <f>"2170715475                    "</f>
        <v xml:space="preserve">2170715475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8.7899999999999991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1.6</v>
      </c>
      <c r="BJ420">
        <v>1.5</v>
      </c>
      <c r="BK420">
        <v>2</v>
      </c>
      <c r="BL420" s="4">
        <v>50.66</v>
      </c>
      <c r="BM420" s="4">
        <v>7.6</v>
      </c>
      <c r="BN420" s="4">
        <v>58.26</v>
      </c>
      <c r="BO420" s="4">
        <v>58.26</v>
      </c>
      <c r="BQ420" t="s">
        <v>121</v>
      </c>
      <c r="BR420" t="s">
        <v>84</v>
      </c>
      <c r="BS420" s="3">
        <v>43775</v>
      </c>
      <c r="BT420" s="5">
        <v>0.36805555555555558</v>
      </c>
      <c r="BU420" t="s">
        <v>844</v>
      </c>
      <c r="BV420" t="s">
        <v>86</v>
      </c>
      <c r="BY420">
        <v>7278.68</v>
      </c>
      <c r="CA420" t="s">
        <v>773</v>
      </c>
      <c r="CC420" t="s">
        <v>107</v>
      </c>
      <c r="CD420">
        <v>6001</v>
      </c>
      <c r="CE420" t="s">
        <v>88</v>
      </c>
      <c r="CF420" s="3">
        <v>43776</v>
      </c>
      <c r="CI420">
        <v>1</v>
      </c>
      <c r="CJ420">
        <v>1</v>
      </c>
      <c r="CK420">
        <v>21</v>
      </c>
      <c r="CL420" t="s">
        <v>89</v>
      </c>
    </row>
    <row r="421" spans="1:90">
      <c r="A421" t="s">
        <v>72</v>
      </c>
      <c r="B421" t="s">
        <v>73</v>
      </c>
      <c r="C421" t="s">
        <v>74</v>
      </c>
      <c r="E421" t="str">
        <f>"FES1162721221"</f>
        <v>FES1162721221</v>
      </c>
      <c r="F421" s="3">
        <v>43774</v>
      </c>
      <c r="G421">
        <v>202005</v>
      </c>
      <c r="H421" t="s">
        <v>75</v>
      </c>
      <c r="I421" t="s">
        <v>76</v>
      </c>
      <c r="J421" t="s">
        <v>77</v>
      </c>
      <c r="K421" t="s">
        <v>78</v>
      </c>
      <c r="L421" t="s">
        <v>75</v>
      </c>
      <c r="M421" t="s">
        <v>76</v>
      </c>
      <c r="N421" t="s">
        <v>845</v>
      </c>
      <c r="O421" t="s">
        <v>82</v>
      </c>
      <c r="P421" t="str">
        <f>"2170715390                    "</f>
        <v xml:space="preserve">2170715390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17.57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8.4</v>
      </c>
      <c r="BJ421">
        <v>3.8</v>
      </c>
      <c r="BK421">
        <v>8.5</v>
      </c>
      <c r="BL421" s="4">
        <v>101.24</v>
      </c>
      <c r="BM421" s="4">
        <v>15.19</v>
      </c>
      <c r="BN421" s="4">
        <v>116.43</v>
      </c>
      <c r="BO421" s="4">
        <v>116.43</v>
      </c>
      <c r="BQ421" t="s">
        <v>121</v>
      </c>
      <c r="BR421" t="s">
        <v>84</v>
      </c>
      <c r="BS421" s="3">
        <v>43775</v>
      </c>
      <c r="BT421" s="5">
        <v>0.375</v>
      </c>
      <c r="BU421" t="s">
        <v>846</v>
      </c>
      <c r="BV421" t="s">
        <v>86</v>
      </c>
      <c r="BY421">
        <v>19216.13</v>
      </c>
      <c r="CA421" t="s">
        <v>238</v>
      </c>
      <c r="CC421" t="s">
        <v>76</v>
      </c>
      <c r="CD421">
        <v>1682</v>
      </c>
      <c r="CE421" t="s">
        <v>88</v>
      </c>
      <c r="CF421" s="3">
        <v>43776</v>
      </c>
      <c r="CI421">
        <v>1</v>
      </c>
      <c r="CJ421">
        <v>1</v>
      </c>
      <c r="CK421">
        <v>22</v>
      </c>
      <c r="CL421" t="s">
        <v>89</v>
      </c>
    </row>
    <row r="422" spans="1:90">
      <c r="A422" t="s">
        <v>72</v>
      </c>
      <c r="B422" t="s">
        <v>73</v>
      </c>
      <c r="C422" t="s">
        <v>74</v>
      </c>
      <c r="E422" t="str">
        <f>"FES1162721233"</f>
        <v>FES1162721233</v>
      </c>
      <c r="F422" s="3">
        <v>43774</v>
      </c>
      <c r="G422">
        <v>202005</v>
      </c>
      <c r="H422" t="s">
        <v>75</v>
      </c>
      <c r="I422" t="s">
        <v>76</v>
      </c>
      <c r="J422" t="s">
        <v>77</v>
      </c>
      <c r="K422" t="s">
        <v>78</v>
      </c>
      <c r="L422" t="s">
        <v>482</v>
      </c>
      <c r="M422" t="s">
        <v>483</v>
      </c>
      <c r="N422" t="s">
        <v>847</v>
      </c>
      <c r="O422" t="s">
        <v>756</v>
      </c>
      <c r="P422" t="str">
        <f>"2170715507                    "</f>
        <v xml:space="preserve">2170715507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6.87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1.2</v>
      </c>
      <c r="BJ422">
        <v>1.1000000000000001</v>
      </c>
      <c r="BK422">
        <v>2</v>
      </c>
      <c r="BL422" s="4">
        <v>39.58</v>
      </c>
      <c r="BM422" s="4">
        <v>5.94</v>
      </c>
      <c r="BN422" s="4">
        <v>45.52</v>
      </c>
      <c r="BO422" s="4">
        <v>45.52</v>
      </c>
      <c r="BP422" t="s">
        <v>757</v>
      </c>
      <c r="BQ422" t="s">
        <v>121</v>
      </c>
      <c r="BR422" t="s">
        <v>84</v>
      </c>
      <c r="BS422" s="3">
        <v>43775</v>
      </c>
      <c r="BT422" s="5">
        <v>0.33888888888888885</v>
      </c>
      <c r="BU422" t="s">
        <v>848</v>
      </c>
      <c r="BV422" t="s">
        <v>86</v>
      </c>
      <c r="BY422">
        <v>5503.92</v>
      </c>
      <c r="CA422" t="s">
        <v>849</v>
      </c>
      <c r="CC422" t="s">
        <v>483</v>
      </c>
      <c r="CD422">
        <v>1460</v>
      </c>
      <c r="CE422" t="s">
        <v>88</v>
      </c>
      <c r="CF422" s="3">
        <v>43776</v>
      </c>
      <c r="CI422">
        <v>1</v>
      </c>
      <c r="CJ422">
        <v>1</v>
      </c>
      <c r="CK422">
        <v>32</v>
      </c>
      <c r="CL422" t="s">
        <v>89</v>
      </c>
    </row>
    <row r="423" spans="1:90">
      <c r="A423" t="s">
        <v>72</v>
      </c>
      <c r="B423" t="s">
        <v>73</v>
      </c>
      <c r="C423" t="s">
        <v>74</v>
      </c>
      <c r="E423" t="str">
        <f>"FES1162721190"</f>
        <v>FES1162721190</v>
      </c>
      <c r="F423" s="3">
        <v>43774</v>
      </c>
      <c r="G423">
        <v>202005</v>
      </c>
      <c r="H423" t="s">
        <v>75</v>
      </c>
      <c r="I423" t="s">
        <v>76</v>
      </c>
      <c r="J423" t="s">
        <v>77</v>
      </c>
      <c r="K423" t="s">
        <v>78</v>
      </c>
      <c r="L423" t="s">
        <v>106</v>
      </c>
      <c r="M423" t="s">
        <v>107</v>
      </c>
      <c r="N423" t="s">
        <v>850</v>
      </c>
      <c r="O423" t="s">
        <v>82</v>
      </c>
      <c r="P423" t="str">
        <f>"2170711752                    "</f>
        <v xml:space="preserve">2170711752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76.89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3</v>
      </c>
      <c r="BI423">
        <v>17.3</v>
      </c>
      <c r="BJ423">
        <v>13.6</v>
      </c>
      <c r="BK423">
        <v>17.5</v>
      </c>
      <c r="BL423" s="4">
        <v>443.02</v>
      </c>
      <c r="BM423" s="4">
        <v>66.45</v>
      </c>
      <c r="BN423" s="4">
        <v>509.47</v>
      </c>
      <c r="BO423" s="4">
        <v>509.47</v>
      </c>
      <c r="BQ423" t="s">
        <v>109</v>
      </c>
      <c r="BR423" t="s">
        <v>84</v>
      </c>
      <c r="BS423" s="3">
        <v>43775</v>
      </c>
      <c r="BT423" s="5">
        <v>0.33680555555555558</v>
      </c>
      <c r="BU423" t="s">
        <v>851</v>
      </c>
      <c r="BV423" t="s">
        <v>86</v>
      </c>
      <c r="BY423">
        <v>67868.06</v>
      </c>
      <c r="CA423" t="s">
        <v>111</v>
      </c>
      <c r="CC423" t="s">
        <v>107</v>
      </c>
      <c r="CD423">
        <v>6001</v>
      </c>
      <c r="CE423" t="s">
        <v>852</v>
      </c>
      <c r="CF423" s="3">
        <v>43776</v>
      </c>
      <c r="CI423">
        <v>1</v>
      </c>
      <c r="CJ423">
        <v>1</v>
      </c>
      <c r="CK423">
        <v>21</v>
      </c>
      <c r="CL423" t="s">
        <v>89</v>
      </c>
    </row>
    <row r="424" spans="1:90">
      <c r="A424" t="s">
        <v>72</v>
      </c>
      <c r="B424" t="s">
        <v>73</v>
      </c>
      <c r="C424" t="s">
        <v>74</v>
      </c>
      <c r="E424" t="str">
        <f>"FES1162721186"</f>
        <v>FES1162721186</v>
      </c>
      <c r="F424" s="3">
        <v>43774</v>
      </c>
      <c r="G424">
        <v>202005</v>
      </c>
      <c r="H424" t="s">
        <v>75</v>
      </c>
      <c r="I424" t="s">
        <v>76</v>
      </c>
      <c r="J424" t="s">
        <v>77</v>
      </c>
      <c r="K424" t="s">
        <v>78</v>
      </c>
      <c r="L424" t="s">
        <v>79</v>
      </c>
      <c r="M424" t="s">
        <v>80</v>
      </c>
      <c r="N424" t="s">
        <v>456</v>
      </c>
      <c r="O424" t="s">
        <v>82</v>
      </c>
      <c r="P424" t="str">
        <f>"2170710716                    "</f>
        <v xml:space="preserve">2170710716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81.28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2</v>
      </c>
      <c r="BI424">
        <v>18.100000000000001</v>
      </c>
      <c r="BJ424">
        <v>8.9</v>
      </c>
      <c r="BK424">
        <v>18.5</v>
      </c>
      <c r="BL424" s="4">
        <v>468.33</v>
      </c>
      <c r="BM424" s="4">
        <v>70.25</v>
      </c>
      <c r="BN424" s="4">
        <v>538.58000000000004</v>
      </c>
      <c r="BO424" s="4">
        <v>538.58000000000004</v>
      </c>
      <c r="BQ424" t="s">
        <v>109</v>
      </c>
      <c r="BR424" t="s">
        <v>84</v>
      </c>
      <c r="BS424" s="3">
        <v>43775</v>
      </c>
      <c r="BT424" s="5">
        <v>0.33680555555555558</v>
      </c>
      <c r="BU424" t="s">
        <v>853</v>
      </c>
      <c r="BV424" t="s">
        <v>86</v>
      </c>
      <c r="BY424">
        <v>44413.46</v>
      </c>
      <c r="CA424" t="s">
        <v>854</v>
      </c>
      <c r="CC424" t="s">
        <v>80</v>
      </c>
      <c r="CD424">
        <v>6229</v>
      </c>
      <c r="CE424" t="s">
        <v>147</v>
      </c>
      <c r="CF424" s="3">
        <v>43776</v>
      </c>
      <c r="CI424">
        <v>1</v>
      </c>
      <c r="CJ424">
        <v>1</v>
      </c>
      <c r="CK424">
        <v>21</v>
      </c>
      <c r="CL424" t="s">
        <v>89</v>
      </c>
    </row>
    <row r="425" spans="1:90">
      <c r="A425" t="s">
        <v>72</v>
      </c>
      <c r="B425" t="s">
        <v>73</v>
      </c>
      <c r="C425" t="s">
        <v>74</v>
      </c>
      <c r="E425" t="str">
        <f>"FES1162721189"</f>
        <v>FES1162721189</v>
      </c>
      <c r="F425" s="3">
        <v>43774</v>
      </c>
      <c r="G425">
        <v>202005</v>
      </c>
      <c r="H425" t="s">
        <v>75</v>
      </c>
      <c r="I425" t="s">
        <v>76</v>
      </c>
      <c r="J425" t="s">
        <v>77</v>
      </c>
      <c r="K425" t="s">
        <v>78</v>
      </c>
      <c r="L425" t="s">
        <v>106</v>
      </c>
      <c r="M425" t="s">
        <v>107</v>
      </c>
      <c r="N425" t="s">
        <v>128</v>
      </c>
      <c r="O425" t="s">
        <v>82</v>
      </c>
      <c r="P425" t="str">
        <f>"2170711717                    "</f>
        <v xml:space="preserve">2170711717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74.69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2</v>
      </c>
      <c r="BI425">
        <v>16.899999999999999</v>
      </c>
      <c r="BJ425">
        <v>5.9</v>
      </c>
      <c r="BK425">
        <v>17</v>
      </c>
      <c r="BL425" s="4">
        <v>430.36</v>
      </c>
      <c r="BM425" s="4">
        <v>64.55</v>
      </c>
      <c r="BN425" s="4">
        <v>494.91</v>
      </c>
      <c r="BO425" s="4">
        <v>494.91</v>
      </c>
      <c r="BQ425" t="s">
        <v>121</v>
      </c>
      <c r="BR425" t="s">
        <v>84</v>
      </c>
      <c r="BS425" s="3">
        <v>43775</v>
      </c>
      <c r="BT425" s="5">
        <v>0.33333333333333331</v>
      </c>
      <c r="BU425" t="s">
        <v>833</v>
      </c>
      <c r="BV425" t="s">
        <v>86</v>
      </c>
      <c r="BY425">
        <v>29689.360000000001</v>
      </c>
      <c r="CA425" t="s">
        <v>87</v>
      </c>
      <c r="CC425" t="s">
        <v>107</v>
      </c>
      <c r="CD425">
        <v>6001</v>
      </c>
      <c r="CE425" t="s">
        <v>88</v>
      </c>
      <c r="CF425" s="3">
        <v>43776</v>
      </c>
      <c r="CI425">
        <v>1</v>
      </c>
      <c r="CJ425">
        <v>1</v>
      </c>
      <c r="CK425">
        <v>21</v>
      </c>
      <c r="CL425" t="s">
        <v>89</v>
      </c>
    </row>
    <row r="426" spans="1:90">
      <c r="A426" t="s">
        <v>72</v>
      </c>
      <c r="B426" t="s">
        <v>73</v>
      </c>
      <c r="C426" t="s">
        <v>74</v>
      </c>
      <c r="E426" t="str">
        <f>"FES1162721263"</f>
        <v>FES1162721263</v>
      </c>
      <c r="F426" s="3">
        <v>43774</v>
      </c>
      <c r="G426">
        <v>202005</v>
      </c>
      <c r="H426" t="s">
        <v>75</v>
      </c>
      <c r="I426" t="s">
        <v>76</v>
      </c>
      <c r="J426" t="s">
        <v>77</v>
      </c>
      <c r="K426" t="s">
        <v>78</v>
      </c>
      <c r="L426" t="s">
        <v>112</v>
      </c>
      <c r="M426" t="s">
        <v>113</v>
      </c>
      <c r="N426" t="s">
        <v>206</v>
      </c>
      <c r="O426" t="s">
        <v>82</v>
      </c>
      <c r="P426" t="str">
        <f>"2170715546                    "</f>
        <v xml:space="preserve">2170715546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8.7899999999999991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 s="4">
        <v>50.66</v>
      </c>
      <c r="BM426" s="4">
        <v>7.6</v>
      </c>
      <c r="BN426" s="4">
        <v>58.26</v>
      </c>
      <c r="BO426" s="4">
        <v>58.26</v>
      </c>
      <c r="BQ426" t="s">
        <v>109</v>
      </c>
      <c r="BR426" t="s">
        <v>84</v>
      </c>
      <c r="BS426" s="3">
        <v>43775</v>
      </c>
      <c r="BT426" s="5">
        <v>0.4375</v>
      </c>
      <c r="BU426" t="s">
        <v>855</v>
      </c>
      <c r="BV426" t="s">
        <v>86</v>
      </c>
      <c r="BY426">
        <v>1200</v>
      </c>
      <c r="CC426" t="s">
        <v>113</v>
      </c>
      <c r="CD426">
        <v>4001</v>
      </c>
      <c r="CE426" t="s">
        <v>147</v>
      </c>
      <c r="CF426" s="3">
        <v>43777</v>
      </c>
      <c r="CI426">
        <v>1</v>
      </c>
      <c r="CJ426">
        <v>1</v>
      </c>
      <c r="CK426">
        <v>21</v>
      </c>
      <c r="CL426" t="s">
        <v>89</v>
      </c>
    </row>
    <row r="427" spans="1:90">
      <c r="A427" t="s">
        <v>72</v>
      </c>
      <c r="B427" t="s">
        <v>73</v>
      </c>
      <c r="C427" t="s">
        <v>74</v>
      </c>
      <c r="E427" t="str">
        <f>"FES1162721194"</f>
        <v>FES1162721194</v>
      </c>
      <c r="F427" s="3">
        <v>43774</v>
      </c>
      <c r="G427">
        <v>202005</v>
      </c>
      <c r="H427" t="s">
        <v>75</v>
      </c>
      <c r="I427" t="s">
        <v>76</v>
      </c>
      <c r="J427" t="s">
        <v>77</v>
      </c>
      <c r="K427" t="s">
        <v>78</v>
      </c>
      <c r="L427" t="s">
        <v>118</v>
      </c>
      <c r="M427" t="s">
        <v>119</v>
      </c>
      <c r="N427" t="s">
        <v>439</v>
      </c>
      <c r="O427" t="s">
        <v>82</v>
      </c>
      <c r="P427" t="str">
        <f>"2170714457                    "</f>
        <v xml:space="preserve">2170714457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8.7899999999999991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 s="4">
        <v>50.66</v>
      </c>
      <c r="BM427" s="4">
        <v>7.6</v>
      </c>
      <c r="BN427" s="4">
        <v>58.26</v>
      </c>
      <c r="BO427" s="4">
        <v>58.26</v>
      </c>
      <c r="BQ427" t="s">
        <v>121</v>
      </c>
      <c r="BR427" t="s">
        <v>84</v>
      </c>
      <c r="BS427" s="3">
        <v>43775</v>
      </c>
      <c r="BT427" s="5">
        <v>0.4236111111111111</v>
      </c>
      <c r="BU427" t="s">
        <v>856</v>
      </c>
      <c r="BV427" t="s">
        <v>86</v>
      </c>
      <c r="BY427">
        <v>1200</v>
      </c>
      <c r="CA427" t="s">
        <v>441</v>
      </c>
      <c r="CC427" t="s">
        <v>119</v>
      </c>
      <c r="CD427">
        <v>3201</v>
      </c>
      <c r="CE427" t="s">
        <v>147</v>
      </c>
      <c r="CF427" s="3">
        <v>43777</v>
      </c>
      <c r="CI427">
        <v>1</v>
      </c>
      <c r="CJ427">
        <v>1</v>
      </c>
      <c r="CK427">
        <v>21</v>
      </c>
      <c r="CL427" t="s">
        <v>89</v>
      </c>
    </row>
    <row r="428" spans="1:90">
      <c r="A428" t="s">
        <v>72</v>
      </c>
      <c r="B428" t="s">
        <v>73</v>
      </c>
      <c r="C428" t="s">
        <v>74</v>
      </c>
      <c r="E428" t="str">
        <f>"FES1162721175"</f>
        <v>FES1162721175</v>
      </c>
      <c r="F428" s="3">
        <v>43774</v>
      </c>
      <c r="G428">
        <v>202005</v>
      </c>
      <c r="H428" t="s">
        <v>75</v>
      </c>
      <c r="I428" t="s">
        <v>76</v>
      </c>
      <c r="J428" t="s">
        <v>77</v>
      </c>
      <c r="K428" t="s">
        <v>78</v>
      </c>
      <c r="L428" t="s">
        <v>431</v>
      </c>
      <c r="M428" t="s">
        <v>432</v>
      </c>
      <c r="N428" t="s">
        <v>436</v>
      </c>
      <c r="O428" t="s">
        <v>82</v>
      </c>
      <c r="P428" t="str">
        <f>"2170715462                    "</f>
        <v xml:space="preserve">2170715462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8.7899999999999991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 s="4">
        <v>50.66</v>
      </c>
      <c r="BM428" s="4">
        <v>7.6</v>
      </c>
      <c r="BN428" s="4">
        <v>58.26</v>
      </c>
      <c r="BO428" s="4">
        <v>58.26</v>
      </c>
      <c r="BR428" t="s">
        <v>84</v>
      </c>
      <c r="BS428" s="3">
        <v>43775</v>
      </c>
      <c r="BT428" s="5">
        <v>0.51388888888888895</v>
      </c>
      <c r="BU428" t="s">
        <v>434</v>
      </c>
      <c r="BV428" t="s">
        <v>86</v>
      </c>
      <c r="BY428">
        <v>1200</v>
      </c>
      <c r="CA428" t="s">
        <v>435</v>
      </c>
      <c r="CC428" t="s">
        <v>432</v>
      </c>
      <c r="CD428">
        <v>3699</v>
      </c>
      <c r="CE428" t="s">
        <v>147</v>
      </c>
      <c r="CF428" s="3">
        <v>43777</v>
      </c>
      <c r="CI428">
        <v>1</v>
      </c>
      <c r="CJ428">
        <v>1</v>
      </c>
      <c r="CK428">
        <v>21</v>
      </c>
      <c r="CL428" t="s">
        <v>89</v>
      </c>
    </row>
    <row r="429" spans="1:90">
      <c r="A429" t="s">
        <v>72</v>
      </c>
      <c r="B429" t="s">
        <v>73</v>
      </c>
      <c r="C429" t="s">
        <v>74</v>
      </c>
      <c r="E429" t="str">
        <f>"FES1162721270"</f>
        <v>FES1162721270</v>
      </c>
      <c r="F429" s="3">
        <v>43774</v>
      </c>
      <c r="G429">
        <v>202005</v>
      </c>
      <c r="H429" t="s">
        <v>75</v>
      </c>
      <c r="I429" t="s">
        <v>76</v>
      </c>
      <c r="J429" t="s">
        <v>77</v>
      </c>
      <c r="K429" t="s">
        <v>78</v>
      </c>
      <c r="L429" t="s">
        <v>118</v>
      </c>
      <c r="M429" t="s">
        <v>119</v>
      </c>
      <c r="N429" t="s">
        <v>169</v>
      </c>
      <c r="O429" t="s">
        <v>82</v>
      </c>
      <c r="P429" t="str">
        <f>"2170715552                    "</f>
        <v xml:space="preserve">2170715552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8.7899999999999991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 s="4">
        <v>50.66</v>
      </c>
      <c r="BM429" s="4">
        <v>7.6</v>
      </c>
      <c r="BN429" s="4">
        <v>58.26</v>
      </c>
      <c r="BO429" s="4">
        <v>58.26</v>
      </c>
      <c r="BR429" t="s">
        <v>84</v>
      </c>
      <c r="BS429" s="3">
        <v>43775</v>
      </c>
      <c r="BT429" s="5">
        <v>0.39930555555555558</v>
      </c>
      <c r="BU429" t="s">
        <v>857</v>
      </c>
      <c r="BV429" t="s">
        <v>86</v>
      </c>
      <c r="BY429">
        <v>1200</v>
      </c>
      <c r="CA429" t="s">
        <v>777</v>
      </c>
      <c r="CC429" t="s">
        <v>119</v>
      </c>
      <c r="CD429">
        <v>3200</v>
      </c>
      <c r="CE429" t="s">
        <v>147</v>
      </c>
      <c r="CF429" s="3">
        <v>43777</v>
      </c>
      <c r="CI429">
        <v>1</v>
      </c>
      <c r="CJ429">
        <v>1</v>
      </c>
      <c r="CK429">
        <v>21</v>
      </c>
      <c r="CL429" t="s">
        <v>89</v>
      </c>
    </row>
    <row r="430" spans="1:90">
      <c r="A430" t="s">
        <v>72</v>
      </c>
      <c r="B430" t="s">
        <v>73</v>
      </c>
      <c r="C430" t="s">
        <v>74</v>
      </c>
      <c r="E430" t="str">
        <f>"FES1162721272"</f>
        <v>FES1162721272</v>
      </c>
      <c r="F430" s="3">
        <v>43774</v>
      </c>
      <c r="G430">
        <v>202005</v>
      </c>
      <c r="H430" t="s">
        <v>75</v>
      </c>
      <c r="I430" t="s">
        <v>76</v>
      </c>
      <c r="J430" t="s">
        <v>77</v>
      </c>
      <c r="K430" t="s">
        <v>78</v>
      </c>
      <c r="L430" t="s">
        <v>225</v>
      </c>
      <c r="M430" t="s">
        <v>226</v>
      </c>
      <c r="N430" t="s">
        <v>227</v>
      </c>
      <c r="O430" t="s">
        <v>82</v>
      </c>
      <c r="P430" t="str">
        <f>"217071557                     "</f>
        <v xml:space="preserve">217071557 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8.7899999999999991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 s="4">
        <v>50.66</v>
      </c>
      <c r="BM430" s="4">
        <v>7.6</v>
      </c>
      <c r="BN430" s="4">
        <v>58.26</v>
      </c>
      <c r="BO430" s="4">
        <v>58.26</v>
      </c>
      <c r="BQ430" t="s">
        <v>121</v>
      </c>
      <c r="BR430" t="s">
        <v>84</v>
      </c>
      <c r="BS430" s="3">
        <v>43775</v>
      </c>
      <c r="BT430" s="5">
        <v>0.3444444444444445</v>
      </c>
      <c r="BU430" t="s">
        <v>858</v>
      </c>
      <c r="BV430" t="s">
        <v>86</v>
      </c>
      <c r="BY430">
        <v>1200</v>
      </c>
      <c r="CA430" t="s">
        <v>229</v>
      </c>
      <c r="CC430" t="s">
        <v>226</v>
      </c>
      <c r="CD430">
        <v>4026</v>
      </c>
      <c r="CE430" t="s">
        <v>147</v>
      </c>
      <c r="CF430" s="3">
        <v>43777</v>
      </c>
      <c r="CI430">
        <v>1</v>
      </c>
      <c r="CJ430">
        <v>1</v>
      </c>
      <c r="CK430">
        <v>21</v>
      </c>
      <c r="CL430" t="s">
        <v>89</v>
      </c>
    </row>
    <row r="431" spans="1:90">
      <c r="A431" t="s">
        <v>72</v>
      </c>
      <c r="B431" t="s">
        <v>73</v>
      </c>
      <c r="C431" t="s">
        <v>74</v>
      </c>
      <c r="E431" t="str">
        <f>"FES1162721273"</f>
        <v>FES1162721273</v>
      </c>
      <c r="F431" s="3">
        <v>43774</v>
      </c>
      <c r="G431">
        <v>202005</v>
      </c>
      <c r="H431" t="s">
        <v>75</v>
      </c>
      <c r="I431" t="s">
        <v>76</v>
      </c>
      <c r="J431" t="s">
        <v>77</v>
      </c>
      <c r="K431" t="s">
        <v>78</v>
      </c>
      <c r="L431" t="s">
        <v>112</v>
      </c>
      <c r="M431" t="s">
        <v>113</v>
      </c>
      <c r="N431" t="s">
        <v>859</v>
      </c>
      <c r="O431" t="s">
        <v>82</v>
      </c>
      <c r="P431" t="str">
        <f>"21707155558                   "</f>
        <v xml:space="preserve">21707155558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8.7899999999999991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 s="4">
        <v>50.66</v>
      </c>
      <c r="BM431" s="4">
        <v>7.6</v>
      </c>
      <c r="BN431" s="4">
        <v>58.26</v>
      </c>
      <c r="BO431" s="4">
        <v>58.26</v>
      </c>
      <c r="BQ431" t="s">
        <v>121</v>
      </c>
      <c r="BR431" t="s">
        <v>84</v>
      </c>
      <c r="BS431" s="3">
        <v>43775</v>
      </c>
      <c r="BT431" s="5">
        <v>0.3840277777777778</v>
      </c>
      <c r="BU431" t="s">
        <v>860</v>
      </c>
      <c r="BV431" t="s">
        <v>86</v>
      </c>
      <c r="BY431">
        <v>1200</v>
      </c>
      <c r="CA431" t="s">
        <v>426</v>
      </c>
      <c r="CC431" t="s">
        <v>113</v>
      </c>
      <c r="CD431">
        <v>4051</v>
      </c>
      <c r="CE431" t="s">
        <v>147</v>
      </c>
      <c r="CF431" s="3">
        <v>43777</v>
      </c>
      <c r="CI431">
        <v>1</v>
      </c>
      <c r="CJ431">
        <v>1</v>
      </c>
      <c r="CK431">
        <v>21</v>
      </c>
      <c r="CL431" t="s">
        <v>89</v>
      </c>
    </row>
    <row r="432" spans="1:90">
      <c r="A432" t="s">
        <v>72</v>
      </c>
      <c r="B432" t="s">
        <v>73</v>
      </c>
      <c r="C432" t="s">
        <v>74</v>
      </c>
      <c r="E432" t="str">
        <f>"FES1162721201"</f>
        <v>FES1162721201</v>
      </c>
      <c r="F432" s="3">
        <v>43774</v>
      </c>
      <c r="G432">
        <v>202005</v>
      </c>
      <c r="H432" t="s">
        <v>75</v>
      </c>
      <c r="I432" t="s">
        <v>76</v>
      </c>
      <c r="J432" t="s">
        <v>77</v>
      </c>
      <c r="K432" t="s">
        <v>78</v>
      </c>
      <c r="L432" t="s">
        <v>251</v>
      </c>
      <c r="M432" t="s">
        <v>252</v>
      </c>
      <c r="N432" t="s">
        <v>330</v>
      </c>
      <c r="O432" t="s">
        <v>82</v>
      </c>
      <c r="P432" t="str">
        <f>"2170715339                    "</f>
        <v xml:space="preserve">2170715339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8.7899999999999991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 s="4">
        <v>50.66</v>
      </c>
      <c r="BM432" s="4">
        <v>7.6</v>
      </c>
      <c r="BN432" s="4">
        <v>58.26</v>
      </c>
      <c r="BO432" s="4">
        <v>58.26</v>
      </c>
      <c r="BQ432" t="s">
        <v>109</v>
      </c>
      <c r="BR432" t="s">
        <v>84</v>
      </c>
      <c r="BS432" s="3">
        <v>43775</v>
      </c>
      <c r="BT432" s="5">
        <v>0.43541666666666662</v>
      </c>
      <c r="BU432" t="s">
        <v>861</v>
      </c>
      <c r="BV432" t="s">
        <v>86</v>
      </c>
      <c r="BY432">
        <v>1200</v>
      </c>
      <c r="CA432" t="s">
        <v>255</v>
      </c>
      <c r="CC432" t="s">
        <v>252</v>
      </c>
      <c r="CD432">
        <v>4133</v>
      </c>
      <c r="CE432" t="s">
        <v>147</v>
      </c>
      <c r="CF432" s="3">
        <v>43777</v>
      </c>
      <c r="CI432">
        <v>1</v>
      </c>
      <c r="CJ432">
        <v>1</v>
      </c>
      <c r="CK432">
        <v>21</v>
      </c>
      <c r="CL432" t="s">
        <v>89</v>
      </c>
    </row>
    <row r="433" spans="1:90">
      <c r="A433" t="s">
        <v>72</v>
      </c>
      <c r="B433" t="s">
        <v>73</v>
      </c>
      <c r="C433" t="s">
        <v>74</v>
      </c>
      <c r="E433" t="str">
        <f>"FES1162721225"</f>
        <v>FES1162721225</v>
      </c>
      <c r="F433" s="3">
        <v>43774</v>
      </c>
      <c r="G433">
        <v>202005</v>
      </c>
      <c r="H433" t="s">
        <v>75</v>
      </c>
      <c r="I433" t="s">
        <v>76</v>
      </c>
      <c r="J433" t="s">
        <v>77</v>
      </c>
      <c r="K433" t="s">
        <v>78</v>
      </c>
      <c r="L433" t="s">
        <v>783</v>
      </c>
      <c r="M433" t="s">
        <v>784</v>
      </c>
      <c r="N433" t="s">
        <v>785</v>
      </c>
      <c r="O433" t="s">
        <v>82</v>
      </c>
      <c r="P433" t="str">
        <f>"2170715497                    "</f>
        <v xml:space="preserve">2170715497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17.04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 s="4">
        <v>98.16</v>
      </c>
      <c r="BM433" s="4">
        <v>14.72</v>
      </c>
      <c r="BN433" s="4">
        <v>112.88</v>
      </c>
      <c r="BO433" s="4">
        <v>112.88</v>
      </c>
      <c r="BQ433" t="s">
        <v>109</v>
      </c>
      <c r="BR433" t="s">
        <v>84</v>
      </c>
      <c r="BS433" s="3">
        <v>43775</v>
      </c>
      <c r="BT433" s="5">
        <v>0.39583333333333331</v>
      </c>
      <c r="BU433" t="s">
        <v>786</v>
      </c>
      <c r="BV433" t="s">
        <v>86</v>
      </c>
      <c r="BY433">
        <v>1200</v>
      </c>
      <c r="CC433" t="s">
        <v>784</v>
      </c>
      <c r="CD433">
        <v>9880</v>
      </c>
      <c r="CE433" t="s">
        <v>147</v>
      </c>
      <c r="CF433" s="3">
        <v>43777</v>
      </c>
      <c r="CI433">
        <v>1</v>
      </c>
      <c r="CJ433">
        <v>1</v>
      </c>
      <c r="CK433">
        <v>23</v>
      </c>
      <c r="CL433" t="s">
        <v>89</v>
      </c>
    </row>
    <row r="434" spans="1:90">
      <c r="A434" t="s">
        <v>72</v>
      </c>
      <c r="B434" t="s">
        <v>73</v>
      </c>
      <c r="C434" t="s">
        <v>74</v>
      </c>
      <c r="E434" t="str">
        <f>"FES1162721185"</f>
        <v>FES1162721185</v>
      </c>
      <c r="F434" s="3">
        <v>43774</v>
      </c>
      <c r="G434">
        <v>202005</v>
      </c>
      <c r="H434" t="s">
        <v>75</v>
      </c>
      <c r="I434" t="s">
        <v>76</v>
      </c>
      <c r="J434" t="s">
        <v>77</v>
      </c>
      <c r="K434" t="s">
        <v>78</v>
      </c>
      <c r="L434" t="s">
        <v>101</v>
      </c>
      <c r="M434" t="s">
        <v>102</v>
      </c>
      <c r="N434" t="s">
        <v>862</v>
      </c>
      <c r="O434" t="s">
        <v>82</v>
      </c>
      <c r="P434" t="str">
        <f>"2170710496                    "</f>
        <v xml:space="preserve">2170710496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8.7899999999999991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 s="4">
        <v>50.66</v>
      </c>
      <c r="BM434" s="4">
        <v>7.6</v>
      </c>
      <c r="BN434" s="4">
        <v>58.26</v>
      </c>
      <c r="BO434" s="4">
        <v>58.26</v>
      </c>
      <c r="BQ434" t="s">
        <v>863</v>
      </c>
      <c r="BR434" t="s">
        <v>84</v>
      </c>
      <c r="BS434" s="3">
        <v>43775</v>
      </c>
      <c r="BT434" s="5">
        <v>0.68194444444444446</v>
      </c>
      <c r="BU434" t="s">
        <v>864</v>
      </c>
      <c r="BV434" t="s">
        <v>89</v>
      </c>
      <c r="BW434" t="s">
        <v>865</v>
      </c>
      <c r="BX434" t="s">
        <v>474</v>
      </c>
      <c r="BY434">
        <v>1200</v>
      </c>
      <c r="CA434" t="s">
        <v>866</v>
      </c>
      <c r="CC434" t="s">
        <v>102</v>
      </c>
      <c r="CD434">
        <v>182</v>
      </c>
      <c r="CE434" t="s">
        <v>147</v>
      </c>
      <c r="CI434">
        <v>1</v>
      </c>
      <c r="CJ434">
        <v>1</v>
      </c>
      <c r="CK434">
        <v>21</v>
      </c>
      <c r="CL434" t="s">
        <v>89</v>
      </c>
    </row>
    <row r="435" spans="1:90">
      <c r="A435" t="s">
        <v>72</v>
      </c>
      <c r="B435" t="s">
        <v>73</v>
      </c>
      <c r="C435" t="s">
        <v>74</v>
      </c>
      <c r="E435" t="str">
        <f>"FES1162721271"</f>
        <v>FES1162721271</v>
      </c>
      <c r="F435" s="3">
        <v>43774</v>
      </c>
      <c r="G435">
        <v>202005</v>
      </c>
      <c r="H435" t="s">
        <v>75</v>
      </c>
      <c r="I435" t="s">
        <v>76</v>
      </c>
      <c r="J435" t="s">
        <v>77</v>
      </c>
      <c r="K435" t="s">
        <v>78</v>
      </c>
      <c r="L435" t="s">
        <v>101</v>
      </c>
      <c r="M435" t="s">
        <v>102</v>
      </c>
      <c r="N435" t="s">
        <v>867</v>
      </c>
      <c r="O435" t="s">
        <v>82</v>
      </c>
      <c r="P435" t="str">
        <f>"21707155553                   "</f>
        <v xml:space="preserve">21707155553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8.7899999999999991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 s="4">
        <v>50.66</v>
      </c>
      <c r="BM435" s="4">
        <v>7.6</v>
      </c>
      <c r="BN435" s="4">
        <v>58.26</v>
      </c>
      <c r="BO435" s="4">
        <v>58.26</v>
      </c>
      <c r="BR435" t="s">
        <v>84</v>
      </c>
      <c r="BS435" s="3">
        <v>43775</v>
      </c>
      <c r="BT435" s="5">
        <v>0.34375</v>
      </c>
      <c r="BU435" t="s">
        <v>868</v>
      </c>
      <c r="BV435" t="s">
        <v>86</v>
      </c>
      <c r="BY435">
        <v>1200</v>
      </c>
      <c r="CA435" t="s">
        <v>869</v>
      </c>
      <c r="CC435" t="s">
        <v>102</v>
      </c>
      <c r="CD435">
        <v>1</v>
      </c>
      <c r="CE435" t="s">
        <v>147</v>
      </c>
      <c r="CF435" s="3">
        <v>43776</v>
      </c>
      <c r="CI435">
        <v>1</v>
      </c>
      <c r="CJ435">
        <v>1</v>
      </c>
      <c r="CK435">
        <v>21</v>
      </c>
      <c r="CL435" t="s">
        <v>89</v>
      </c>
    </row>
    <row r="436" spans="1:90">
      <c r="A436" t="s">
        <v>72</v>
      </c>
      <c r="B436" t="s">
        <v>73</v>
      </c>
      <c r="C436" t="s">
        <v>74</v>
      </c>
      <c r="E436" t="str">
        <f>"FES1162721195"</f>
        <v>FES1162721195</v>
      </c>
      <c r="F436" s="3">
        <v>43774</v>
      </c>
      <c r="G436">
        <v>202005</v>
      </c>
      <c r="H436" t="s">
        <v>75</v>
      </c>
      <c r="I436" t="s">
        <v>76</v>
      </c>
      <c r="J436" t="s">
        <v>77</v>
      </c>
      <c r="K436" t="s">
        <v>78</v>
      </c>
      <c r="L436" t="s">
        <v>251</v>
      </c>
      <c r="M436" t="s">
        <v>252</v>
      </c>
      <c r="N436" t="s">
        <v>330</v>
      </c>
      <c r="O436" t="s">
        <v>82</v>
      </c>
      <c r="P436" t="str">
        <f>"2170714717                    "</f>
        <v xml:space="preserve">2170714717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8.7899999999999991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 s="4">
        <v>50.66</v>
      </c>
      <c r="BM436" s="4">
        <v>7.6</v>
      </c>
      <c r="BN436" s="4">
        <v>58.26</v>
      </c>
      <c r="BO436" s="4">
        <v>58.26</v>
      </c>
      <c r="BQ436" t="s">
        <v>109</v>
      </c>
      <c r="BR436" t="s">
        <v>84</v>
      </c>
      <c r="BS436" s="3">
        <v>43775</v>
      </c>
      <c r="BT436" s="5">
        <v>0.43333333333333335</v>
      </c>
      <c r="BU436" t="s">
        <v>861</v>
      </c>
      <c r="BV436" t="s">
        <v>86</v>
      </c>
      <c r="BY436">
        <v>1200</v>
      </c>
      <c r="CA436" t="s">
        <v>255</v>
      </c>
      <c r="CC436" t="s">
        <v>252</v>
      </c>
      <c r="CD436">
        <v>4133</v>
      </c>
      <c r="CE436" t="s">
        <v>147</v>
      </c>
      <c r="CF436" s="3">
        <v>43777</v>
      </c>
      <c r="CI436">
        <v>1</v>
      </c>
      <c r="CJ436">
        <v>1</v>
      </c>
      <c r="CK436">
        <v>21</v>
      </c>
      <c r="CL436" t="s">
        <v>89</v>
      </c>
    </row>
    <row r="437" spans="1:90">
      <c r="A437" t="s">
        <v>72</v>
      </c>
      <c r="B437" t="s">
        <v>73</v>
      </c>
      <c r="C437" t="s">
        <v>74</v>
      </c>
      <c r="E437" t="str">
        <f>"FES1162721210"</f>
        <v>FES1162721210</v>
      </c>
      <c r="F437" s="3">
        <v>43774</v>
      </c>
      <c r="G437">
        <v>202005</v>
      </c>
      <c r="H437" t="s">
        <v>75</v>
      </c>
      <c r="I437" t="s">
        <v>76</v>
      </c>
      <c r="J437" t="s">
        <v>77</v>
      </c>
      <c r="K437" t="s">
        <v>78</v>
      </c>
      <c r="L437" t="s">
        <v>164</v>
      </c>
      <c r="M437" t="s">
        <v>165</v>
      </c>
      <c r="N437" t="s">
        <v>166</v>
      </c>
      <c r="O437" t="s">
        <v>82</v>
      </c>
      <c r="P437" t="str">
        <f>"217071483                     "</f>
        <v xml:space="preserve">217071483 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17.04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 s="4">
        <v>98.16</v>
      </c>
      <c r="BM437" s="4">
        <v>14.72</v>
      </c>
      <c r="BN437" s="4">
        <v>112.88</v>
      </c>
      <c r="BO437" s="4">
        <v>112.88</v>
      </c>
      <c r="BQ437" t="s">
        <v>121</v>
      </c>
      <c r="BR437" t="s">
        <v>84</v>
      </c>
      <c r="BS437" s="3">
        <v>43775</v>
      </c>
      <c r="BT437" s="5">
        <v>0.41666666666666669</v>
      </c>
      <c r="BU437" t="s">
        <v>870</v>
      </c>
      <c r="BV437" t="s">
        <v>86</v>
      </c>
      <c r="BY437">
        <v>1200</v>
      </c>
      <c r="CA437" t="s">
        <v>168</v>
      </c>
      <c r="CC437" t="s">
        <v>165</v>
      </c>
      <c r="CD437">
        <v>3370</v>
      </c>
      <c r="CE437" t="s">
        <v>147</v>
      </c>
      <c r="CF437" s="3">
        <v>43781</v>
      </c>
      <c r="CI437">
        <v>3</v>
      </c>
      <c r="CJ437">
        <v>1</v>
      </c>
      <c r="CK437">
        <v>23</v>
      </c>
      <c r="CL437" t="s">
        <v>89</v>
      </c>
    </row>
    <row r="438" spans="1:90">
      <c r="A438" t="s">
        <v>72</v>
      </c>
      <c r="B438" t="s">
        <v>73</v>
      </c>
      <c r="C438" t="s">
        <v>74</v>
      </c>
      <c r="E438" t="str">
        <f>"FES1162721105"</f>
        <v>FES1162721105</v>
      </c>
      <c r="F438" s="3">
        <v>43774</v>
      </c>
      <c r="G438">
        <v>202005</v>
      </c>
      <c r="H438" t="s">
        <v>75</v>
      </c>
      <c r="I438" t="s">
        <v>76</v>
      </c>
      <c r="J438" t="s">
        <v>77</v>
      </c>
      <c r="K438" t="s">
        <v>78</v>
      </c>
      <c r="L438" t="s">
        <v>405</v>
      </c>
      <c r="M438" t="s">
        <v>406</v>
      </c>
      <c r="N438" t="s">
        <v>871</v>
      </c>
      <c r="O438" t="s">
        <v>82</v>
      </c>
      <c r="P438" t="str">
        <f>"21707147376                   "</f>
        <v xml:space="preserve">21707147376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12.36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 s="4">
        <v>71.239999999999995</v>
      </c>
      <c r="BM438" s="4">
        <v>10.69</v>
      </c>
      <c r="BN438" s="4">
        <v>81.93</v>
      </c>
      <c r="BO438" s="4">
        <v>81.93</v>
      </c>
      <c r="BQ438" t="s">
        <v>121</v>
      </c>
      <c r="BR438" t="s">
        <v>84</v>
      </c>
      <c r="BS438" s="3">
        <v>43775</v>
      </c>
      <c r="BT438" s="5">
        <v>0.41666666666666669</v>
      </c>
      <c r="BU438" t="s">
        <v>872</v>
      </c>
      <c r="BV438" t="s">
        <v>86</v>
      </c>
      <c r="BY438">
        <v>1200</v>
      </c>
      <c r="CA438" t="s">
        <v>873</v>
      </c>
      <c r="CC438" t="s">
        <v>406</v>
      </c>
      <c r="CD438">
        <v>250</v>
      </c>
      <c r="CE438" t="s">
        <v>147</v>
      </c>
      <c r="CF438" s="3">
        <v>43780</v>
      </c>
      <c r="CI438">
        <v>1</v>
      </c>
      <c r="CJ438">
        <v>1</v>
      </c>
      <c r="CK438">
        <v>24</v>
      </c>
      <c r="CL438" t="s">
        <v>89</v>
      </c>
    </row>
    <row r="439" spans="1:90">
      <c r="A439" t="s">
        <v>72</v>
      </c>
      <c r="B439" t="s">
        <v>73</v>
      </c>
      <c r="C439" t="s">
        <v>74</v>
      </c>
      <c r="E439" t="str">
        <f>"FES1162721143"</f>
        <v>FES1162721143</v>
      </c>
      <c r="F439" s="3">
        <v>43774</v>
      </c>
      <c r="G439">
        <v>202005</v>
      </c>
      <c r="H439" t="s">
        <v>75</v>
      </c>
      <c r="I439" t="s">
        <v>76</v>
      </c>
      <c r="J439" t="s">
        <v>77</v>
      </c>
      <c r="K439" t="s">
        <v>78</v>
      </c>
      <c r="L439" t="s">
        <v>101</v>
      </c>
      <c r="M439" t="s">
        <v>102</v>
      </c>
      <c r="N439" t="s">
        <v>874</v>
      </c>
      <c r="O439" t="s">
        <v>82</v>
      </c>
      <c r="P439" t="str">
        <f>"2170715416                    "</f>
        <v xml:space="preserve">2170715416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8.7899999999999991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 s="4">
        <v>50.66</v>
      </c>
      <c r="BM439" s="4">
        <v>7.6</v>
      </c>
      <c r="BN439" s="4">
        <v>58.26</v>
      </c>
      <c r="BO439" s="4">
        <v>58.26</v>
      </c>
      <c r="BR439" t="s">
        <v>84</v>
      </c>
      <c r="BS439" s="3">
        <v>43775</v>
      </c>
      <c r="BT439" s="5">
        <v>0.39583333333333331</v>
      </c>
      <c r="BU439" t="s">
        <v>875</v>
      </c>
      <c r="BV439" t="s">
        <v>86</v>
      </c>
      <c r="BY439">
        <v>1200</v>
      </c>
      <c r="CA439" t="s">
        <v>183</v>
      </c>
      <c r="CC439" t="s">
        <v>102</v>
      </c>
      <c r="CD439">
        <v>200</v>
      </c>
      <c r="CE439" t="s">
        <v>147</v>
      </c>
      <c r="CI439">
        <v>1</v>
      </c>
      <c r="CJ439">
        <v>1</v>
      </c>
      <c r="CK439">
        <v>21</v>
      </c>
      <c r="CL439" t="s">
        <v>89</v>
      </c>
    </row>
    <row r="440" spans="1:90">
      <c r="A440" t="s">
        <v>72</v>
      </c>
      <c r="B440" t="s">
        <v>73</v>
      </c>
      <c r="C440" t="s">
        <v>74</v>
      </c>
      <c r="E440" t="str">
        <f>"FES1162721177"</f>
        <v>FES1162721177</v>
      </c>
      <c r="F440" s="3">
        <v>43774</v>
      </c>
      <c r="G440">
        <v>202005</v>
      </c>
      <c r="H440" t="s">
        <v>75</v>
      </c>
      <c r="I440" t="s">
        <v>76</v>
      </c>
      <c r="J440" t="s">
        <v>77</v>
      </c>
      <c r="K440" t="s">
        <v>78</v>
      </c>
      <c r="L440" t="s">
        <v>101</v>
      </c>
      <c r="M440" t="s">
        <v>102</v>
      </c>
      <c r="N440" t="s">
        <v>876</v>
      </c>
      <c r="O440" t="s">
        <v>82</v>
      </c>
      <c r="P440" t="str">
        <f>"2170715464                    "</f>
        <v xml:space="preserve">2170715464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8.7899999999999991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 s="4">
        <v>50.66</v>
      </c>
      <c r="BM440" s="4">
        <v>7.6</v>
      </c>
      <c r="BN440" s="4">
        <v>58.26</v>
      </c>
      <c r="BO440" s="4">
        <v>58.26</v>
      </c>
      <c r="BQ440" t="s">
        <v>109</v>
      </c>
      <c r="BR440" t="s">
        <v>84</v>
      </c>
      <c r="BS440" s="3">
        <v>43775</v>
      </c>
      <c r="BT440" s="5">
        <v>0.48333333333333334</v>
      </c>
      <c r="BU440" t="s">
        <v>877</v>
      </c>
      <c r="BV440" t="s">
        <v>86</v>
      </c>
      <c r="BY440">
        <v>1200</v>
      </c>
      <c r="CA440" t="s">
        <v>878</v>
      </c>
      <c r="CC440" t="s">
        <v>102</v>
      </c>
      <c r="CD440">
        <v>82</v>
      </c>
      <c r="CE440" t="s">
        <v>147</v>
      </c>
      <c r="CI440">
        <v>1</v>
      </c>
      <c r="CJ440">
        <v>1</v>
      </c>
      <c r="CK440">
        <v>21</v>
      </c>
      <c r="CL440" t="s">
        <v>89</v>
      </c>
    </row>
    <row r="441" spans="1:90">
      <c r="A441" t="s">
        <v>72</v>
      </c>
      <c r="B441" t="s">
        <v>73</v>
      </c>
      <c r="C441" t="s">
        <v>74</v>
      </c>
      <c r="E441" t="str">
        <f>"FES1162721216"</f>
        <v>FES1162721216</v>
      </c>
      <c r="F441" s="3">
        <v>43774</v>
      </c>
      <c r="G441">
        <v>202005</v>
      </c>
      <c r="H441" t="s">
        <v>75</v>
      </c>
      <c r="I441" t="s">
        <v>76</v>
      </c>
      <c r="J441" t="s">
        <v>77</v>
      </c>
      <c r="K441" t="s">
        <v>78</v>
      </c>
      <c r="L441" t="s">
        <v>101</v>
      </c>
      <c r="M441" t="s">
        <v>102</v>
      </c>
      <c r="N441" t="s">
        <v>879</v>
      </c>
      <c r="O441" t="s">
        <v>82</v>
      </c>
      <c r="P441" t="str">
        <f>"2170715488                    "</f>
        <v xml:space="preserve">2170715488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8.7899999999999991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 s="4">
        <v>50.66</v>
      </c>
      <c r="BM441" s="4">
        <v>7.6</v>
      </c>
      <c r="BN441" s="4">
        <v>58.26</v>
      </c>
      <c r="BO441" s="4">
        <v>58.26</v>
      </c>
      <c r="BQ441" t="s">
        <v>142</v>
      </c>
      <c r="BR441" t="s">
        <v>84</v>
      </c>
      <c r="BS441" s="3">
        <v>43775</v>
      </c>
      <c r="BT441" s="5">
        <v>0.375</v>
      </c>
      <c r="BU441" t="s">
        <v>880</v>
      </c>
      <c r="BV441" t="s">
        <v>86</v>
      </c>
      <c r="BY441">
        <v>1200</v>
      </c>
      <c r="CA441" t="s">
        <v>183</v>
      </c>
      <c r="CC441" t="s">
        <v>102</v>
      </c>
      <c r="CD441">
        <v>200</v>
      </c>
      <c r="CE441" t="s">
        <v>147</v>
      </c>
      <c r="CI441">
        <v>1</v>
      </c>
      <c r="CJ441">
        <v>1</v>
      </c>
      <c r="CK441">
        <v>21</v>
      </c>
      <c r="CL441" t="s">
        <v>89</v>
      </c>
    </row>
    <row r="442" spans="1:90">
      <c r="A442" t="s">
        <v>72</v>
      </c>
      <c r="B442" t="s">
        <v>73</v>
      </c>
      <c r="C442" t="s">
        <v>74</v>
      </c>
      <c r="E442" t="str">
        <f>"FES1162721199"</f>
        <v>FES1162721199</v>
      </c>
      <c r="F442" s="3">
        <v>43774</v>
      </c>
      <c r="G442">
        <v>202005</v>
      </c>
      <c r="H442" t="s">
        <v>75</v>
      </c>
      <c r="I442" t="s">
        <v>76</v>
      </c>
      <c r="J442" t="s">
        <v>77</v>
      </c>
      <c r="K442" t="s">
        <v>78</v>
      </c>
      <c r="L442" t="s">
        <v>339</v>
      </c>
      <c r="M442" t="s">
        <v>340</v>
      </c>
      <c r="N442" t="s">
        <v>881</v>
      </c>
      <c r="O442" t="s">
        <v>82</v>
      </c>
      <c r="P442" t="str">
        <f>"217071960                     "</f>
        <v xml:space="preserve">217071960 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8.7899999999999991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 s="4">
        <v>50.66</v>
      </c>
      <c r="BM442" s="4">
        <v>7.6</v>
      </c>
      <c r="BN442" s="4">
        <v>58.26</v>
      </c>
      <c r="BO442" s="4">
        <v>58.26</v>
      </c>
      <c r="BQ442" t="s">
        <v>187</v>
      </c>
      <c r="BR442" t="s">
        <v>84</v>
      </c>
      <c r="BS442" s="3">
        <v>43775</v>
      </c>
      <c r="BT442" s="5">
        <v>0.4375</v>
      </c>
      <c r="BU442" t="s">
        <v>882</v>
      </c>
      <c r="BV442" t="s">
        <v>86</v>
      </c>
      <c r="BY442">
        <v>1200</v>
      </c>
      <c r="CA442" t="s">
        <v>720</v>
      </c>
      <c r="CC442" t="s">
        <v>340</v>
      </c>
      <c r="CD442">
        <v>157</v>
      </c>
      <c r="CE442" t="s">
        <v>147</v>
      </c>
      <c r="CF442" s="3">
        <v>43776</v>
      </c>
      <c r="CI442">
        <v>1</v>
      </c>
      <c r="CJ442">
        <v>1</v>
      </c>
      <c r="CK442">
        <v>21</v>
      </c>
      <c r="CL442" t="s">
        <v>89</v>
      </c>
    </row>
    <row r="443" spans="1:90">
      <c r="A443" t="s">
        <v>72</v>
      </c>
      <c r="B443" t="s">
        <v>73</v>
      </c>
      <c r="C443" t="s">
        <v>74</v>
      </c>
      <c r="E443" t="str">
        <f>"FES1162721040"</f>
        <v>FES1162721040</v>
      </c>
      <c r="F443" s="3">
        <v>43774</v>
      </c>
      <c r="G443">
        <v>202005</v>
      </c>
      <c r="H443" t="s">
        <v>75</v>
      </c>
      <c r="I443" t="s">
        <v>76</v>
      </c>
      <c r="J443" t="s">
        <v>77</v>
      </c>
      <c r="K443" t="s">
        <v>78</v>
      </c>
      <c r="L443" t="s">
        <v>482</v>
      </c>
      <c r="M443" t="s">
        <v>483</v>
      </c>
      <c r="N443" t="s">
        <v>594</v>
      </c>
      <c r="O443" t="s">
        <v>82</v>
      </c>
      <c r="P443" t="str">
        <f>"2170715326                    "</f>
        <v xml:space="preserve">2170715326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6.87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 s="4">
        <v>39.58</v>
      </c>
      <c r="BM443" s="4">
        <v>5.94</v>
      </c>
      <c r="BN443" s="4">
        <v>45.52</v>
      </c>
      <c r="BO443" s="4">
        <v>45.52</v>
      </c>
      <c r="BQ443" t="s">
        <v>109</v>
      </c>
      <c r="BR443" t="s">
        <v>84</v>
      </c>
      <c r="BS443" s="3">
        <v>43775</v>
      </c>
      <c r="BT443" s="5">
        <v>0.33333333333333331</v>
      </c>
      <c r="BU443" t="s">
        <v>793</v>
      </c>
      <c r="BV443" t="s">
        <v>86</v>
      </c>
      <c r="BY443">
        <v>1200</v>
      </c>
      <c r="CC443" t="s">
        <v>483</v>
      </c>
      <c r="CD443">
        <v>1459</v>
      </c>
      <c r="CE443" t="s">
        <v>147</v>
      </c>
      <c r="CF443" s="3">
        <v>43776</v>
      </c>
      <c r="CI443">
        <v>1</v>
      </c>
      <c r="CJ443">
        <v>1</v>
      </c>
      <c r="CK443">
        <v>22</v>
      </c>
      <c r="CL443" t="s">
        <v>89</v>
      </c>
    </row>
    <row r="444" spans="1:90">
      <c r="A444" t="s">
        <v>72</v>
      </c>
      <c r="B444" t="s">
        <v>73</v>
      </c>
      <c r="C444" t="s">
        <v>74</v>
      </c>
      <c r="E444" t="str">
        <f>"FES1162721182"</f>
        <v>FES1162721182</v>
      </c>
      <c r="F444" s="3">
        <v>43774</v>
      </c>
      <c r="G444">
        <v>202005</v>
      </c>
      <c r="H444" t="s">
        <v>75</v>
      </c>
      <c r="I444" t="s">
        <v>76</v>
      </c>
      <c r="J444" t="s">
        <v>77</v>
      </c>
      <c r="K444" t="s">
        <v>78</v>
      </c>
      <c r="L444" t="s">
        <v>106</v>
      </c>
      <c r="M444" t="s">
        <v>107</v>
      </c>
      <c r="N444" t="s">
        <v>128</v>
      </c>
      <c r="O444" t="s">
        <v>82</v>
      </c>
      <c r="P444" t="str">
        <f>"2170707124                    "</f>
        <v xml:space="preserve">2170707124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70.3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2</v>
      </c>
      <c r="BI444">
        <v>15.6</v>
      </c>
      <c r="BJ444">
        <v>6.2</v>
      </c>
      <c r="BK444">
        <v>16</v>
      </c>
      <c r="BL444" s="4">
        <v>405.05</v>
      </c>
      <c r="BM444" s="4">
        <v>60.76</v>
      </c>
      <c r="BN444" s="4">
        <v>465.81</v>
      </c>
      <c r="BO444" s="4">
        <v>465.81</v>
      </c>
      <c r="BQ444" t="s">
        <v>121</v>
      </c>
      <c r="BR444" t="s">
        <v>84</v>
      </c>
      <c r="BS444" s="3">
        <v>43775</v>
      </c>
      <c r="BT444" s="5">
        <v>0.33333333333333331</v>
      </c>
      <c r="BU444" t="s">
        <v>883</v>
      </c>
      <c r="BV444" t="s">
        <v>86</v>
      </c>
      <c r="BY444">
        <v>30779.54</v>
      </c>
      <c r="CA444" t="s">
        <v>87</v>
      </c>
      <c r="CC444" t="s">
        <v>107</v>
      </c>
      <c r="CD444">
        <v>6001</v>
      </c>
      <c r="CE444" t="s">
        <v>88</v>
      </c>
      <c r="CF444" s="3">
        <v>43776</v>
      </c>
      <c r="CI444">
        <v>1</v>
      </c>
      <c r="CJ444">
        <v>1</v>
      </c>
      <c r="CK444">
        <v>21</v>
      </c>
      <c r="CL444" t="s">
        <v>89</v>
      </c>
    </row>
    <row r="445" spans="1:90">
      <c r="A445" t="s">
        <v>72</v>
      </c>
      <c r="B445" t="s">
        <v>73</v>
      </c>
      <c r="C445" t="s">
        <v>74</v>
      </c>
      <c r="E445" t="str">
        <f>"FES1162721132"</f>
        <v>FES1162721132</v>
      </c>
      <c r="F445" s="3">
        <v>43774</v>
      </c>
      <c r="G445">
        <v>202005</v>
      </c>
      <c r="H445" t="s">
        <v>75</v>
      </c>
      <c r="I445" t="s">
        <v>76</v>
      </c>
      <c r="J445" t="s">
        <v>77</v>
      </c>
      <c r="K445" t="s">
        <v>78</v>
      </c>
      <c r="L445" t="s">
        <v>112</v>
      </c>
      <c r="M445" t="s">
        <v>113</v>
      </c>
      <c r="N445" t="s">
        <v>620</v>
      </c>
      <c r="O445" t="s">
        <v>82</v>
      </c>
      <c r="P445" t="str">
        <f>"2170715029                    "</f>
        <v xml:space="preserve">2170715029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15.38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2.5</v>
      </c>
      <c r="BJ445">
        <v>3.1</v>
      </c>
      <c r="BK445">
        <v>3.5</v>
      </c>
      <c r="BL445" s="4">
        <v>88.63</v>
      </c>
      <c r="BM445" s="4">
        <v>13.29</v>
      </c>
      <c r="BN445" s="4">
        <v>101.92</v>
      </c>
      <c r="BO445" s="4">
        <v>101.92</v>
      </c>
      <c r="BQ445" t="s">
        <v>109</v>
      </c>
      <c r="BR445" t="s">
        <v>84</v>
      </c>
      <c r="BS445" s="3">
        <v>43775</v>
      </c>
      <c r="BT445" s="5">
        <v>0.4375</v>
      </c>
      <c r="BU445" t="s">
        <v>884</v>
      </c>
      <c r="BV445" t="s">
        <v>86</v>
      </c>
      <c r="BY445">
        <v>15563.74</v>
      </c>
      <c r="CC445" t="s">
        <v>113</v>
      </c>
      <c r="CD445">
        <v>4302</v>
      </c>
      <c r="CE445" t="s">
        <v>88</v>
      </c>
      <c r="CF445" s="3">
        <v>43777</v>
      </c>
      <c r="CI445">
        <v>1</v>
      </c>
      <c r="CJ445">
        <v>1</v>
      </c>
      <c r="CK445">
        <v>21</v>
      </c>
      <c r="CL445" t="s">
        <v>89</v>
      </c>
    </row>
    <row r="446" spans="1:90">
      <c r="A446" t="s">
        <v>72</v>
      </c>
      <c r="B446" t="s">
        <v>73</v>
      </c>
      <c r="C446" t="s">
        <v>74</v>
      </c>
      <c r="E446" t="str">
        <f>"FES1162721209"</f>
        <v>FES1162721209</v>
      </c>
      <c r="F446" s="3">
        <v>43774</v>
      </c>
      <c r="G446">
        <v>202005</v>
      </c>
      <c r="H446" t="s">
        <v>75</v>
      </c>
      <c r="I446" t="s">
        <v>76</v>
      </c>
      <c r="J446" t="s">
        <v>77</v>
      </c>
      <c r="K446" t="s">
        <v>78</v>
      </c>
      <c r="L446" t="s">
        <v>118</v>
      </c>
      <c r="M446" t="s">
        <v>119</v>
      </c>
      <c r="N446" t="s">
        <v>885</v>
      </c>
      <c r="O446" t="s">
        <v>82</v>
      </c>
      <c r="P446" t="str">
        <f>"2170715481                    "</f>
        <v xml:space="preserve">2170715481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15.38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3.3</v>
      </c>
      <c r="BJ446">
        <v>1.3</v>
      </c>
      <c r="BK446">
        <v>3.5</v>
      </c>
      <c r="BL446" s="4">
        <v>88.63</v>
      </c>
      <c r="BM446" s="4">
        <v>13.29</v>
      </c>
      <c r="BN446" s="4">
        <v>101.92</v>
      </c>
      <c r="BO446" s="4">
        <v>101.92</v>
      </c>
      <c r="BQ446" t="s">
        <v>109</v>
      </c>
      <c r="BR446" t="s">
        <v>84</v>
      </c>
      <c r="BS446" s="3">
        <v>43775</v>
      </c>
      <c r="BT446" s="5">
        <v>0.3611111111111111</v>
      </c>
      <c r="BU446" t="s">
        <v>886</v>
      </c>
      <c r="BV446" t="s">
        <v>86</v>
      </c>
      <c r="BY446">
        <v>6365.64</v>
      </c>
      <c r="CA446" t="s">
        <v>435</v>
      </c>
      <c r="CC446" t="s">
        <v>119</v>
      </c>
      <c r="CD446">
        <v>3212</v>
      </c>
      <c r="CE446" t="s">
        <v>88</v>
      </c>
      <c r="CF446" s="3">
        <v>43777</v>
      </c>
      <c r="CI446">
        <v>1</v>
      </c>
      <c r="CJ446">
        <v>1</v>
      </c>
      <c r="CK446">
        <v>21</v>
      </c>
      <c r="CL446" t="s">
        <v>89</v>
      </c>
    </row>
    <row r="447" spans="1:90">
      <c r="A447" t="s">
        <v>72</v>
      </c>
      <c r="B447" t="s">
        <v>73</v>
      </c>
      <c r="C447" t="s">
        <v>74</v>
      </c>
      <c r="E447" t="str">
        <f>"FES1162721265"</f>
        <v>FES1162721265</v>
      </c>
      <c r="F447" s="3">
        <v>43774</v>
      </c>
      <c r="G447">
        <v>202005</v>
      </c>
      <c r="H447" t="s">
        <v>75</v>
      </c>
      <c r="I447" t="s">
        <v>76</v>
      </c>
      <c r="J447" t="s">
        <v>77</v>
      </c>
      <c r="K447" t="s">
        <v>78</v>
      </c>
      <c r="L447" t="s">
        <v>112</v>
      </c>
      <c r="M447" t="s">
        <v>113</v>
      </c>
      <c r="N447" t="s">
        <v>887</v>
      </c>
      <c r="O447" t="s">
        <v>82</v>
      </c>
      <c r="P447" t="str">
        <f>"2170709166                    "</f>
        <v xml:space="preserve">2170709166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13.19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2.9</v>
      </c>
      <c r="BJ447">
        <v>0.9</v>
      </c>
      <c r="BK447">
        <v>3</v>
      </c>
      <c r="BL447" s="4">
        <v>75.98</v>
      </c>
      <c r="BM447" s="4">
        <v>11.4</v>
      </c>
      <c r="BN447" s="4">
        <v>87.38</v>
      </c>
      <c r="BO447" s="4">
        <v>87.38</v>
      </c>
      <c r="BQ447" t="s">
        <v>121</v>
      </c>
      <c r="BR447" t="s">
        <v>84</v>
      </c>
      <c r="BS447" s="3">
        <v>43775</v>
      </c>
      <c r="BT447" s="5">
        <v>0.3125</v>
      </c>
      <c r="BU447" t="s">
        <v>295</v>
      </c>
      <c r="BV447" t="s">
        <v>86</v>
      </c>
      <c r="BY447">
        <v>4430.72</v>
      </c>
      <c r="CC447" t="s">
        <v>113</v>
      </c>
      <c r="CD447">
        <v>4001</v>
      </c>
      <c r="CE447" t="s">
        <v>88</v>
      </c>
      <c r="CF447" s="3">
        <v>43777</v>
      </c>
      <c r="CI447">
        <v>1</v>
      </c>
      <c r="CJ447">
        <v>1</v>
      </c>
      <c r="CK447">
        <v>21</v>
      </c>
      <c r="CL447" t="s">
        <v>89</v>
      </c>
    </row>
    <row r="448" spans="1:90">
      <c r="A448" t="s">
        <v>72</v>
      </c>
      <c r="B448" t="s">
        <v>73</v>
      </c>
      <c r="C448" t="s">
        <v>74</v>
      </c>
      <c r="E448" t="str">
        <f>"FES1162721243"</f>
        <v>FES1162721243</v>
      </c>
      <c r="F448" s="3">
        <v>43774</v>
      </c>
      <c r="G448">
        <v>202005</v>
      </c>
      <c r="H448" t="s">
        <v>75</v>
      </c>
      <c r="I448" t="s">
        <v>76</v>
      </c>
      <c r="J448" t="s">
        <v>77</v>
      </c>
      <c r="K448" t="s">
        <v>78</v>
      </c>
      <c r="L448" t="s">
        <v>112</v>
      </c>
      <c r="M448" t="s">
        <v>113</v>
      </c>
      <c r="N448" t="s">
        <v>160</v>
      </c>
      <c r="O448" t="s">
        <v>82</v>
      </c>
      <c r="P448" t="str">
        <f>"2170715520                    "</f>
        <v xml:space="preserve">2170715520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13.19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3</v>
      </c>
      <c r="BJ448">
        <v>1.3</v>
      </c>
      <c r="BK448">
        <v>3</v>
      </c>
      <c r="BL448" s="4">
        <v>75.98</v>
      </c>
      <c r="BM448" s="4">
        <v>11.4</v>
      </c>
      <c r="BN448" s="4">
        <v>87.38</v>
      </c>
      <c r="BO448" s="4">
        <v>87.38</v>
      </c>
      <c r="BQ448" t="s">
        <v>161</v>
      </c>
      <c r="BR448" t="s">
        <v>84</v>
      </c>
      <c r="BS448" s="3">
        <v>43775</v>
      </c>
      <c r="BT448" s="5">
        <v>0.3520833333333333</v>
      </c>
      <c r="BU448" t="s">
        <v>162</v>
      </c>
      <c r="BV448" t="s">
        <v>86</v>
      </c>
      <c r="BY448">
        <v>6278.12</v>
      </c>
      <c r="CA448" t="s">
        <v>163</v>
      </c>
      <c r="CC448" t="s">
        <v>113</v>
      </c>
      <c r="CD448">
        <v>4000</v>
      </c>
      <c r="CE448" t="s">
        <v>88</v>
      </c>
      <c r="CF448" s="3">
        <v>43777</v>
      </c>
      <c r="CI448">
        <v>1</v>
      </c>
      <c r="CJ448">
        <v>1</v>
      </c>
      <c r="CK448">
        <v>21</v>
      </c>
      <c r="CL448" t="s">
        <v>89</v>
      </c>
    </row>
    <row r="449" spans="1:90">
      <c r="A449" t="s">
        <v>72</v>
      </c>
      <c r="B449" t="s">
        <v>73</v>
      </c>
      <c r="C449" t="s">
        <v>74</v>
      </c>
      <c r="E449" t="str">
        <f>"FES1162721196"</f>
        <v>FES1162721196</v>
      </c>
      <c r="F449" s="3">
        <v>43774</v>
      </c>
      <c r="G449">
        <v>202005</v>
      </c>
      <c r="H449" t="s">
        <v>75</v>
      </c>
      <c r="I449" t="s">
        <v>76</v>
      </c>
      <c r="J449" t="s">
        <v>77</v>
      </c>
      <c r="K449" t="s">
        <v>78</v>
      </c>
      <c r="L449" t="s">
        <v>605</v>
      </c>
      <c r="M449" t="s">
        <v>606</v>
      </c>
      <c r="N449" t="s">
        <v>607</v>
      </c>
      <c r="O449" t="s">
        <v>82</v>
      </c>
      <c r="P449" t="str">
        <f>"2170714828                    "</f>
        <v xml:space="preserve">2170714828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12.36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2</v>
      </c>
      <c r="BJ449">
        <v>1.3</v>
      </c>
      <c r="BK449">
        <v>2</v>
      </c>
      <c r="BL449" s="4">
        <v>71.239999999999995</v>
      </c>
      <c r="BM449" s="4">
        <v>10.69</v>
      </c>
      <c r="BN449" s="4">
        <v>81.93</v>
      </c>
      <c r="BO449" s="4">
        <v>81.93</v>
      </c>
      <c r="BQ449" t="s">
        <v>121</v>
      </c>
      <c r="BR449" t="s">
        <v>84</v>
      </c>
      <c r="BS449" s="3">
        <v>43775</v>
      </c>
      <c r="BT449" s="5">
        <v>0.52083333333333337</v>
      </c>
      <c r="BU449" t="s">
        <v>888</v>
      </c>
      <c r="BV449" t="s">
        <v>86</v>
      </c>
      <c r="BY449">
        <v>6531.26</v>
      </c>
      <c r="CA449" t="s">
        <v>889</v>
      </c>
      <c r="CC449" t="s">
        <v>606</v>
      </c>
      <c r="CD449">
        <v>208</v>
      </c>
      <c r="CE449" t="s">
        <v>88</v>
      </c>
      <c r="CF449" s="3">
        <v>43776</v>
      </c>
      <c r="CI449">
        <v>1</v>
      </c>
      <c r="CJ449">
        <v>1</v>
      </c>
      <c r="CK449">
        <v>24</v>
      </c>
      <c r="CL449" t="s">
        <v>89</v>
      </c>
    </row>
    <row r="450" spans="1:90">
      <c r="A450" t="s">
        <v>72</v>
      </c>
      <c r="B450" t="s">
        <v>73</v>
      </c>
      <c r="C450" t="s">
        <v>74</v>
      </c>
      <c r="E450" t="str">
        <f>"FES1162721311"</f>
        <v>FES1162721311</v>
      </c>
      <c r="F450" s="3">
        <v>43774</v>
      </c>
      <c r="G450">
        <v>202005</v>
      </c>
      <c r="H450" t="s">
        <v>75</v>
      </c>
      <c r="I450" t="s">
        <v>76</v>
      </c>
      <c r="J450" t="s">
        <v>77</v>
      </c>
      <c r="K450" t="s">
        <v>78</v>
      </c>
      <c r="L450" t="s">
        <v>90</v>
      </c>
      <c r="M450" t="s">
        <v>91</v>
      </c>
      <c r="N450" t="s">
        <v>538</v>
      </c>
      <c r="O450" t="s">
        <v>82</v>
      </c>
      <c r="P450" t="str">
        <f>"2170715602                    "</f>
        <v xml:space="preserve">2170715602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8.7899999999999991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 s="4">
        <v>50.66</v>
      </c>
      <c r="BM450" s="4">
        <v>7.6</v>
      </c>
      <c r="BN450" s="4">
        <v>58.26</v>
      </c>
      <c r="BO450" s="4">
        <v>58.26</v>
      </c>
      <c r="BQ450" t="s">
        <v>109</v>
      </c>
      <c r="BR450" t="s">
        <v>84</v>
      </c>
      <c r="BS450" s="3">
        <v>43775</v>
      </c>
      <c r="BT450" s="5">
        <v>0.32430555555555557</v>
      </c>
      <c r="BU450" t="s">
        <v>813</v>
      </c>
      <c r="BV450" t="s">
        <v>86</v>
      </c>
      <c r="BY450">
        <v>1200</v>
      </c>
      <c r="CC450" t="s">
        <v>91</v>
      </c>
      <c r="CD450">
        <v>7530</v>
      </c>
      <c r="CE450" t="s">
        <v>147</v>
      </c>
      <c r="CF450" s="3">
        <v>43776</v>
      </c>
      <c r="CI450">
        <v>1</v>
      </c>
      <c r="CJ450">
        <v>1</v>
      </c>
      <c r="CK450">
        <v>21</v>
      </c>
      <c r="CL450" t="s">
        <v>89</v>
      </c>
    </row>
    <row r="451" spans="1:90">
      <c r="A451" t="s">
        <v>72</v>
      </c>
      <c r="B451" t="s">
        <v>73</v>
      </c>
      <c r="C451" t="s">
        <v>74</v>
      </c>
      <c r="E451" t="str">
        <f>"FES1162721313"</f>
        <v>FES1162721313</v>
      </c>
      <c r="F451" s="3">
        <v>43774</v>
      </c>
      <c r="G451">
        <v>202005</v>
      </c>
      <c r="H451" t="s">
        <v>75</v>
      </c>
      <c r="I451" t="s">
        <v>76</v>
      </c>
      <c r="J451" t="s">
        <v>77</v>
      </c>
      <c r="K451" t="s">
        <v>78</v>
      </c>
      <c r="L451" t="s">
        <v>214</v>
      </c>
      <c r="M451" t="s">
        <v>214</v>
      </c>
      <c r="N451" t="s">
        <v>312</v>
      </c>
      <c r="O451" t="s">
        <v>82</v>
      </c>
      <c r="P451" t="str">
        <f>"2170715603                    "</f>
        <v xml:space="preserve">2170715603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17.04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 s="4">
        <v>98.16</v>
      </c>
      <c r="BM451" s="4">
        <v>14.72</v>
      </c>
      <c r="BN451" s="4">
        <v>112.88</v>
      </c>
      <c r="BO451" s="4">
        <v>112.88</v>
      </c>
      <c r="BQ451" t="s">
        <v>121</v>
      </c>
      <c r="BR451" t="s">
        <v>84</v>
      </c>
      <c r="BS451" s="3">
        <v>43775</v>
      </c>
      <c r="BT451" s="5">
        <v>0.46388888888888885</v>
      </c>
      <c r="BU451" t="s">
        <v>890</v>
      </c>
      <c r="BV451" t="s">
        <v>86</v>
      </c>
      <c r="BY451">
        <v>1200</v>
      </c>
      <c r="CC451" t="s">
        <v>214</v>
      </c>
      <c r="CD451">
        <v>7646</v>
      </c>
      <c r="CE451" t="s">
        <v>147</v>
      </c>
      <c r="CF451" s="3">
        <v>43776</v>
      </c>
      <c r="CI451">
        <v>1</v>
      </c>
      <c r="CJ451">
        <v>1</v>
      </c>
      <c r="CK451">
        <v>23</v>
      </c>
      <c r="CL451" t="s">
        <v>89</v>
      </c>
    </row>
    <row r="452" spans="1:90">
      <c r="A452" t="s">
        <v>72</v>
      </c>
      <c r="B452" t="s">
        <v>73</v>
      </c>
      <c r="C452" t="s">
        <v>74</v>
      </c>
      <c r="E452" t="str">
        <f>"FES1162721307"</f>
        <v>FES1162721307</v>
      </c>
      <c r="F452" s="3">
        <v>43774</v>
      </c>
      <c r="G452">
        <v>202005</v>
      </c>
      <c r="H452" t="s">
        <v>75</v>
      </c>
      <c r="I452" t="s">
        <v>76</v>
      </c>
      <c r="J452" t="s">
        <v>77</v>
      </c>
      <c r="K452" t="s">
        <v>78</v>
      </c>
      <c r="L452" t="s">
        <v>891</v>
      </c>
      <c r="M452" t="s">
        <v>892</v>
      </c>
      <c r="N452" t="s">
        <v>893</v>
      </c>
      <c r="O452" t="s">
        <v>82</v>
      </c>
      <c r="P452" t="str">
        <f>"2170715597                    "</f>
        <v xml:space="preserve">2170715597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17.04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 s="4">
        <v>98.16</v>
      </c>
      <c r="BM452" s="4">
        <v>14.72</v>
      </c>
      <c r="BN452" s="4">
        <v>112.88</v>
      </c>
      <c r="BO452" s="4">
        <v>112.88</v>
      </c>
      <c r="BR452" t="s">
        <v>84</v>
      </c>
      <c r="BS452" s="3">
        <v>43775</v>
      </c>
      <c r="BT452" s="5">
        <v>0.49861111111111112</v>
      </c>
      <c r="BU452" t="s">
        <v>894</v>
      </c>
      <c r="BV452" t="s">
        <v>86</v>
      </c>
      <c r="BY452">
        <v>1200</v>
      </c>
      <c r="CC452" t="s">
        <v>892</v>
      </c>
      <c r="CD452">
        <v>7654</v>
      </c>
      <c r="CE452" t="s">
        <v>147</v>
      </c>
      <c r="CF452" s="3">
        <v>43776</v>
      </c>
      <c r="CI452">
        <v>1</v>
      </c>
      <c r="CJ452">
        <v>1</v>
      </c>
      <c r="CK452">
        <v>23</v>
      </c>
      <c r="CL452" t="s">
        <v>89</v>
      </c>
    </row>
    <row r="453" spans="1:90">
      <c r="A453" t="s">
        <v>72</v>
      </c>
      <c r="B453" t="s">
        <v>73</v>
      </c>
      <c r="C453" t="s">
        <v>74</v>
      </c>
      <c r="E453" t="str">
        <f>"FES1162721322"</f>
        <v>FES1162721322</v>
      </c>
      <c r="F453" s="3">
        <v>43774</v>
      </c>
      <c r="G453">
        <v>202005</v>
      </c>
      <c r="H453" t="s">
        <v>75</v>
      </c>
      <c r="I453" t="s">
        <v>76</v>
      </c>
      <c r="J453" t="s">
        <v>77</v>
      </c>
      <c r="K453" t="s">
        <v>78</v>
      </c>
      <c r="L453" t="s">
        <v>90</v>
      </c>
      <c r="M453" t="s">
        <v>91</v>
      </c>
      <c r="N453" t="s">
        <v>895</v>
      </c>
      <c r="O453" t="s">
        <v>82</v>
      </c>
      <c r="P453" t="str">
        <f>"2170715616                    "</f>
        <v xml:space="preserve">2170715616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8.7899999999999991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 s="4">
        <v>50.66</v>
      </c>
      <c r="BM453" s="4">
        <v>7.6</v>
      </c>
      <c r="BN453" s="4">
        <v>58.26</v>
      </c>
      <c r="BO453" s="4">
        <v>58.26</v>
      </c>
      <c r="BR453" t="s">
        <v>84</v>
      </c>
      <c r="BS453" s="3">
        <v>43775</v>
      </c>
      <c r="BT453" s="5">
        <v>0.41666666666666669</v>
      </c>
      <c r="BU453" t="s">
        <v>896</v>
      </c>
      <c r="BV453" t="s">
        <v>86</v>
      </c>
      <c r="BY453">
        <v>1200</v>
      </c>
      <c r="CA453" t="s">
        <v>717</v>
      </c>
      <c r="CC453" t="s">
        <v>91</v>
      </c>
      <c r="CD453">
        <v>7915</v>
      </c>
      <c r="CE453" t="s">
        <v>147</v>
      </c>
      <c r="CF453" s="3">
        <v>43776</v>
      </c>
      <c r="CI453">
        <v>1</v>
      </c>
      <c r="CJ453">
        <v>1</v>
      </c>
      <c r="CK453">
        <v>21</v>
      </c>
      <c r="CL453" t="s">
        <v>89</v>
      </c>
    </row>
    <row r="454" spans="1:90">
      <c r="A454" t="s">
        <v>72</v>
      </c>
      <c r="B454" t="s">
        <v>73</v>
      </c>
      <c r="C454" t="s">
        <v>74</v>
      </c>
      <c r="E454" t="str">
        <f>"FES1162721262"</f>
        <v>FES1162721262</v>
      </c>
      <c r="F454" s="3">
        <v>43774</v>
      </c>
      <c r="G454">
        <v>202005</v>
      </c>
      <c r="H454" t="s">
        <v>75</v>
      </c>
      <c r="I454" t="s">
        <v>76</v>
      </c>
      <c r="J454" t="s">
        <v>77</v>
      </c>
      <c r="K454" t="s">
        <v>78</v>
      </c>
      <c r="L454" t="s">
        <v>118</v>
      </c>
      <c r="M454" t="s">
        <v>119</v>
      </c>
      <c r="N454" t="s">
        <v>897</v>
      </c>
      <c r="O454" t="s">
        <v>82</v>
      </c>
      <c r="P454" t="str">
        <f>"2170715543                    "</f>
        <v xml:space="preserve">2170715543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30.76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6.9</v>
      </c>
      <c r="BJ454">
        <v>1.4</v>
      </c>
      <c r="BK454">
        <v>7</v>
      </c>
      <c r="BL454" s="4">
        <v>177.23</v>
      </c>
      <c r="BM454" s="4">
        <v>26.58</v>
      </c>
      <c r="BN454" s="4">
        <v>203.81</v>
      </c>
      <c r="BO454" s="4">
        <v>203.81</v>
      </c>
      <c r="BQ454" t="s">
        <v>121</v>
      </c>
      <c r="BR454" t="s">
        <v>84</v>
      </c>
      <c r="BS454" s="3">
        <v>43775</v>
      </c>
      <c r="BT454" s="5">
        <v>0.375</v>
      </c>
      <c r="BU454" t="s">
        <v>898</v>
      </c>
      <c r="BV454" t="s">
        <v>86</v>
      </c>
      <c r="BY454">
        <v>7170.5</v>
      </c>
      <c r="CA454" t="s">
        <v>777</v>
      </c>
      <c r="CC454" t="s">
        <v>119</v>
      </c>
      <c r="CD454">
        <v>3201</v>
      </c>
      <c r="CE454" t="s">
        <v>88</v>
      </c>
      <c r="CF454" s="3">
        <v>43777</v>
      </c>
      <c r="CI454">
        <v>1</v>
      </c>
      <c r="CJ454">
        <v>1</v>
      </c>
      <c r="CK454">
        <v>21</v>
      </c>
      <c r="CL454" t="s">
        <v>89</v>
      </c>
    </row>
    <row r="455" spans="1:90">
      <c r="A455" t="s">
        <v>72</v>
      </c>
      <c r="B455" t="s">
        <v>73</v>
      </c>
      <c r="C455" t="s">
        <v>74</v>
      </c>
      <c r="E455" t="str">
        <f>"FES1162721064"</f>
        <v>FES1162721064</v>
      </c>
      <c r="F455" s="3">
        <v>43774</v>
      </c>
      <c r="G455">
        <v>202005</v>
      </c>
      <c r="H455" t="s">
        <v>75</v>
      </c>
      <c r="I455" t="s">
        <v>76</v>
      </c>
      <c r="J455" t="s">
        <v>77</v>
      </c>
      <c r="K455" t="s">
        <v>78</v>
      </c>
      <c r="L455" t="s">
        <v>184</v>
      </c>
      <c r="M455" t="s">
        <v>185</v>
      </c>
      <c r="N455" t="s">
        <v>899</v>
      </c>
      <c r="O455" t="s">
        <v>82</v>
      </c>
      <c r="P455" t="str">
        <f>"2170715334                    "</f>
        <v xml:space="preserve">2170715334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23.33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8.6999999999999993</v>
      </c>
      <c r="BJ455">
        <v>11.7</v>
      </c>
      <c r="BK455">
        <v>12</v>
      </c>
      <c r="BL455" s="4">
        <v>134.44</v>
      </c>
      <c r="BM455" s="4">
        <v>20.170000000000002</v>
      </c>
      <c r="BN455" s="4">
        <v>154.61000000000001</v>
      </c>
      <c r="BO455" s="4">
        <v>154.61000000000001</v>
      </c>
      <c r="BQ455" t="s">
        <v>121</v>
      </c>
      <c r="BR455" t="s">
        <v>84</v>
      </c>
      <c r="BS455" s="3">
        <v>43775</v>
      </c>
      <c r="BT455" s="5">
        <v>0.36805555555555558</v>
      </c>
      <c r="BU455" t="s">
        <v>900</v>
      </c>
      <c r="BV455" t="s">
        <v>86</v>
      </c>
      <c r="BY455">
        <v>58338.19</v>
      </c>
      <c r="CC455" t="s">
        <v>185</v>
      </c>
      <c r="CD455">
        <v>1501</v>
      </c>
      <c r="CE455" t="s">
        <v>88</v>
      </c>
      <c r="CF455" s="3">
        <v>43776</v>
      </c>
      <c r="CI455">
        <v>1</v>
      </c>
      <c r="CJ455">
        <v>1</v>
      </c>
      <c r="CK455">
        <v>22</v>
      </c>
      <c r="CL455" t="s">
        <v>89</v>
      </c>
    </row>
    <row r="456" spans="1:90">
      <c r="A456" t="s">
        <v>72</v>
      </c>
      <c r="B456" t="s">
        <v>73</v>
      </c>
      <c r="C456" t="s">
        <v>74</v>
      </c>
      <c r="E456" t="str">
        <f>"FES1162721018"</f>
        <v>FES1162721018</v>
      </c>
      <c r="F456" s="3">
        <v>43774</v>
      </c>
      <c r="G456">
        <v>202005</v>
      </c>
      <c r="H456" t="s">
        <v>75</v>
      </c>
      <c r="I456" t="s">
        <v>76</v>
      </c>
      <c r="J456" t="s">
        <v>77</v>
      </c>
      <c r="K456" t="s">
        <v>78</v>
      </c>
      <c r="L456" t="s">
        <v>75</v>
      </c>
      <c r="M456" t="s">
        <v>76</v>
      </c>
      <c r="N456" t="s">
        <v>901</v>
      </c>
      <c r="O456" t="s">
        <v>82</v>
      </c>
      <c r="P456" t="str">
        <f>"2170715302                    "</f>
        <v xml:space="preserve">2170715302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6.87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 s="4">
        <v>39.58</v>
      </c>
      <c r="BM456" s="4">
        <v>5.94</v>
      </c>
      <c r="BN456" s="4">
        <v>45.52</v>
      </c>
      <c r="BO456" s="4">
        <v>45.52</v>
      </c>
      <c r="BQ456" t="s">
        <v>109</v>
      </c>
      <c r="BR456" t="s">
        <v>84</v>
      </c>
      <c r="BS456" s="3">
        <v>43775</v>
      </c>
      <c r="BT456" s="5">
        <v>0.33749999999999997</v>
      </c>
      <c r="BU456" t="s">
        <v>902</v>
      </c>
      <c r="BV456" t="s">
        <v>86</v>
      </c>
      <c r="BY456">
        <v>1200</v>
      </c>
      <c r="CA456" t="s">
        <v>198</v>
      </c>
      <c r="CC456" t="s">
        <v>76</v>
      </c>
      <c r="CD456">
        <v>1600</v>
      </c>
      <c r="CE456" t="s">
        <v>147</v>
      </c>
      <c r="CF456" s="3">
        <v>43776</v>
      </c>
      <c r="CI456">
        <v>1</v>
      </c>
      <c r="CJ456">
        <v>1</v>
      </c>
      <c r="CK456">
        <v>22</v>
      </c>
      <c r="CL456" t="s">
        <v>89</v>
      </c>
    </row>
    <row r="457" spans="1:90">
      <c r="A457" t="s">
        <v>72</v>
      </c>
      <c r="B457" t="s">
        <v>73</v>
      </c>
      <c r="C457" t="s">
        <v>74</v>
      </c>
      <c r="E457" t="str">
        <f>"FES1162721011"</f>
        <v>FES1162721011</v>
      </c>
      <c r="F457" s="3">
        <v>43774</v>
      </c>
      <c r="G457">
        <v>202005</v>
      </c>
      <c r="H457" t="s">
        <v>75</v>
      </c>
      <c r="I457" t="s">
        <v>76</v>
      </c>
      <c r="J457" t="s">
        <v>77</v>
      </c>
      <c r="K457" t="s">
        <v>78</v>
      </c>
      <c r="L457" t="s">
        <v>75</v>
      </c>
      <c r="M457" t="s">
        <v>76</v>
      </c>
      <c r="N457" t="s">
        <v>901</v>
      </c>
      <c r="O457" t="s">
        <v>82</v>
      </c>
      <c r="P457" t="str">
        <f>"2170715292                    "</f>
        <v xml:space="preserve">2170715292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6.87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 s="4">
        <v>39.58</v>
      </c>
      <c r="BM457" s="4">
        <v>5.94</v>
      </c>
      <c r="BN457" s="4">
        <v>45.52</v>
      </c>
      <c r="BO457" s="4">
        <v>45.52</v>
      </c>
      <c r="BQ457" t="s">
        <v>109</v>
      </c>
      <c r="BR457" t="s">
        <v>84</v>
      </c>
      <c r="BS457" s="3">
        <v>43775</v>
      </c>
      <c r="BT457" s="5">
        <v>0.33749999999999997</v>
      </c>
      <c r="BU457" t="s">
        <v>902</v>
      </c>
      <c r="BV457" t="s">
        <v>86</v>
      </c>
      <c r="BY457">
        <v>1200</v>
      </c>
      <c r="CA457" t="s">
        <v>198</v>
      </c>
      <c r="CC457" t="s">
        <v>76</v>
      </c>
      <c r="CD457">
        <v>1600</v>
      </c>
      <c r="CE457" t="s">
        <v>147</v>
      </c>
      <c r="CF457" s="3">
        <v>43776</v>
      </c>
      <c r="CI457">
        <v>1</v>
      </c>
      <c r="CJ457">
        <v>1</v>
      </c>
      <c r="CK457">
        <v>22</v>
      </c>
      <c r="CL457" t="s">
        <v>89</v>
      </c>
    </row>
    <row r="458" spans="1:90">
      <c r="A458" t="s">
        <v>72</v>
      </c>
      <c r="B458" t="s">
        <v>73</v>
      </c>
      <c r="C458" t="s">
        <v>74</v>
      </c>
      <c r="E458" t="str">
        <f>"FES1162720977"</f>
        <v>FES1162720977</v>
      </c>
      <c r="F458" s="3">
        <v>43774</v>
      </c>
      <c r="G458">
        <v>202005</v>
      </c>
      <c r="H458" t="s">
        <v>75</v>
      </c>
      <c r="I458" t="s">
        <v>76</v>
      </c>
      <c r="J458" t="s">
        <v>77</v>
      </c>
      <c r="K458" t="s">
        <v>78</v>
      </c>
      <c r="L458" t="s">
        <v>522</v>
      </c>
      <c r="M458" t="s">
        <v>523</v>
      </c>
      <c r="N458" t="s">
        <v>903</v>
      </c>
      <c r="O458" t="s">
        <v>82</v>
      </c>
      <c r="P458" t="str">
        <f>"2170715251                    "</f>
        <v xml:space="preserve">2170715251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17.04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 s="4">
        <v>98.16</v>
      </c>
      <c r="BM458" s="4">
        <v>14.72</v>
      </c>
      <c r="BN458" s="4">
        <v>112.88</v>
      </c>
      <c r="BO458" s="4">
        <v>112.88</v>
      </c>
      <c r="BQ458" t="s">
        <v>904</v>
      </c>
      <c r="BR458" t="s">
        <v>84</v>
      </c>
      <c r="BS458" s="3">
        <v>43775</v>
      </c>
      <c r="BT458" s="5">
        <v>0.38194444444444442</v>
      </c>
      <c r="BU458" t="s">
        <v>905</v>
      </c>
      <c r="BV458" t="s">
        <v>86</v>
      </c>
      <c r="BY458">
        <v>1200</v>
      </c>
      <c r="CA458" t="s">
        <v>526</v>
      </c>
      <c r="CC458" t="s">
        <v>523</v>
      </c>
      <c r="CD458">
        <v>1900</v>
      </c>
      <c r="CE458" t="s">
        <v>147</v>
      </c>
      <c r="CF458" s="3">
        <v>43776</v>
      </c>
      <c r="CI458">
        <v>1</v>
      </c>
      <c r="CJ458">
        <v>1</v>
      </c>
      <c r="CK458">
        <v>23</v>
      </c>
      <c r="CL458" t="s">
        <v>89</v>
      </c>
    </row>
    <row r="459" spans="1:90">
      <c r="A459" t="s">
        <v>72</v>
      </c>
      <c r="B459" t="s">
        <v>73</v>
      </c>
      <c r="C459" t="s">
        <v>74</v>
      </c>
      <c r="E459" t="str">
        <f>"FES1162721060"</f>
        <v>FES1162721060</v>
      </c>
      <c r="F459" s="3">
        <v>43774</v>
      </c>
      <c r="G459">
        <v>202005</v>
      </c>
      <c r="H459" t="s">
        <v>75</v>
      </c>
      <c r="I459" t="s">
        <v>76</v>
      </c>
      <c r="J459" t="s">
        <v>77</v>
      </c>
      <c r="K459" t="s">
        <v>78</v>
      </c>
      <c r="L459" t="s">
        <v>202</v>
      </c>
      <c r="M459" t="s">
        <v>203</v>
      </c>
      <c r="N459" t="s">
        <v>479</v>
      </c>
      <c r="O459" t="s">
        <v>82</v>
      </c>
      <c r="P459" t="str">
        <f>"2170715327                    "</f>
        <v xml:space="preserve">2170715327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6.87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 s="4">
        <v>39.58</v>
      </c>
      <c r="BM459" s="4">
        <v>5.94</v>
      </c>
      <c r="BN459" s="4">
        <v>45.52</v>
      </c>
      <c r="BO459" s="4">
        <v>45.52</v>
      </c>
      <c r="BQ459" t="s">
        <v>142</v>
      </c>
      <c r="BR459" t="s">
        <v>84</v>
      </c>
      <c r="BS459" s="3">
        <v>43775</v>
      </c>
      <c r="BT459" s="5">
        <v>0.375</v>
      </c>
      <c r="BU459" t="s">
        <v>694</v>
      </c>
      <c r="BV459" t="s">
        <v>86</v>
      </c>
      <c r="BY459">
        <v>1200</v>
      </c>
      <c r="CC459" t="s">
        <v>203</v>
      </c>
      <c r="CD459">
        <v>1401</v>
      </c>
      <c r="CE459" t="s">
        <v>147</v>
      </c>
      <c r="CF459" s="3">
        <v>43776</v>
      </c>
      <c r="CI459">
        <v>1</v>
      </c>
      <c r="CJ459">
        <v>1</v>
      </c>
      <c r="CK459">
        <v>22</v>
      </c>
      <c r="CL459" t="s">
        <v>89</v>
      </c>
    </row>
    <row r="460" spans="1:90">
      <c r="A460" t="s">
        <v>72</v>
      </c>
      <c r="B460" t="s">
        <v>73</v>
      </c>
      <c r="C460" t="s">
        <v>74</v>
      </c>
      <c r="E460" t="str">
        <f>"FES1162721327"</f>
        <v>FES1162721327</v>
      </c>
      <c r="F460" s="3">
        <v>43774</v>
      </c>
      <c r="G460">
        <v>202005</v>
      </c>
      <c r="H460" t="s">
        <v>75</v>
      </c>
      <c r="I460" t="s">
        <v>76</v>
      </c>
      <c r="J460" t="s">
        <v>77</v>
      </c>
      <c r="K460" t="s">
        <v>78</v>
      </c>
      <c r="L460" t="s">
        <v>106</v>
      </c>
      <c r="M460" t="s">
        <v>107</v>
      </c>
      <c r="N460" t="s">
        <v>906</v>
      </c>
      <c r="O460" t="s">
        <v>82</v>
      </c>
      <c r="P460" t="str">
        <f>"2170715625                    "</f>
        <v xml:space="preserve">2170715625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8.7899999999999991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 s="4">
        <v>50.66</v>
      </c>
      <c r="BM460" s="4">
        <v>7.6</v>
      </c>
      <c r="BN460" s="4">
        <v>58.26</v>
      </c>
      <c r="BO460" s="4">
        <v>58.26</v>
      </c>
      <c r="BQ460" t="s">
        <v>121</v>
      </c>
      <c r="BR460" t="s">
        <v>84</v>
      </c>
      <c r="BS460" s="3">
        <v>43775</v>
      </c>
      <c r="BT460" s="5">
        <v>0.37708333333333338</v>
      </c>
      <c r="BU460" t="s">
        <v>907</v>
      </c>
      <c r="BV460" t="s">
        <v>86</v>
      </c>
      <c r="BY460">
        <v>1200</v>
      </c>
      <c r="CA460" t="s">
        <v>111</v>
      </c>
      <c r="CC460" t="s">
        <v>107</v>
      </c>
      <c r="CD460">
        <v>6001</v>
      </c>
      <c r="CE460" t="s">
        <v>147</v>
      </c>
      <c r="CF460" s="3">
        <v>43776</v>
      </c>
      <c r="CI460">
        <v>1</v>
      </c>
      <c r="CJ460">
        <v>1</v>
      </c>
      <c r="CK460">
        <v>21</v>
      </c>
      <c r="CL460" t="s">
        <v>89</v>
      </c>
    </row>
    <row r="461" spans="1:90">
      <c r="A461" t="s">
        <v>72</v>
      </c>
      <c r="B461" t="s">
        <v>73</v>
      </c>
      <c r="C461" t="s">
        <v>74</v>
      </c>
      <c r="E461" t="str">
        <f>"FES1162721319"</f>
        <v>FES1162721319</v>
      </c>
      <c r="F461" s="3">
        <v>43774</v>
      </c>
      <c r="G461">
        <v>202005</v>
      </c>
      <c r="H461" t="s">
        <v>75</v>
      </c>
      <c r="I461" t="s">
        <v>76</v>
      </c>
      <c r="J461" t="s">
        <v>77</v>
      </c>
      <c r="K461" t="s">
        <v>78</v>
      </c>
      <c r="L461" t="s">
        <v>79</v>
      </c>
      <c r="M461" t="s">
        <v>80</v>
      </c>
      <c r="N461" t="s">
        <v>908</v>
      </c>
      <c r="O461" t="s">
        <v>82</v>
      </c>
      <c r="P461" t="str">
        <f>"2170715611                    "</f>
        <v xml:space="preserve">2170715611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8.7899999999999991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 s="4">
        <v>50.66</v>
      </c>
      <c r="BM461" s="4">
        <v>7.6</v>
      </c>
      <c r="BN461" s="4">
        <v>58.26</v>
      </c>
      <c r="BO461" s="4">
        <v>58.26</v>
      </c>
      <c r="BQ461" t="s">
        <v>909</v>
      </c>
      <c r="BR461" t="s">
        <v>84</v>
      </c>
      <c r="BS461" s="3">
        <v>43775</v>
      </c>
      <c r="BT461" s="5">
        <v>0.3298611111111111</v>
      </c>
      <c r="BU461" t="s">
        <v>910</v>
      </c>
      <c r="BV461" t="s">
        <v>86</v>
      </c>
      <c r="BY461">
        <v>1200</v>
      </c>
      <c r="CA461" t="s">
        <v>854</v>
      </c>
      <c r="CC461" t="s">
        <v>80</v>
      </c>
      <c r="CD461">
        <v>6230</v>
      </c>
      <c r="CE461" t="s">
        <v>147</v>
      </c>
      <c r="CF461" s="3">
        <v>43776</v>
      </c>
      <c r="CI461">
        <v>1</v>
      </c>
      <c r="CJ461">
        <v>1</v>
      </c>
      <c r="CK461">
        <v>21</v>
      </c>
      <c r="CL461" t="s">
        <v>89</v>
      </c>
    </row>
    <row r="462" spans="1:90">
      <c r="A462" t="s">
        <v>72</v>
      </c>
      <c r="B462" t="s">
        <v>73</v>
      </c>
      <c r="C462" t="s">
        <v>74</v>
      </c>
      <c r="E462" t="str">
        <f>"FES1162721302"</f>
        <v>FES1162721302</v>
      </c>
      <c r="F462" s="3">
        <v>43774</v>
      </c>
      <c r="G462">
        <v>202005</v>
      </c>
      <c r="H462" t="s">
        <v>75</v>
      </c>
      <c r="I462" t="s">
        <v>76</v>
      </c>
      <c r="J462" t="s">
        <v>77</v>
      </c>
      <c r="K462" t="s">
        <v>78</v>
      </c>
      <c r="L462" t="s">
        <v>133</v>
      </c>
      <c r="M462" t="s">
        <v>134</v>
      </c>
      <c r="N462" t="s">
        <v>310</v>
      </c>
      <c r="O462" t="s">
        <v>82</v>
      </c>
      <c r="P462" t="str">
        <f>"2170715586                    "</f>
        <v xml:space="preserve">2170715586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8.7899999999999991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 s="4">
        <v>50.66</v>
      </c>
      <c r="BM462" s="4">
        <v>7.6</v>
      </c>
      <c r="BN462" s="4">
        <v>58.26</v>
      </c>
      <c r="BO462" s="4">
        <v>58.26</v>
      </c>
      <c r="BQ462" t="s">
        <v>121</v>
      </c>
      <c r="BR462" t="s">
        <v>84</v>
      </c>
      <c r="BS462" s="3">
        <v>43775</v>
      </c>
      <c r="BT462" s="5">
        <v>0.43402777777777773</v>
      </c>
      <c r="BU462" t="s">
        <v>911</v>
      </c>
      <c r="BV462" t="s">
        <v>86</v>
      </c>
      <c r="BY462">
        <v>1200</v>
      </c>
      <c r="CA462" t="s">
        <v>912</v>
      </c>
      <c r="CC462" t="s">
        <v>134</v>
      </c>
      <c r="CD462">
        <v>5201</v>
      </c>
      <c r="CE462" t="s">
        <v>147</v>
      </c>
      <c r="CF462" s="3">
        <v>43777</v>
      </c>
      <c r="CI462">
        <v>1</v>
      </c>
      <c r="CJ462">
        <v>1</v>
      </c>
      <c r="CK462">
        <v>21</v>
      </c>
      <c r="CL462" t="s">
        <v>89</v>
      </c>
    </row>
    <row r="463" spans="1:90">
      <c r="A463" t="s">
        <v>72</v>
      </c>
      <c r="B463" t="s">
        <v>73</v>
      </c>
      <c r="C463" t="s">
        <v>74</v>
      </c>
      <c r="E463" t="str">
        <f>"FES1162721310"</f>
        <v>FES1162721310</v>
      </c>
      <c r="F463" s="3">
        <v>43774</v>
      </c>
      <c r="G463">
        <v>202005</v>
      </c>
      <c r="H463" t="s">
        <v>75</v>
      </c>
      <c r="I463" t="s">
        <v>76</v>
      </c>
      <c r="J463" t="s">
        <v>77</v>
      </c>
      <c r="K463" t="s">
        <v>78</v>
      </c>
      <c r="L463" t="s">
        <v>90</v>
      </c>
      <c r="M463" t="s">
        <v>91</v>
      </c>
      <c r="N463" t="s">
        <v>538</v>
      </c>
      <c r="O463" t="s">
        <v>82</v>
      </c>
      <c r="P463" t="str">
        <f>"2170715601                    "</f>
        <v xml:space="preserve">2170715601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10.99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2.2000000000000002</v>
      </c>
      <c r="BJ463">
        <v>1.3</v>
      </c>
      <c r="BK463">
        <v>2.5</v>
      </c>
      <c r="BL463" s="4">
        <v>63.32</v>
      </c>
      <c r="BM463" s="4">
        <v>9.5</v>
      </c>
      <c r="BN463" s="4">
        <v>72.819999999999993</v>
      </c>
      <c r="BO463" s="4">
        <v>72.819999999999993</v>
      </c>
      <c r="BQ463" t="s">
        <v>109</v>
      </c>
      <c r="BR463" t="s">
        <v>84</v>
      </c>
      <c r="BS463" s="3">
        <v>43775</v>
      </c>
      <c r="BT463" s="5">
        <v>0.32430555555555557</v>
      </c>
      <c r="BU463" t="s">
        <v>813</v>
      </c>
      <c r="BV463" t="s">
        <v>86</v>
      </c>
      <c r="BY463">
        <v>6416.26</v>
      </c>
      <c r="CC463" t="s">
        <v>91</v>
      </c>
      <c r="CD463">
        <v>7530</v>
      </c>
      <c r="CE463" t="s">
        <v>88</v>
      </c>
      <c r="CF463" s="3">
        <v>43776</v>
      </c>
      <c r="CI463">
        <v>1</v>
      </c>
      <c r="CJ463">
        <v>1</v>
      </c>
      <c r="CK463">
        <v>21</v>
      </c>
      <c r="CL463" t="s">
        <v>89</v>
      </c>
    </row>
    <row r="464" spans="1:90">
      <c r="A464" t="s">
        <v>72</v>
      </c>
      <c r="B464" t="s">
        <v>73</v>
      </c>
      <c r="C464" t="s">
        <v>74</v>
      </c>
      <c r="E464" t="str">
        <f>"FES1162721324"</f>
        <v>FES1162721324</v>
      </c>
      <c r="F464" s="3">
        <v>43774</v>
      </c>
      <c r="G464">
        <v>202005</v>
      </c>
      <c r="H464" t="s">
        <v>75</v>
      </c>
      <c r="I464" t="s">
        <v>76</v>
      </c>
      <c r="J464" t="s">
        <v>77</v>
      </c>
      <c r="K464" t="s">
        <v>78</v>
      </c>
      <c r="L464" t="s">
        <v>90</v>
      </c>
      <c r="M464" t="s">
        <v>91</v>
      </c>
      <c r="N464" t="s">
        <v>538</v>
      </c>
      <c r="O464" t="s">
        <v>82</v>
      </c>
      <c r="P464" t="str">
        <f>"2170715620                    "</f>
        <v xml:space="preserve">2170715620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46.13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2</v>
      </c>
      <c r="BI464">
        <v>10.4</v>
      </c>
      <c r="BJ464">
        <v>4</v>
      </c>
      <c r="BK464">
        <v>10.5</v>
      </c>
      <c r="BL464" s="4">
        <v>265.82</v>
      </c>
      <c r="BM464" s="4">
        <v>39.869999999999997</v>
      </c>
      <c r="BN464" s="4">
        <v>305.69</v>
      </c>
      <c r="BO464" s="4">
        <v>305.69</v>
      </c>
      <c r="BQ464" t="s">
        <v>109</v>
      </c>
      <c r="BR464" t="s">
        <v>84</v>
      </c>
      <c r="BS464" s="3">
        <v>43775</v>
      </c>
      <c r="BT464" s="5">
        <v>0.32430555555555557</v>
      </c>
      <c r="BU464" t="s">
        <v>813</v>
      </c>
      <c r="BV464" t="s">
        <v>86</v>
      </c>
      <c r="BY464">
        <v>19800.14</v>
      </c>
      <c r="CC464" t="s">
        <v>91</v>
      </c>
      <c r="CD464">
        <v>7530</v>
      </c>
      <c r="CE464" t="s">
        <v>88</v>
      </c>
      <c r="CF464" s="3">
        <v>43776</v>
      </c>
      <c r="CI464">
        <v>1</v>
      </c>
      <c r="CJ464">
        <v>1</v>
      </c>
      <c r="CK464">
        <v>21</v>
      </c>
      <c r="CL464" t="s">
        <v>89</v>
      </c>
    </row>
    <row r="465" spans="1:90">
      <c r="A465" t="s">
        <v>72</v>
      </c>
      <c r="B465" t="s">
        <v>73</v>
      </c>
      <c r="C465" t="s">
        <v>74</v>
      </c>
      <c r="E465" t="str">
        <f>"FES1162721336"</f>
        <v>FES1162721336</v>
      </c>
      <c r="F465" s="3">
        <v>43774</v>
      </c>
      <c r="G465">
        <v>202005</v>
      </c>
      <c r="H465" t="s">
        <v>75</v>
      </c>
      <c r="I465" t="s">
        <v>76</v>
      </c>
      <c r="J465" t="s">
        <v>77</v>
      </c>
      <c r="K465" t="s">
        <v>78</v>
      </c>
      <c r="L465" t="s">
        <v>90</v>
      </c>
      <c r="M465" t="s">
        <v>91</v>
      </c>
      <c r="N465" t="s">
        <v>538</v>
      </c>
      <c r="O465" t="s">
        <v>82</v>
      </c>
      <c r="P465" t="str">
        <f>"2170715633                    "</f>
        <v xml:space="preserve">2170715633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8.7899999999999991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 s="4">
        <v>50.66</v>
      </c>
      <c r="BM465" s="4">
        <v>7.6</v>
      </c>
      <c r="BN465" s="4">
        <v>58.26</v>
      </c>
      <c r="BO465" s="4">
        <v>58.26</v>
      </c>
      <c r="BQ465" t="s">
        <v>109</v>
      </c>
      <c r="BR465" t="s">
        <v>84</v>
      </c>
      <c r="BS465" s="3">
        <v>43775</v>
      </c>
      <c r="BT465" s="5">
        <v>0.32430555555555557</v>
      </c>
      <c r="BU465" t="s">
        <v>813</v>
      </c>
      <c r="BV465" t="s">
        <v>86</v>
      </c>
      <c r="BY465">
        <v>1200</v>
      </c>
      <c r="CC465" t="s">
        <v>91</v>
      </c>
      <c r="CD465">
        <v>7530</v>
      </c>
      <c r="CE465" t="s">
        <v>147</v>
      </c>
      <c r="CF465" s="3">
        <v>43776</v>
      </c>
      <c r="CI465">
        <v>1</v>
      </c>
      <c r="CJ465">
        <v>1</v>
      </c>
      <c r="CK465">
        <v>21</v>
      </c>
      <c r="CL465" t="s">
        <v>89</v>
      </c>
    </row>
    <row r="466" spans="1:90">
      <c r="A466" t="s">
        <v>72</v>
      </c>
      <c r="B466" t="s">
        <v>73</v>
      </c>
      <c r="C466" t="s">
        <v>74</v>
      </c>
      <c r="E466" t="str">
        <f>"FES1162721294"</f>
        <v>FES1162721294</v>
      </c>
      <c r="F466" s="3">
        <v>43774</v>
      </c>
      <c r="G466">
        <v>202005</v>
      </c>
      <c r="H466" t="s">
        <v>75</v>
      </c>
      <c r="I466" t="s">
        <v>76</v>
      </c>
      <c r="J466" t="s">
        <v>77</v>
      </c>
      <c r="K466" t="s">
        <v>78</v>
      </c>
      <c r="L466" t="s">
        <v>101</v>
      </c>
      <c r="M466" t="s">
        <v>102</v>
      </c>
      <c r="N466" t="s">
        <v>913</v>
      </c>
      <c r="O466" t="s">
        <v>82</v>
      </c>
      <c r="P466" t="str">
        <f>"2170715575                    "</f>
        <v xml:space="preserve">2170715575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8.7899999999999991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 s="4">
        <v>50.66</v>
      </c>
      <c r="BM466" s="4">
        <v>7.6</v>
      </c>
      <c r="BN466" s="4">
        <v>58.26</v>
      </c>
      <c r="BO466" s="4">
        <v>58.26</v>
      </c>
      <c r="BQ466" t="s">
        <v>914</v>
      </c>
      <c r="BR466" t="s">
        <v>84</v>
      </c>
      <c r="BS466" s="3">
        <v>43775</v>
      </c>
      <c r="BT466" s="5">
        <v>0.37152777777777773</v>
      </c>
      <c r="BU466" t="s">
        <v>915</v>
      </c>
      <c r="BV466" t="s">
        <v>86</v>
      </c>
      <c r="BY466">
        <v>1200</v>
      </c>
      <c r="CA466" t="s">
        <v>916</v>
      </c>
      <c r="CC466" t="s">
        <v>102</v>
      </c>
      <c r="CD466">
        <v>84</v>
      </c>
      <c r="CE466" t="s">
        <v>147</v>
      </c>
      <c r="CI466">
        <v>1</v>
      </c>
      <c r="CJ466">
        <v>1</v>
      </c>
      <c r="CK466">
        <v>21</v>
      </c>
      <c r="CL466" t="s">
        <v>89</v>
      </c>
    </row>
    <row r="467" spans="1:90">
      <c r="A467" t="s">
        <v>72</v>
      </c>
      <c r="B467" t="s">
        <v>73</v>
      </c>
      <c r="C467" t="s">
        <v>74</v>
      </c>
      <c r="E467" t="str">
        <f>"FES1162721257"</f>
        <v>FES1162721257</v>
      </c>
      <c r="F467" s="3">
        <v>43774</v>
      </c>
      <c r="G467">
        <v>202005</v>
      </c>
      <c r="H467" t="s">
        <v>75</v>
      </c>
      <c r="I467" t="s">
        <v>76</v>
      </c>
      <c r="J467" t="s">
        <v>77</v>
      </c>
      <c r="K467" t="s">
        <v>78</v>
      </c>
      <c r="L467" t="s">
        <v>917</v>
      </c>
      <c r="M467" t="s">
        <v>918</v>
      </c>
      <c r="N467" t="s">
        <v>919</v>
      </c>
      <c r="O467" t="s">
        <v>82</v>
      </c>
      <c r="P467" t="str">
        <f>"2170715523                    "</f>
        <v xml:space="preserve">2170715523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12.36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 s="4">
        <v>71.239999999999995</v>
      </c>
      <c r="BM467" s="4">
        <v>10.69</v>
      </c>
      <c r="BN467" s="4">
        <v>81.93</v>
      </c>
      <c r="BO467" s="4">
        <v>81.93</v>
      </c>
      <c r="BQ467" t="s">
        <v>109</v>
      </c>
      <c r="BR467" t="s">
        <v>84</v>
      </c>
      <c r="BS467" s="3">
        <v>43775</v>
      </c>
      <c r="BT467" s="5">
        <v>0.375</v>
      </c>
      <c r="BU467" t="s">
        <v>920</v>
      </c>
      <c r="BV467" t="s">
        <v>86</v>
      </c>
      <c r="BY467">
        <v>1200</v>
      </c>
      <c r="CC467" t="s">
        <v>918</v>
      </c>
      <c r="CD467">
        <v>2210</v>
      </c>
      <c r="CE467" t="s">
        <v>147</v>
      </c>
      <c r="CF467" s="3">
        <v>43776</v>
      </c>
      <c r="CI467">
        <v>1</v>
      </c>
      <c r="CJ467">
        <v>1</v>
      </c>
      <c r="CK467">
        <v>24</v>
      </c>
      <c r="CL467" t="s">
        <v>89</v>
      </c>
    </row>
    <row r="468" spans="1:90">
      <c r="A468" t="s">
        <v>72</v>
      </c>
      <c r="B468" t="s">
        <v>73</v>
      </c>
      <c r="C468" t="s">
        <v>74</v>
      </c>
      <c r="E468" t="str">
        <f>"FES1162721316"</f>
        <v>FES1162721316</v>
      </c>
      <c r="F468" s="3">
        <v>43774</v>
      </c>
      <c r="G468">
        <v>202005</v>
      </c>
      <c r="H468" t="s">
        <v>75</v>
      </c>
      <c r="I468" t="s">
        <v>76</v>
      </c>
      <c r="J468" t="s">
        <v>77</v>
      </c>
      <c r="K468" t="s">
        <v>78</v>
      </c>
      <c r="L468" t="s">
        <v>605</v>
      </c>
      <c r="M468" t="s">
        <v>606</v>
      </c>
      <c r="N468" t="s">
        <v>785</v>
      </c>
      <c r="O468" t="s">
        <v>82</v>
      </c>
      <c r="P468" t="str">
        <f>"2170715607                    "</f>
        <v xml:space="preserve">2170715607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12.36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 s="4">
        <v>71.239999999999995</v>
      </c>
      <c r="BM468" s="4">
        <v>10.69</v>
      </c>
      <c r="BN468" s="4">
        <v>81.93</v>
      </c>
      <c r="BO468" s="4">
        <v>81.93</v>
      </c>
      <c r="BQ468" t="s">
        <v>109</v>
      </c>
      <c r="BR468" t="s">
        <v>84</v>
      </c>
      <c r="BS468" s="3">
        <v>43775</v>
      </c>
      <c r="BT468" s="5">
        <v>0.5</v>
      </c>
      <c r="BU468" t="s">
        <v>921</v>
      </c>
      <c r="BV468" t="s">
        <v>86</v>
      </c>
      <c r="BY468">
        <v>1200</v>
      </c>
      <c r="CA468" t="s">
        <v>922</v>
      </c>
      <c r="CC468" t="s">
        <v>606</v>
      </c>
      <c r="CD468">
        <v>407</v>
      </c>
      <c r="CE468" t="s">
        <v>147</v>
      </c>
      <c r="CI468">
        <v>1</v>
      </c>
      <c r="CJ468">
        <v>1</v>
      </c>
      <c r="CK468">
        <v>24</v>
      </c>
      <c r="CL468" t="s">
        <v>89</v>
      </c>
    </row>
    <row r="469" spans="1:90">
      <c r="A469" t="s">
        <v>72</v>
      </c>
      <c r="B469" t="s">
        <v>73</v>
      </c>
      <c r="C469" t="s">
        <v>74</v>
      </c>
      <c r="E469" t="str">
        <f>"FES1162721308"</f>
        <v>FES1162721308</v>
      </c>
      <c r="F469" s="3">
        <v>43774</v>
      </c>
      <c r="G469">
        <v>202005</v>
      </c>
      <c r="H469" t="s">
        <v>75</v>
      </c>
      <c r="I469" t="s">
        <v>76</v>
      </c>
      <c r="J469" t="s">
        <v>77</v>
      </c>
      <c r="K469" t="s">
        <v>78</v>
      </c>
      <c r="L469" t="s">
        <v>101</v>
      </c>
      <c r="M469" t="s">
        <v>102</v>
      </c>
      <c r="N469" t="s">
        <v>923</v>
      </c>
      <c r="O469" t="s">
        <v>82</v>
      </c>
      <c r="P469" t="str">
        <f>"21707155599                   "</f>
        <v xml:space="preserve">21707155599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8.7899999999999991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 s="4">
        <v>50.66</v>
      </c>
      <c r="BM469" s="4">
        <v>7.6</v>
      </c>
      <c r="BN469" s="4">
        <v>58.26</v>
      </c>
      <c r="BO469" s="4">
        <v>58.26</v>
      </c>
      <c r="BQ469" t="s">
        <v>109</v>
      </c>
      <c r="BR469" t="s">
        <v>84</v>
      </c>
      <c r="BS469" s="3">
        <v>43775</v>
      </c>
      <c r="BT469" s="5">
        <v>0.48749999999999999</v>
      </c>
      <c r="BU469" t="s">
        <v>924</v>
      </c>
      <c r="BV469" t="s">
        <v>89</v>
      </c>
      <c r="BY469">
        <v>1200</v>
      </c>
      <c r="CA469" t="s">
        <v>878</v>
      </c>
      <c r="CC469" t="s">
        <v>102</v>
      </c>
      <c r="CD469">
        <v>2</v>
      </c>
      <c r="CE469" t="s">
        <v>147</v>
      </c>
      <c r="CF469" s="3">
        <v>43776</v>
      </c>
      <c r="CI469">
        <v>1</v>
      </c>
      <c r="CJ469">
        <v>1</v>
      </c>
      <c r="CK469">
        <v>21</v>
      </c>
      <c r="CL469" t="s">
        <v>89</v>
      </c>
    </row>
    <row r="470" spans="1:90">
      <c r="A470" t="s">
        <v>72</v>
      </c>
      <c r="B470" t="s">
        <v>73</v>
      </c>
      <c r="C470" t="s">
        <v>74</v>
      </c>
      <c r="E470" t="str">
        <f>"FES1162721309"</f>
        <v>FES1162721309</v>
      </c>
      <c r="F470" s="3">
        <v>43774</v>
      </c>
      <c r="G470">
        <v>202005</v>
      </c>
      <c r="H470" t="s">
        <v>75</v>
      </c>
      <c r="I470" t="s">
        <v>76</v>
      </c>
      <c r="J470" t="s">
        <v>77</v>
      </c>
      <c r="K470" t="s">
        <v>78</v>
      </c>
      <c r="L470" t="s">
        <v>925</v>
      </c>
      <c r="M470" t="s">
        <v>926</v>
      </c>
      <c r="N470" t="s">
        <v>927</v>
      </c>
      <c r="O470" t="s">
        <v>82</v>
      </c>
      <c r="P470" t="str">
        <f>"2170713871                    "</f>
        <v xml:space="preserve">2170713871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12.36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 s="4">
        <v>71.239999999999995</v>
      </c>
      <c r="BM470" s="4">
        <v>10.69</v>
      </c>
      <c r="BN470" s="4">
        <v>81.93</v>
      </c>
      <c r="BO470" s="4">
        <v>81.93</v>
      </c>
      <c r="BQ470" t="s">
        <v>109</v>
      </c>
      <c r="BR470" t="s">
        <v>84</v>
      </c>
      <c r="BS470" s="3">
        <v>43775</v>
      </c>
      <c r="BT470" s="5">
        <v>0.55138888888888882</v>
      </c>
      <c r="BU470" t="s">
        <v>928</v>
      </c>
      <c r="BV470" t="s">
        <v>86</v>
      </c>
      <c r="BY470">
        <v>1200</v>
      </c>
      <c r="CA470" t="s">
        <v>929</v>
      </c>
      <c r="CC470" t="s">
        <v>926</v>
      </c>
      <c r="CD470">
        <v>1028</v>
      </c>
      <c r="CE470" t="s">
        <v>147</v>
      </c>
      <c r="CF470" s="3">
        <v>43776</v>
      </c>
      <c r="CI470">
        <v>1</v>
      </c>
      <c r="CJ470">
        <v>1</v>
      </c>
      <c r="CK470">
        <v>24</v>
      </c>
      <c r="CL470" t="s">
        <v>89</v>
      </c>
    </row>
    <row r="471" spans="1:90">
      <c r="A471" t="s">
        <v>72</v>
      </c>
      <c r="B471" t="s">
        <v>73</v>
      </c>
      <c r="C471" t="s">
        <v>74</v>
      </c>
      <c r="E471" t="str">
        <f>"FES1162721315"</f>
        <v>FES1162721315</v>
      </c>
      <c r="F471" s="3">
        <v>43774</v>
      </c>
      <c r="G471">
        <v>202005</v>
      </c>
      <c r="H471" t="s">
        <v>75</v>
      </c>
      <c r="I471" t="s">
        <v>76</v>
      </c>
      <c r="J471" t="s">
        <v>77</v>
      </c>
      <c r="K471" t="s">
        <v>78</v>
      </c>
      <c r="L471" t="s">
        <v>605</v>
      </c>
      <c r="M471" t="s">
        <v>606</v>
      </c>
      <c r="N471" t="s">
        <v>785</v>
      </c>
      <c r="O471" t="s">
        <v>82</v>
      </c>
      <c r="P471" t="str">
        <f>"2170715606                    "</f>
        <v xml:space="preserve">2170715606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12.36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 s="4">
        <v>71.239999999999995</v>
      </c>
      <c r="BM471" s="4">
        <v>10.69</v>
      </c>
      <c r="BN471" s="4">
        <v>81.93</v>
      </c>
      <c r="BO471" s="4">
        <v>81.93</v>
      </c>
      <c r="BQ471" t="s">
        <v>109</v>
      </c>
      <c r="BR471" t="s">
        <v>84</v>
      </c>
      <c r="BS471" s="3">
        <v>43775</v>
      </c>
      <c r="BT471" s="5">
        <v>0.5</v>
      </c>
      <c r="BU471" t="s">
        <v>930</v>
      </c>
      <c r="BV471" t="s">
        <v>86</v>
      </c>
      <c r="BY471">
        <v>1200</v>
      </c>
      <c r="CA471" t="s">
        <v>922</v>
      </c>
      <c r="CC471" t="s">
        <v>606</v>
      </c>
      <c r="CD471">
        <v>407</v>
      </c>
      <c r="CE471" t="s">
        <v>147</v>
      </c>
      <c r="CI471">
        <v>1</v>
      </c>
      <c r="CJ471">
        <v>1</v>
      </c>
      <c r="CK471">
        <v>24</v>
      </c>
      <c r="CL471" t="s">
        <v>89</v>
      </c>
    </row>
    <row r="472" spans="1:90">
      <c r="A472" t="s">
        <v>72</v>
      </c>
      <c r="B472" t="s">
        <v>73</v>
      </c>
      <c r="C472" t="s">
        <v>74</v>
      </c>
      <c r="E472" t="str">
        <f>"FES1162721332"</f>
        <v>FES1162721332</v>
      </c>
      <c r="F472" s="3">
        <v>43774</v>
      </c>
      <c r="G472">
        <v>202005</v>
      </c>
      <c r="H472" t="s">
        <v>75</v>
      </c>
      <c r="I472" t="s">
        <v>76</v>
      </c>
      <c r="J472" t="s">
        <v>77</v>
      </c>
      <c r="K472" t="s">
        <v>78</v>
      </c>
      <c r="L472" t="s">
        <v>90</v>
      </c>
      <c r="M472" t="s">
        <v>91</v>
      </c>
      <c r="N472" t="s">
        <v>576</v>
      </c>
      <c r="O472" t="s">
        <v>82</v>
      </c>
      <c r="P472" t="str">
        <f>"2170715629                    "</f>
        <v xml:space="preserve">2170715629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8.7899999999999991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 s="4">
        <v>50.66</v>
      </c>
      <c r="BM472" s="4">
        <v>7.6</v>
      </c>
      <c r="BN472" s="4">
        <v>58.26</v>
      </c>
      <c r="BO472" s="4">
        <v>58.26</v>
      </c>
      <c r="BQ472" t="s">
        <v>109</v>
      </c>
      <c r="BR472" t="s">
        <v>84</v>
      </c>
      <c r="BS472" s="3">
        <v>43775</v>
      </c>
      <c r="BT472" s="5">
        <v>0.41666666666666669</v>
      </c>
      <c r="BU472" t="s">
        <v>363</v>
      </c>
      <c r="BV472" t="s">
        <v>86</v>
      </c>
      <c r="BY472">
        <v>1200</v>
      </c>
      <c r="CC472" t="s">
        <v>91</v>
      </c>
      <c r="CD472">
        <v>7441</v>
      </c>
      <c r="CE472" t="s">
        <v>147</v>
      </c>
      <c r="CF472" s="3">
        <v>43776</v>
      </c>
      <c r="CI472">
        <v>1</v>
      </c>
      <c r="CJ472">
        <v>1</v>
      </c>
      <c r="CK472">
        <v>21</v>
      </c>
      <c r="CL472" t="s">
        <v>89</v>
      </c>
    </row>
    <row r="473" spans="1:90">
      <c r="A473" t="s">
        <v>72</v>
      </c>
      <c r="B473" t="s">
        <v>73</v>
      </c>
      <c r="C473" t="s">
        <v>74</v>
      </c>
      <c r="E473" t="str">
        <f>"FES1162721276"</f>
        <v>FES1162721276</v>
      </c>
      <c r="F473" s="3">
        <v>43774</v>
      </c>
      <c r="G473">
        <v>202005</v>
      </c>
      <c r="H473" t="s">
        <v>75</v>
      </c>
      <c r="I473" t="s">
        <v>76</v>
      </c>
      <c r="J473" t="s">
        <v>77</v>
      </c>
      <c r="K473" t="s">
        <v>78</v>
      </c>
      <c r="L473" t="s">
        <v>405</v>
      </c>
      <c r="M473" t="s">
        <v>406</v>
      </c>
      <c r="N473" t="s">
        <v>931</v>
      </c>
      <c r="O473" t="s">
        <v>82</v>
      </c>
      <c r="P473" t="str">
        <f>"2170715560                    "</f>
        <v xml:space="preserve">2170715560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12.36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 s="4">
        <v>71.239999999999995</v>
      </c>
      <c r="BM473" s="4">
        <v>10.69</v>
      </c>
      <c r="BN473" s="4">
        <v>81.93</v>
      </c>
      <c r="BO473" s="4">
        <v>81.93</v>
      </c>
      <c r="BQ473" t="s">
        <v>932</v>
      </c>
      <c r="BR473" t="s">
        <v>84</v>
      </c>
      <c r="BS473" s="3">
        <v>43775</v>
      </c>
      <c r="BT473" s="5">
        <v>0.3923611111111111</v>
      </c>
      <c r="BU473" t="s">
        <v>933</v>
      </c>
      <c r="BV473" t="s">
        <v>86</v>
      </c>
      <c r="BY473">
        <v>1200</v>
      </c>
      <c r="CA473" t="s">
        <v>873</v>
      </c>
      <c r="CC473" t="s">
        <v>406</v>
      </c>
      <c r="CD473">
        <v>250</v>
      </c>
      <c r="CE473" t="s">
        <v>147</v>
      </c>
      <c r="CF473" s="3">
        <v>43780</v>
      </c>
      <c r="CI473">
        <v>1</v>
      </c>
      <c r="CJ473">
        <v>1</v>
      </c>
      <c r="CK473">
        <v>24</v>
      </c>
      <c r="CL473" t="s">
        <v>89</v>
      </c>
    </row>
    <row r="474" spans="1:90">
      <c r="A474" t="s">
        <v>72</v>
      </c>
      <c r="B474" t="s">
        <v>73</v>
      </c>
      <c r="C474" t="s">
        <v>74</v>
      </c>
      <c r="E474" t="str">
        <f>"FES1162721254"</f>
        <v>FES1162721254</v>
      </c>
      <c r="F474" s="3">
        <v>43774</v>
      </c>
      <c r="G474">
        <v>202005</v>
      </c>
      <c r="H474" t="s">
        <v>75</v>
      </c>
      <c r="I474" t="s">
        <v>76</v>
      </c>
      <c r="J474" t="s">
        <v>77</v>
      </c>
      <c r="K474" t="s">
        <v>78</v>
      </c>
      <c r="L474" t="s">
        <v>405</v>
      </c>
      <c r="M474" t="s">
        <v>406</v>
      </c>
      <c r="N474" t="s">
        <v>934</v>
      </c>
      <c r="O474" t="s">
        <v>82</v>
      </c>
      <c r="P474" t="str">
        <f>"2170715534                    "</f>
        <v xml:space="preserve">2170715534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12.36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1.4</v>
      </c>
      <c r="BJ474">
        <v>1.2</v>
      </c>
      <c r="BK474">
        <v>1.5</v>
      </c>
      <c r="BL474" s="4">
        <v>71.239999999999995</v>
      </c>
      <c r="BM474" s="4">
        <v>10.69</v>
      </c>
      <c r="BN474" s="4">
        <v>81.93</v>
      </c>
      <c r="BO474" s="4">
        <v>81.93</v>
      </c>
      <c r="BQ474" t="s">
        <v>109</v>
      </c>
      <c r="BR474" t="s">
        <v>84</v>
      </c>
      <c r="BS474" s="3">
        <v>43775</v>
      </c>
      <c r="BT474" s="5">
        <v>0.3833333333333333</v>
      </c>
      <c r="BU474" t="s">
        <v>935</v>
      </c>
      <c r="BV474" t="s">
        <v>86</v>
      </c>
      <c r="BY474">
        <v>6190.59</v>
      </c>
      <c r="CA474" t="s">
        <v>873</v>
      </c>
      <c r="CC474" t="s">
        <v>406</v>
      </c>
      <c r="CD474">
        <v>250</v>
      </c>
      <c r="CE474" t="s">
        <v>88</v>
      </c>
      <c r="CF474" s="3">
        <v>43780</v>
      </c>
      <c r="CI474">
        <v>1</v>
      </c>
      <c r="CJ474">
        <v>1</v>
      </c>
      <c r="CK474">
        <v>24</v>
      </c>
      <c r="CL474" t="s">
        <v>89</v>
      </c>
    </row>
    <row r="475" spans="1:90">
      <c r="A475" t="s">
        <v>72</v>
      </c>
      <c r="B475" t="s">
        <v>73</v>
      </c>
      <c r="C475" t="s">
        <v>74</v>
      </c>
      <c r="E475" t="str">
        <f>"009935723477"</f>
        <v>009935723477</v>
      </c>
      <c r="F475" s="3">
        <v>43774</v>
      </c>
      <c r="G475">
        <v>202005</v>
      </c>
      <c r="H475" t="s">
        <v>75</v>
      </c>
      <c r="I475" t="s">
        <v>76</v>
      </c>
      <c r="J475" t="s">
        <v>77</v>
      </c>
      <c r="K475" t="s">
        <v>78</v>
      </c>
      <c r="L475" t="s">
        <v>176</v>
      </c>
      <c r="M475" t="s">
        <v>177</v>
      </c>
      <c r="N475" t="s">
        <v>602</v>
      </c>
      <c r="O475" t="s">
        <v>82</v>
      </c>
      <c r="P475" t="str">
        <f>"1162721076                    "</f>
        <v xml:space="preserve">1162721076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79.08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18</v>
      </c>
      <c r="BJ475">
        <v>17.7</v>
      </c>
      <c r="BK475">
        <v>18</v>
      </c>
      <c r="BL475" s="4">
        <v>455.67</v>
      </c>
      <c r="BM475" s="4">
        <v>68.349999999999994</v>
      </c>
      <c r="BN475" s="4">
        <v>524.02</v>
      </c>
      <c r="BO475" s="4">
        <v>524.02</v>
      </c>
      <c r="BP475" t="s">
        <v>936</v>
      </c>
      <c r="BQ475" t="s">
        <v>142</v>
      </c>
      <c r="BR475" t="s">
        <v>84</v>
      </c>
      <c r="BS475" s="3">
        <v>43775</v>
      </c>
      <c r="BT475" s="5">
        <v>0.4375</v>
      </c>
      <c r="BU475" t="s">
        <v>937</v>
      </c>
      <c r="BV475" t="s">
        <v>86</v>
      </c>
      <c r="BY475">
        <v>88641</v>
      </c>
      <c r="CC475" t="s">
        <v>177</v>
      </c>
      <c r="CD475">
        <v>3600</v>
      </c>
      <c r="CE475" t="s">
        <v>88</v>
      </c>
      <c r="CI475">
        <v>1</v>
      </c>
      <c r="CJ475">
        <v>1</v>
      </c>
      <c r="CK475">
        <v>21</v>
      </c>
      <c r="CL475" t="s">
        <v>89</v>
      </c>
    </row>
    <row r="476" spans="1:90">
      <c r="A476" t="s">
        <v>72</v>
      </c>
      <c r="B476" t="s">
        <v>73</v>
      </c>
      <c r="C476" t="s">
        <v>74</v>
      </c>
      <c r="E476" t="str">
        <f>"FES1162721329"</f>
        <v>FES1162721329</v>
      </c>
      <c r="F476" s="3">
        <v>43774</v>
      </c>
      <c r="G476">
        <v>202005</v>
      </c>
      <c r="H476" t="s">
        <v>75</v>
      </c>
      <c r="I476" t="s">
        <v>76</v>
      </c>
      <c r="J476" t="s">
        <v>77</v>
      </c>
      <c r="K476" t="s">
        <v>78</v>
      </c>
      <c r="L476" t="s">
        <v>112</v>
      </c>
      <c r="M476" t="s">
        <v>113</v>
      </c>
      <c r="N476" t="s">
        <v>423</v>
      </c>
      <c r="O476" t="s">
        <v>82</v>
      </c>
      <c r="P476" t="str">
        <f>"2170683405                    "</f>
        <v xml:space="preserve">2170683405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8.7899999999999991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0.7</v>
      </c>
      <c r="BJ476">
        <v>0.7</v>
      </c>
      <c r="BK476">
        <v>1</v>
      </c>
      <c r="BL476" s="4">
        <v>50.66</v>
      </c>
      <c r="BM476" s="4">
        <v>7.6</v>
      </c>
      <c r="BN476" s="4">
        <v>58.26</v>
      </c>
      <c r="BO476" s="4">
        <v>58.26</v>
      </c>
      <c r="BQ476" t="s">
        <v>424</v>
      </c>
      <c r="BR476" t="s">
        <v>84</v>
      </c>
      <c r="BS476" s="3">
        <v>43775</v>
      </c>
      <c r="BT476" s="5">
        <v>0.29305555555555557</v>
      </c>
      <c r="BU476" t="s">
        <v>774</v>
      </c>
      <c r="BV476" t="s">
        <v>86</v>
      </c>
      <c r="BY476">
        <v>3702.46</v>
      </c>
      <c r="CA476" t="s">
        <v>426</v>
      </c>
      <c r="CC476" t="s">
        <v>113</v>
      </c>
      <c r="CD476">
        <v>4001</v>
      </c>
      <c r="CE476" t="s">
        <v>88</v>
      </c>
      <c r="CF476" s="3">
        <v>43777</v>
      </c>
      <c r="CI476">
        <v>1</v>
      </c>
      <c r="CJ476">
        <v>1</v>
      </c>
      <c r="CK476">
        <v>21</v>
      </c>
      <c r="CL476" t="s">
        <v>89</v>
      </c>
    </row>
    <row r="477" spans="1:90">
      <c r="A477" t="s">
        <v>72</v>
      </c>
      <c r="B477" t="s">
        <v>73</v>
      </c>
      <c r="C477" t="s">
        <v>74</v>
      </c>
      <c r="E477" t="str">
        <f>"FES1162721170"</f>
        <v>FES1162721170</v>
      </c>
      <c r="F477" s="3">
        <v>43774</v>
      </c>
      <c r="G477">
        <v>202005</v>
      </c>
      <c r="H477" t="s">
        <v>75</v>
      </c>
      <c r="I477" t="s">
        <v>76</v>
      </c>
      <c r="J477" t="s">
        <v>77</v>
      </c>
      <c r="K477" t="s">
        <v>78</v>
      </c>
      <c r="L477" t="s">
        <v>118</v>
      </c>
      <c r="M477" t="s">
        <v>119</v>
      </c>
      <c r="N477" t="s">
        <v>885</v>
      </c>
      <c r="O477" t="s">
        <v>82</v>
      </c>
      <c r="P477" t="str">
        <f>"2170715456                    "</f>
        <v xml:space="preserve">2170715456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41.74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9.1999999999999993</v>
      </c>
      <c r="BJ477">
        <v>3.4</v>
      </c>
      <c r="BK477">
        <v>9.5</v>
      </c>
      <c r="BL477" s="4">
        <v>240.51</v>
      </c>
      <c r="BM477" s="4">
        <v>36.08</v>
      </c>
      <c r="BN477" s="4">
        <v>276.58999999999997</v>
      </c>
      <c r="BO477" s="4">
        <v>276.58999999999997</v>
      </c>
      <c r="BQ477" t="s">
        <v>109</v>
      </c>
      <c r="BR477" t="s">
        <v>84</v>
      </c>
      <c r="BS477" s="3">
        <v>43775</v>
      </c>
      <c r="BT477" s="5">
        <v>0.3611111111111111</v>
      </c>
      <c r="BU477" t="s">
        <v>886</v>
      </c>
      <c r="BV477" t="s">
        <v>86</v>
      </c>
      <c r="BY477">
        <v>16854.64</v>
      </c>
      <c r="CA477" t="s">
        <v>435</v>
      </c>
      <c r="CC477" t="s">
        <v>119</v>
      </c>
      <c r="CD477">
        <v>3212</v>
      </c>
      <c r="CE477" t="s">
        <v>88</v>
      </c>
      <c r="CF477" s="3">
        <v>43777</v>
      </c>
      <c r="CI477">
        <v>1</v>
      </c>
      <c r="CJ477">
        <v>1</v>
      </c>
      <c r="CK477">
        <v>21</v>
      </c>
      <c r="CL477" t="s">
        <v>89</v>
      </c>
    </row>
    <row r="478" spans="1:90">
      <c r="A478" t="s">
        <v>72</v>
      </c>
      <c r="B478" t="s">
        <v>73</v>
      </c>
      <c r="C478" t="s">
        <v>74</v>
      </c>
      <c r="E478" t="str">
        <f>"FES1162721330"</f>
        <v>FES1162721330</v>
      </c>
      <c r="F478" s="3">
        <v>43774</v>
      </c>
      <c r="G478">
        <v>202005</v>
      </c>
      <c r="H478" t="s">
        <v>75</v>
      </c>
      <c r="I478" t="s">
        <v>76</v>
      </c>
      <c r="J478" t="s">
        <v>77</v>
      </c>
      <c r="K478" t="s">
        <v>78</v>
      </c>
      <c r="L478" t="s">
        <v>214</v>
      </c>
      <c r="M478" t="s">
        <v>214</v>
      </c>
      <c r="N478" t="s">
        <v>215</v>
      </c>
      <c r="O478" t="s">
        <v>82</v>
      </c>
      <c r="P478" t="str">
        <f>"2170715605                    "</f>
        <v xml:space="preserve">2170715605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36.270000000000003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4.2</v>
      </c>
      <c r="BJ478">
        <v>2.9</v>
      </c>
      <c r="BK478">
        <v>4.5</v>
      </c>
      <c r="BL478" s="4">
        <v>208.99</v>
      </c>
      <c r="BM478" s="4">
        <v>31.35</v>
      </c>
      <c r="BN478" s="4">
        <v>240.34</v>
      </c>
      <c r="BO478" s="4">
        <v>240.34</v>
      </c>
      <c r="BQ478" t="s">
        <v>109</v>
      </c>
      <c r="BR478" t="s">
        <v>84</v>
      </c>
      <c r="BS478" s="3">
        <v>43775</v>
      </c>
      <c r="BT478" s="5">
        <v>0.41666666666666669</v>
      </c>
      <c r="BU478" t="s">
        <v>264</v>
      </c>
      <c r="BV478" t="s">
        <v>86</v>
      </c>
      <c r="BY478">
        <v>14746.43</v>
      </c>
      <c r="CC478" t="s">
        <v>214</v>
      </c>
      <c r="CD478">
        <v>7646</v>
      </c>
      <c r="CE478" t="s">
        <v>88</v>
      </c>
      <c r="CF478" s="3">
        <v>43776</v>
      </c>
      <c r="CI478">
        <v>1</v>
      </c>
      <c r="CJ478">
        <v>1</v>
      </c>
      <c r="CK478">
        <v>23</v>
      </c>
      <c r="CL478" t="s">
        <v>89</v>
      </c>
    </row>
    <row r="479" spans="1:90">
      <c r="A479" t="s">
        <v>72</v>
      </c>
      <c r="B479" t="s">
        <v>73</v>
      </c>
      <c r="C479" t="s">
        <v>74</v>
      </c>
      <c r="E479" t="str">
        <f>"FES1162721198"</f>
        <v>FES1162721198</v>
      </c>
      <c r="F479" s="3">
        <v>43774</v>
      </c>
      <c r="G479">
        <v>202005</v>
      </c>
      <c r="H479" t="s">
        <v>75</v>
      </c>
      <c r="I479" t="s">
        <v>76</v>
      </c>
      <c r="J479" t="s">
        <v>77</v>
      </c>
      <c r="K479" t="s">
        <v>78</v>
      </c>
      <c r="L479" t="s">
        <v>431</v>
      </c>
      <c r="M479" t="s">
        <v>432</v>
      </c>
      <c r="N479" t="s">
        <v>436</v>
      </c>
      <c r="O479" t="s">
        <v>82</v>
      </c>
      <c r="P479" t="str">
        <f>"2170714953                    "</f>
        <v xml:space="preserve">2170714953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17.579999999999998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2.2999999999999998</v>
      </c>
      <c r="BJ479">
        <v>3.9</v>
      </c>
      <c r="BK479">
        <v>4</v>
      </c>
      <c r="BL479" s="4">
        <v>101.29</v>
      </c>
      <c r="BM479" s="4">
        <v>15.19</v>
      </c>
      <c r="BN479" s="4">
        <v>116.48</v>
      </c>
      <c r="BO479" s="4">
        <v>116.48</v>
      </c>
      <c r="BQ479" t="s">
        <v>121</v>
      </c>
      <c r="BR479" t="s">
        <v>84</v>
      </c>
      <c r="BS479" s="3">
        <v>43775</v>
      </c>
      <c r="BT479" s="5">
        <v>0.51388888888888895</v>
      </c>
      <c r="BU479" t="s">
        <v>434</v>
      </c>
      <c r="BV479" t="s">
        <v>86</v>
      </c>
      <c r="BY479">
        <v>19625.63</v>
      </c>
      <c r="CA479" t="s">
        <v>435</v>
      </c>
      <c r="CC479" t="s">
        <v>432</v>
      </c>
      <c r="CD479">
        <v>3699</v>
      </c>
      <c r="CE479" t="s">
        <v>88</v>
      </c>
      <c r="CF479" s="3">
        <v>43777</v>
      </c>
      <c r="CI479">
        <v>1</v>
      </c>
      <c r="CJ479">
        <v>1</v>
      </c>
      <c r="CK479">
        <v>21</v>
      </c>
      <c r="CL479" t="s">
        <v>89</v>
      </c>
    </row>
    <row r="480" spans="1:90">
      <c r="A480" t="s">
        <v>72</v>
      </c>
      <c r="B480" t="s">
        <v>73</v>
      </c>
      <c r="C480" t="s">
        <v>74</v>
      </c>
      <c r="E480" t="str">
        <f>"FES1162721285"</f>
        <v>FES1162721285</v>
      </c>
      <c r="F480" s="3">
        <v>43774</v>
      </c>
      <c r="G480">
        <v>202005</v>
      </c>
      <c r="H480" t="s">
        <v>75</v>
      </c>
      <c r="I480" t="s">
        <v>76</v>
      </c>
      <c r="J480" t="s">
        <v>77</v>
      </c>
      <c r="K480" t="s">
        <v>78</v>
      </c>
      <c r="L480" t="s">
        <v>75</v>
      </c>
      <c r="M480" t="s">
        <v>76</v>
      </c>
      <c r="N480" t="s">
        <v>360</v>
      </c>
      <c r="O480" t="s">
        <v>82</v>
      </c>
      <c r="P480" t="str">
        <f>"2170715569                    "</f>
        <v xml:space="preserve">2170715569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6.87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 s="4">
        <v>39.58</v>
      </c>
      <c r="BM480" s="4">
        <v>5.94</v>
      </c>
      <c r="BN480" s="4">
        <v>45.52</v>
      </c>
      <c r="BO480" s="4">
        <v>45.52</v>
      </c>
      <c r="BQ480" t="s">
        <v>109</v>
      </c>
      <c r="BR480" t="s">
        <v>84</v>
      </c>
      <c r="BS480" s="3">
        <v>43775</v>
      </c>
      <c r="BT480" s="5">
        <v>0.3125</v>
      </c>
      <c r="BU480" t="s">
        <v>815</v>
      </c>
      <c r="BV480" t="s">
        <v>86</v>
      </c>
      <c r="BY480">
        <v>1200</v>
      </c>
      <c r="CA480" t="s">
        <v>797</v>
      </c>
      <c r="CC480" t="s">
        <v>76</v>
      </c>
      <c r="CD480">
        <v>1645</v>
      </c>
      <c r="CE480" t="s">
        <v>147</v>
      </c>
      <c r="CF480" s="3">
        <v>43776</v>
      </c>
      <c r="CI480">
        <v>1</v>
      </c>
      <c r="CJ480">
        <v>1</v>
      </c>
      <c r="CK480">
        <v>22</v>
      </c>
      <c r="CL480" t="s">
        <v>89</v>
      </c>
    </row>
    <row r="481" spans="1:90">
      <c r="A481" t="s">
        <v>72</v>
      </c>
      <c r="B481" t="s">
        <v>73</v>
      </c>
      <c r="C481" t="s">
        <v>74</v>
      </c>
      <c r="E481" t="str">
        <f>"FES1162720840"</f>
        <v>FES1162720840</v>
      </c>
      <c r="F481" s="3">
        <v>43774</v>
      </c>
      <c r="G481">
        <v>202005</v>
      </c>
      <c r="H481" t="s">
        <v>75</v>
      </c>
      <c r="I481" t="s">
        <v>76</v>
      </c>
      <c r="J481" t="s">
        <v>77</v>
      </c>
      <c r="K481" t="s">
        <v>78</v>
      </c>
      <c r="L481" t="s">
        <v>339</v>
      </c>
      <c r="M481" t="s">
        <v>340</v>
      </c>
      <c r="N481" t="s">
        <v>565</v>
      </c>
      <c r="O481" t="s">
        <v>82</v>
      </c>
      <c r="P481" t="str">
        <f>"2170715126                    "</f>
        <v xml:space="preserve">2170715126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8.7899999999999991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 s="4">
        <v>50.66</v>
      </c>
      <c r="BM481" s="4">
        <v>7.6</v>
      </c>
      <c r="BN481" s="4">
        <v>58.26</v>
      </c>
      <c r="BO481" s="4">
        <v>58.26</v>
      </c>
      <c r="BR481" t="s">
        <v>84</v>
      </c>
      <c r="BS481" s="3">
        <v>43775</v>
      </c>
      <c r="BT481" s="5">
        <v>0.40277777777777773</v>
      </c>
      <c r="BU481" t="s">
        <v>938</v>
      </c>
      <c r="BV481" t="s">
        <v>86</v>
      </c>
      <c r="BY481">
        <v>1200</v>
      </c>
      <c r="CA481" t="s">
        <v>869</v>
      </c>
      <c r="CC481" t="s">
        <v>340</v>
      </c>
      <c r="CD481">
        <v>46</v>
      </c>
      <c r="CE481" t="s">
        <v>147</v>
      </c>
      <c r="CF481" s="3">
        <v>43776</v>
      </c>
      <c r="CI481">
        <v>1</v>
      </c>
      <c r="CJ481">
        <v>1</v>
      </c>
      <c r="CK481">
        <v>21</v>
      </c>
      <c r="CL481" t="s">
        <v>89</v>
      </c>
    </row>
    <row r="482" spans="1:90">
      <c r="A482" t="s">
        <v>72</v>
      </c>
      <c r="B482" t="s">
        <v>73</v>
      </c>
      <c r="C482" t="s">
        <v>74</v>
      </c>
      <c r="E482" t="str">
        <f>"FES1162721326"</f>
        <v>FES1162721326</v>
      </c>
      <c r="F482" s="3">
        <v>43774</v>
      </c>
      <c r="G482">
        <v>202005</v>
      </c>
      <c r="H482" t="s">
        <v>75</v>
      </c>
      <c r="I482" t="s">
        <v>76</v>
      </c>
      <c r="J482" t="s">
        <v>77</v>
      </c>
      <c r="K482" t="s">
        <v>78</v>
      </c>
      <c r="L482" t="s">
        <v>825</v>
      </c>
      <c r="M482" t="s">
        <v>826</v>
      </c>
      <c r="N482" t="s">
        <v>939</v>
      </c>
      <c r="O482" t="s">
        <v>82</v>
      </c>
      <c r="P482" t="str">
        <f>"2170713705                    "</f>
        <v xml:space="preserve">2170713705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12.36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 s="4">
        <v>71.239999999999995</v>
      </c>
      <c r="BM482" s="4">
        <v>10.69</v>
      </c>
      <c r="BN482" s="4">
        <v>81.93</v>
      </c>
      <c r="BO482" s="4">
        <v>81.93</v>
      </c>
      <c r="BQ482" t="s">
        <v>109</v>
      </c>
      <c r="BR482" t="s">
        <v>84</v>
      </c>
      <c r="BS482" s="3">
        <v>43775</v>
      </c>
      <c r="BT482" s="5">
        <v>0.375</v>
      </c>
      <c r="BU482" t="s">
        <v>940</v>
      </c>
      <c r="BV482" t="s">
        <v>86</v>
      </c>
      <c r="BY482">
        <v>1200</v>
      </c>
      <c r="CC482" t="s">
        <v>826</v>
      </c>
      <c r="CD482">
        <v>1759</v>
      </c>
      <c r="CE482" t="s">
        <v>147</v>
      </c>
      <c r="CF482" s="3">
        <v>43776</v>
      </c>
      <c r="CI482">
        <v>1</v>
      </c>
      <c r="CJ482">
        <v>1</v>
      </c>
      <c r="CK482">
        <v>24</v>
      </c>
      <c r="CL482" t="s">
        <v>89</v>
      </c>
    </row>
    <row r="483" spans="1:90">
      <c r="A483" t="s">
        <v>72</v>
      </c>
      <c r="B483" t="s">
        <v>73</v>
      </c>
      <c r="C483" t="s">
        <v>74</v>
      </c>
      <c r="E483" t="str">
        <f>"FES1162721206"</f>
        <v>FES1162721206</v>
      </c>
      <c r="F483" s="3">
        <v>43774</v>
      </c>
      <c r="G483">
        <v>202005</v>
      </c>
      <c r="H483" t="s">
        <v>75</v>
      </c>
      <c r="I483" t="s">
        <v>76</v>
      </c>
      <c r="J483" t="s">
        <v>77</v>
      </c>
      <c r="K483" t="s">
        <v>78</v>
      </c>
      <c r="L483" t="s">
        <v>176</v>
      </c>
      <c r="M483" t="s">
        <v>177</v>
      </c>
      <c r="N483" t="s">
        <v>334</v>
      </c>
      <c r="O483" t="s">
        <v>82</v>
      </c>
      <c r="P483" t="str">
        <f>"2170715476                    "</f>
        <v xml:space="preserve">2170715476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19.78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4.0999999999999996</v>
      </c>
      <c r="BJ483">
        <v>3.1</v>
      </c>
      <c r="BK483">
        <v>4.5</v>
      </c>
      <c r="BL483" s="4">
        <v>113.95</v>
      </c>
      <c r="BM483" s="4">
        <v>17.09</v>
      </c>
      <c r="BN483" s="4">
        <v>131.04</v>
      </c>
      <c r="BO483" s="4">
        <v>131.04</v>
      </c>
      <c r="BQ483" t="s">
        <v>121</v>
      </c>
      <c r="BR483" t="s">
        <v>84</v>
      </c>
      <c r="BS483" s="3">
        <v>43775</v>
      </c>
      <c r="BT483" s="5">
        <v>0.40486111111111112</v>
      </c>
      <c r="BU483" t="s">
        <v>335</v>
      </c>
      <c r="BV483" t="s">
        <v>86</v>
      </c>
      <c r="BY483">
        <v>15744.27</v>
      </c>
      <c r="CA483" t="s">
        <v>180</v>
      </c>
      <c r="CC483" t="s">
        <v>177</v>
      </c>
      <c r="CD483">
        <v>3610</v>
      </c>
      <c r="CE483" t="s">
        <v>88</v>
      </c>
      <c r="CF483" s="3">
        <v>43777</v>
      </c>
      <c r="CI483">
        <v>1</v>
      </c>
      <c r="CJ483">
        <v>1</v>
      </c>
      <c r="CK483">
        <v>21</v>
      </c>
      <c r="CL483" t="s">
        <v>89</v>
      </c>
    </row>
    <row r="484" spans="1:90">
      <c r="A484" t="s">
        <v>72</v>
      </c>
      <c r="B484" t="s">
        <v>73</v>
      </c>
      <c r="C484" t="s">
        <v>74</v>
      </c>
      <c r="E484" t="str">
        <f>"FES1162721320"</f>
        <v>FES1162721320</v>
      </c>
      <c r="F484" s="3">
        <v>43774</v>
      </c>
      <c r="G484">
        <v>202005</v>
      </c>
      <c r="H484" t="s">
        <v>75</v>
      </c>
      <c r="I484" t="s">
        <v>76</v>
      </c>
      <c r="J484" t="s">
        <v>77</v>
      </c>
      <c r="K484" t="s">
        <v>78</v>
      </c>
      <c r="L484" t="s">
        <v>112</v>
      </c>
      <c r="M484" t="s">
        <v>113</v>
      </c>
      <c r="N484" t="s">
        <v>397</v>
      </c>
      <c r="O484" t="s">
        <v>82</v>
      </c>
      <c r="P484" t="str">
        <f>"2170715614                    "</f>
        <v xml:space="preserve">2170715614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76.89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17.100000000000001</v>
      </c>
      <c r="BJ484">
        <v>17.5</v>
      </c>
      <c r="BK484">
        <v>17.5</v>
      </c>
      <c r="BL484" s="4">
        <v>443.02</v>
      </c>
      <c r="BM484" s="4">
        <v>66.45</v>
      </c>
      <c r="BN484" s="4">
        <v>509.47</v>
      </c>
      <c r="BO484" s="4">
        <v>509.47</v>
      </c>
      <c r="BQ484" t="s">
        <v>109</v>
      </c>
      <c r="BR484" t="s">
        <v>84</v>
      </c>
      <c r="BS484" s="3">
        <v>43775</v>
      </c>
      <c r="BT484" s="5">
        <v>0.36458333333333331</v>
      </c>
      <c r="BU484" t="s">
        <v>941</v>
      </c>
      <c r="BV484" t="s">
        <v>86</v>
      </c>
      <c r="BY484">
        <v>87501.92</v>
      </c>
      <c r="CA484" t="s">
        <v>163</v>
      </c>
      <c r="CC484" t="s">
        <v>113</v>
      </c>
      <c r="CD484">
        <v>4051</v>
      </c>
      <c r="CE484" t="s">
        <v>88</v>
      </c>
      <c r="CF484" s="3">
        <v>43777</v>
      </c>
      <c r="CI484">
        <v>1</v>
      </c>
      <c r="CJ484">
        <v>1</v>
      </c>
      <c r="CK484">
        <v>21</v>
      </c>
      <c r="CL484" t="s">
        <v>89</v>
      </c>
    </row>
    <row r="485" spans="1:90">
      <c r="A485" t="s">
        <v>72</v>
      </c>
      <c r="B485" t="s">
        <v>73</v>
      </c>
      <c r="C485" t="s">
        <v>74</v>
      </c>
      <c r="E485" t="str">
        <f>"FES1162721113"</f>
        <v>FES1162721113</v>
      </c>
      <c r="F485" s="3">
        <v>43774</v>
      </c>
      <c r="G485">
        <v>202005</v>
      </c>
      <c r="H485" t="s">
        <v>75</v>
      </c>
      <c r="I485" t="s">
        <v>76</v>
      </c>
      <c r="J485" t="s">
        <v>77</v>
      </c>
      <c r="K485" t="s">
        <v>78</v>
      </c>
      <c r="L485" t="s">
        <v>482</v>
      </c>
      <c r="M485" t="s">
        <v>483</v>
      </c>
      <c r="N485" t="s">
        <v>594</v>
      </c>
      <c r="O485" t="s">
        <v>82</v>
      </c>
      <c r="P485" t="str">
        <f>"217071584                     "</f>
        <v xml:space="preserve">217071584 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6.87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 s="4">
        <v>39.58</v>
      </c>
      <c r="BM485" s="4">
        <v>5.94</v>
      </c>
      <c r="BN485" s="4">
        <v>45.52</v>
      </c>
      <c r="BO485" s="4">
        <v>45.52</v>
      </c>
      <c r="BQ485" t="s">
        <v>109</v>
      </c>
      <c r="BR485" t="s">
        <v>84</v>
      </c>
      <c r="BS485" s="3">
        <v>43775</v>
      </c>
      <c r="BT485" s="5">
        <v>0.33333333333333331</v>
      </c>
      <c r="BU485" t="s">
        <v>793</v>
      </c>
      <c r="BV485" t="s">
        <v>86</v>
      </c>
      <c r="BY485">
        <v>1200</v>
      </c>
      <c r="CC485" t="s">
        <v>483</v>
      </c>
      <c r="CD485">
        <v>1459</v>
      </c>
      <c r="CE485" t="s">
        <v>147</v>
      </c>
      <c r="CF485" s="3">
        <v>43776</v>
      </c>
      <c r="CI485">
        <v>1</v>
      </c>
      <c r="CJ485">
        <v>1</v>
      </c>
      <c r="CK485">
        <v>22</v>
      </c>
      <c r="CL485" t="s">
        <v>89</v>
      </c>
    </row>
    <row r="486" spans="1:90">
      <c r="A486" t="s">
        <v>72</v>
      </c>
      <c r="B486" t="s">
        <v>73</v>
      </c>
      <c r="C486" t="s">
        <v>74</v>
      </c>
      <c r="E486" t="str">
        <f>"FES1162721164"</f>
        <v>FES1162721164</v>
      </c>
      <c r="F486" s="3">
        <v>43774</v>
      </c>
      <c r="G486">
        <v>202005</v>
      </c>
      <c r="H486" t="s">
        <v>75</v>
      </c>
      <c r="I486" t="s">
        <v>76</v>
      </c>
      <c r="J486" t="s">
        <v>77</v>
      </c>
      <c r="K486" t="s">
        <v>78</v>
      </c>
      <c r="L486" t="s">
        <v>75</v>
      </c>
      <c r="M486" t="s">
        <v>76</v>
      </c>
      <c r="N486" t="s">
        <v>942</v>
      </c>
      <c r="O486" t="s">
        <v>82</v>
      </c>
      <c r="P486" t="str">
        <f>"2170715442                    "</f>
        <v xml:space="preserve">2170715442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6.87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 s="4">
        <v>39.58</v>
      </c>
      <c r="BM486" s="4">
        <v>5.94</v>
      </c>
      <c r="BN486" s="4">
        <v>45.52</v>
      </c>
      <c r="BO486" s="4">
        <v>45.52</v>
      </c>
      <c r="BQ486" t="s">
        <v>943</v>
      </c>
      <c r="BR486" t="s">
        <v>84</v>
      </c>
      <c r="BS486" s="3">
        <v>43775</v>
      </c>
      <c r="BT486" s="5">
        <v>0.33888888888888885</v>
      </c>
      <c r="BU486" t="s">
        <v>944</v>
      </c>
      <c r="BV486" t="s">
        <v>86</v>
      </c>
      <c r="BY486">
        <v>1200</v>
      </c>
      <c r="CC486" t="s">
        <v>76</v>
      </c>
      <c r="CD486">
        <v>1619</v>
      </c>
      <c r="CE486" t="s">
        <v>147</v>
      </c>
      <c r="CF486" s="3">
        <v>43776</v>
      </c>
      <c r="CI486">
        <v>1</v>
      </c>
      <c r="CJ486">
        <v>1</v>
      </c>
      <c r="CK486">
        <v>22</v>
      </c>
      <c r="CL486" t="s">
        <v>89</v>
      </c>
    </row>
    <row r="487" spans="1:90">
      <c r="A487" t="s">
        <v>72</v>
      </c>
      <c r="B487" t="s">
        <v>73</v>
      </c>
      <c r="C487" t="s">
        <v>74</v>
      </c>
      <c r="E487" t="str">
        <f>"FES1162721343"</f>
        <v>FES1162721343</v>
      </c>
      <c r="F487" s="3">
        <v>43774</v>
      </c>
      <c r="G487">
        <v>202005</v>
      </c>
      <c r="H487" t="s">
        <v>75</v>
      </c>
      <c r="I487" t="s">
        <v>76</v>
      </c>
      <c r="J487" t="s">
        <v>77</v>
      </c>
      <c r="K487" t="s">
        <v>78</v>
      </c>
      <c r="L487" t="s">
        <v>112</v>
      </c>
      <c r="M487" t="s">
        <v>113</v>
      </c>
      <c r="N487" t="s">
        <v>160</v>
      </c>
      <c r="O487" t="s">
        <v>82</v>
      </c>
      <c r="P487" t="str">
        <f>"2170715643                    "</f>
        <v xml:space="preserve">2170715643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8.7899999999999991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 s="4">
        <v>50.66</v>
      </c>
      <c r="BM487" s="4">
        <v>7.6</v>
      </c>
      <c r="BN487" s="4">
        <v>58.26</v>
      </c>
      <c r="BO487" s="4">
        <v>58.26</v>
      </c>
      <c r="BQ487" t="s">
        <v>161</v>
      </c>
      <c r="BR487" t="s">
        <v>84</v>
      </c>
      <c r="BS487" s="3">
        <v>43775</v>
      </c>
      <c r="BT487" s="5">
        <v>0.3520833333333333</v>
      </c>
      <c r="BU487" t="s">
        <v>162</v>
      </c>
      <c r="BV487" t="s">
        <v>86</v>
      </c>
      <c r="BY487">
        <v>1200</v>
      </c>
      <c r="CA487" t="s">
        <v>163</v>
      </c>
      <c r="CC487" t="s">
        <v>113</v>
      </c>
      <c r="CD487">
        <v>4000</v>
      </c>
      <c r="CE487" t="s">
        <v>147</v>
      </c>
      <c r="CF487" s="3">
        <v>43777</v>
      </c>
      <c r="CI487">
        <v>1</v>
      </c>
      <c r="CJ487">
        <v>1</v>
      </c>
      <c r="CK487">
        <v>21</v>
      </c>
      <c r="CL487" t="s">
        <v>89</v>
      </c>
    </row>
    <row r="488" spans="1:90">
      <c r="A488" t="s">
        <v>72</v>
      </c>
      <c r="B488" t="s">
        <v>73</v>
      </c>
      <c r="C488" t="s">
        <v>74</v>
      </c>
      <c r="E488" t="str">
        <f>"FES1162721321"</f>
        <v>FES1162721321</v>
      </c>
      <c r="F488" s="3">
        <v>43774</v>
      </c>
      <c r="G488">
        <v>202005</v>
      </c>
      <c r="H488" t="s">
        <v>75</v>
      </c>
      <c r="I488" t="s">
        <v>76</v>
      </c>
      <c r="J488" t="s">
        <v>77</v>
      </c>
      <c r="K488" t="s">
        <v>78</v>
      </c>
      <c r="L488" t="s">
        <v>176</v>
      </c>
      <c r="M488" t="s">
        <v>177</v>
      </c>
      <c r="N488" t="s">
        <v>334</v>
      </c>
      <c r="O488" t="s">
        <v>82</v>
      </c>
      <c r="P488" t="str">
        <f>"2170715476                    "</f>
        <v xml:space="preserve">2170715476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8.7899999999999991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 s="4">
        <v>50.66</v>
      </c>
      <c r="BM488" s="4">
        <v>7.6</v>
      </c>
      <c r="BN488" s="4">
        <v>58.26</v>
      </c>
      <c r="BO488" s="4">
        <v>58.26</v>
      </c>
      <c r="BQ488" t="s">
        <v>121</v>
      </c>
      <c r="BR488" t="s">
        <v>84</v>
      </c>
      <c r="BS488" s="3">
        <v>43775</v>
      </c>
      <c r="BT488" s="5">
        <v>0.40486111111111112</v>
      </c>
      <c r="BU488" t="s">
        <v>335</v>
      </c>
      <c r="BV488" t="s">
        <v>86</v>
      </c>
      <c r="BY488">
        <v>1200</v>
      </c>
      <c r="CA488" t="s">
        <v>180</v>
      </c>
      <c r="CC488" t="s">
        <v>177</v>
      </c>
      <c r="CD488">
        <v>3610</v>
      </c>
      <c r="CE488" t="s">
        <v>147</v>
      </c>
      <c r="CF488" s="3">
        <v>43777</v>
      </c>
      <c r="CI488">
        <v>1</v>
      </c>
      <c r="CJ488">
        <v>1</v>
      </c>
      <c r="CK488">
        <v>21</v>
      </c>
      <c r="CL488" t="s">
        <v>89</v>
      </c>
    </row>
    <row r="489" spans="1:90">
      <c r="A489" t="s">
        <v>72</v>
      </c>
      <c r="B489" t="s">
        <v>73</v>
      </c>
      <c r="C489" t="s">
        <v>74</v>
      </c>
      <c r="E489" t="str">
        <f>"FES1162721353"</f>
        <v>FES1162721353</v>
      </c>
      <c r="F489" s="3">
        <v>43774</v>
      </c>
      <c r="G489">
        <v>202005</v>
      </c>
      <c r="H489" t="s">
        <v>75</v>
      </c>
      <c r="I489" t="s">
        <v>76</v>
      </c>
      <c r="J489" t="s">
        <v>77</v>
      </c>
      <c r="K489" t="s">
        <v>78</v>
      </c>
      <c r="L489" t="s">
        <v>90</v>
      </c>
      <c r="M489" t="s">
        <v>91</v>
      </c>
      <c r="N489" t="s">
        <v>945</v>
      </c>
      <c r="O489" t="s">
        <v>82</v>
      </c>
      <c r="P489" t="str">
        <f>"2170715653                    "</f>
        <v xml:space="preserve">2170715653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8.7899999999999991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 s="4">
        <v>50.66</v>
      </c>
      <c r="BM489" s="4">
        <v>7.6</v>
      </c>
      <c r="BN489" s="4">
        <v>58.26</v>
      </c>
      <c r="BO489" s="4">
        <v>58.26</v>
      </c>
      <c r="BQ489" t="s">
        <v>121</v>
      </c>
      <c r="BR489" t="s">
        <v>84</v>
      </c>
      <c r="BS489" s="3">
        <v>43775</v>
      </c>
      <c r="BT489" s="5">
        <v>0.41666666666666669</v>
      </c>
      <c r="BU489" t="s">
        <v>946</v>
      </c>
      <c r="BV489" t="s">
        <v>86</v>
      </c>
      <c r="BY489">
        <v>1200</v>
      </c>
      <c r="CC489" t="s">
        <v>91</v>
      </c>
      <c r="CD489">
        <v>7460</v>
      </c>
      <c r="CE489" t="s">
        <v>147</v>
      </c>
      <c r="CF489" s="3">
        <v>43776</v>
      </c>
      <c r="CI489">
        <v>1</v>
      </c>
      <c r="CJ489">
        <v>1</v>
      </c>
      <c r="CK489">
        <v>21</v>
      </c>
      <c r="CL489" t="s">
        <v>89</v>
      </c>
    </row>
    <row r="490" spans="1:90">
      <c r="A490" t="s">
        <v>72</v>
      </c>
      <c r="B490" t="s">
        <v>73</v>
      </c>
      <c r="C490" t="s">
        <v>74</v>
      </c>
      <c r="E490" t="str">
        <f>"FES1162721318"</f>
        <v>FES1162721318</v>
      </c>
      <c r="F490" s="3">
        <v>43774</v>
      </c>
      <c r="G490">
        <v>202005</v>
      </c>
      <c r="H490" t="s">
        <v>75</v>
      </c>
      <c r="I490" t="s">
        <v>76</v>
      </c>
      <c r="J490" t="s">
        <v>77</v>
      </c>
      <c r="K490" t="s">
        <v>78</v>
      </c>
      <c r="L490" t="s">
        <v>176</v>
      </c>
      <c r="M490" t="s">
        <v>177</v>
      </c>
      <c r="N490" t="s">
        <v>947</v>
      </c>
      <c r="O490" t="s">
        <v>82</v>
      </c>
      <c r="P490" t="str">
        <f>"217071561                     "</f>
        <v xml:space="preserve">217071561 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8.7899999999999991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 s="4">
        <v>50.66</v>
      </c>
      <c r="BM490" s="4">
        <v>7.6</v>
      </c>
      <c r="BN490" s="4">
        <v>58.26</v>
      </c>
      <c r="BO490" s="4">
        <v>58.26</v>
      </c>
      <c r="BQ490" t="s">
        <v>121</v>
      </c>
      <c r="BR490" t="s">
        <v>84</v>
      </c>
      <c r="BS490" s="3">
        <v>43775</v>
      </c>
      <c r="BT490" s="5">
        <v>0.35416666666666669</v>
      </c>
      <c r="BU490" t="s">
        <v>948</v>
      </c>
      <c r="BV490" t="s">
        <v>86</v>
      </c>
      <c r="BY490">
        <v>1200</v>
      </c>
      <c r="CA490" t="s">
        <v>180</v>
      </c>
      <c r="CC490" t="s">
        <v>177</v>
      </c>
      <c r="CD490">
        <v>3610</v>
      </c>
      <c r="CE490" t="s">
        <v>147</v>
      </c>
      <c r="CF490" s="3">
        <v>43777</v>
      </c>
      <c r="CI490">
        <v>1</v>
      </c>
      <c r="CJ490">
        <v>1</v>
      </c>
      <c r="CK490">
        <v>21</v>
      </c>
      <c r="CL490" t="s">
        <v>89</v>
      </c>
    </row>
    <row r="491" spans="1:90">
      <c r="A491" t="s">
        <v>72</v>
      </c>
      <c r="B491" t="s">
        <v>73</v>
      </c>
      <c r="C491" t="s">
        <v>74</v>
      </c>
      <c r="E491" t="str">
        <f>"FES1162721203"</f>
        <v>FES1162721203</v>
      </c>
      <c r="F491" s="3">
        <v>43774</v>
      </c>
      <c r="G491">
        <v>202005</v>
      </c>
      <c r="H491" t="s">
        <v>75</v>
      </c>
      <c r="I491" t="s">
        <v>76</v>
      </c>
      <c r="J491" t="s">
        <v>77</v>
      </c>
      <c r="K491" t="s">
        <v>78</v>
      </c>
      <c r="L491" t="s">
        <v>482</v>
      </c>
      <c r="M491" t="s">
        <v>483</v>
      </c>
      <c r="N491" t="s">
        <v>449</v>
      </c>
      <c r="O491" t="s">
        <v>82</v>
      </c>
      <c r="P491" t="str">
        <f>"2170715458                    "</f>
        <v xml:space="preserve">2170715458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6.87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 s="4">
        <v>39.58</v>
      </c>
      <c r="BM491" s="4">
        <v>5.94</v>
      </c>
      <c r="BN491" s="4">
        <v>45.52</v>
      </c>
      <c r="BO491" s="4">
        <v>45.52</v>
      </c>
      <c r="BQ491" t="s">
        <v>109</v>
      </c>
      <c r="BR491" t="s">
        <v>84</v>
      </c>
      <c r="BS491" s="3">
        <v>43775</v>
      </c>
      <c r="BT491" s="5">
        <v>0.33333333333333331</v>
      </c>
      <c r="BU491" t="s">
        <v>949</v>
      </c>
      <c r="BV491" t="s">
        <v>86</v>
      </c>
      <c r="BY491">
        <v>1200</v>
      </c>
      <c r="CC491" t="s">
        <v>483</v>
      </c>
      <c r="CD491">
        <v>1459</v>
      </c>
      <c r="CE491" t="s">
        <v>147</v>
      </c>
      <c r="CF491" s="3">
        <v>43776</v>
      </c>
      <c r="CI491">
        <v>1</v>
      </c>
      <c r="CJ491">
        <v>1</v>
      </c>
      <c r="CK491">
        <v>22</v>
      </c>
      <c r="CL491" t="s">
        <v>89</v>
      </c>
    </row>
    <row r="492" spans="1:90">
      <c r="A492" t="s">
        <v>72</v>
      </c>
      <c r="B492" t="s">
        <v>73</v>
      </c>
      <c r="C492" t="s">
        <v>74</v>
      </c>
      <c r="E492" t="str">
        <f>"FES1162721368"</f>
        <v>FES1162721368</v>
      </c>
      <c r="F492" s="3">
        <v>43774</v>
      </c>
      <c r="G492">
        <v>202005</v>
      </c>
      <c r="H492" t="s">
        <v>75</v>
      </c>
      <c r="I492" t="s">
        <v>76</v>
      </c>
      <c r="J492" t="s">
        <v>77</v>
      </c>
      <c r="K492" t="s">
        <v>78</v>
      </c>
      <c r="L492" t="s">
        <v>90</v>
      </c>
      <c r="M492" t="s">
        <v>91</v>
      </c>
      <c r="N492" t="s">
        <v>950</v>
      </c>
      <c r="O492" t="s">
        <v>82</v>
      </c>
      <c r="P492" t="str">
        <f>"2170715667                    "</f>
        <v xml:space="preserve">2170715667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8.7899999999999991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 s="4">
        <v>50.66</v>
      </c>
      <c r="BM492" s="4">
        <v>7.6</v>
      </c>
      <c r="BN492" s="4">
        <v>58.26</v>
      </c>
      <c r="BO492" s="4">
        <v>58.26</v>
      </c>
      <c r="BQ492" t="s">
        <v>121</v>
      </c>
      <c r="BR492" t="s">
        <v>84</v>
      </c>
      <c r="BS492" s="3">
        <v>43775</v>
      </c>
      <c r="BT492" s="5">
        <v>0.31944444444444448</v>
      </c>
      <c r="BU492" t="s">
        <v>951</v>
      </c>
      <c r="BV492" t="s">
        <v>86</v>
      </c>
      <c r="BY492">
        <v>1200</v>
      </c>
      <c r="CC492" t="s">
        <v>91</v>
      </c>
      <c r="CD492">
        <v>7530</v>
      </c>
      <c r="CE492" t="s">
        <v>147</v>
      </c>
      <c r="CF492" s="3">
        <v>43776</v>
      </c>
      <c r="CI492">
        <v>1</v>
      </c>
      <c r="CJ492">
        <v>1</v>
      </c>
      <c r="CK492">
        <v>21</v>
      </c>
      <c r="CL492" t="s">
        <v>89</v>
      </c>
    </row>
    <row r="493" spans="1:90">
      <c r="A493" t="s">
        <v>72</v>
      </c>
      <c r="B493" t="s">
        <v>73</v>
      </c>
      <c r="C493" t="s">
        <v>74</v>
      </c>
      <c r="E493" t="str">
        <f>"FES1162721364"</f>
        <v>FES1162721364</v>
      </c>
      <c r="F493" s="3">
        <v>43774</v>
      </c>
      <c r="G493">
        <v>202005</v>
      </c>
      <c r="H493" t="s">
        <v>75</v>
      </c>
      <c r="I493" t="s">
        <v>76</v>
      </c>
      <c r="J493" t="s">
        <v>77</v>
      </c>
      <c r="K493" t="s">
        <v>78</v>
      </c>
      <c r="L493" t="s">
        <v>106</v>
      </c>
      <c r="M493" t="s">
        <v>107</v>
      </c>
      <c r="N493" t="s">
        <v>108</v>
      </c>
      <c r="O493" t="s">
        <v>82</v>
      </c>
      <c r="P493" t="str">
        <f>"2170715663                    "</f>
        <v xml:space="preserve">2170715663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8.7899999999999991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 s="4">
        <v>50.66</v>
      </c>
      <c r="BM493" s="4">
        <v>7.6</v>
      </c>
      <c r="BN493" s="4">
        <v>58.26</v>
      </c>
      <c r="BO493" s="4">
        <v>58.26</v>
      </c>
      <c r="BQ493" t="s">
        <v>109</v>
      </c>
      <c r="BR493" t="s">
        <v>84</v>
      </c>
      <c r="BS493" s="3">
        <v>43775</v>
      </c>
      <c r="BT493" s="5">
        <v>0.35347222222222219</v>
      </c>
      <c r="BU493" t="s">
        <v>952</v>
      </c>
      <c r="BV493" t="s">
        <v>86</v>
      </c>
      <c r="BY493">
        <v>1200</v>
      </c>
      <c r="CA493" t="s">
        <v>111</v>
      </c>
      <c r="CC493" t="s">
        <v>107</v>
      </c>
      <c r="CD493">
        <v>6001</v>
      </c>
      <c r="CE493" t="s">
        <v>147</v>
      </c>
      <c r="CF493" s="3">
        <v>43776</v>
      </c>
      <c r="CI493">
        <v>1</v>
      </c>
      <c r="CJ493">
        <v>1</v>
      </c>
      <c r="CK493">
        <v>21</v>
      </c>
      <c r="CL493" t="s">
        <v>89</v>
      </c>
    </row>
    <row r="494" spans="1:90">
      <c r="A494" t="s">
        <v>72</v>
      </c>
      <c r="B494" t="s">
        <v>73</v>
      </c>
      <c r="C494" t="s">
        <v>74</v>
      </c>
      <c r="E494" t="str">
        <f>"FES1162721363"</f>
        <v>FES1162721363</v>
      </c>
      <c r="F494" s="3">
        <v>43774</v>
      </c>
      <c r="G494">
        <v>202005</v>
      </c>
      <c r="H494" t="s">
        <v>75</v>
      </c>
      <c r="I494" t="s">
        <v>76</v>
      </c>
      <c r="J494" t="s">
        <v>77</v>
      </c>
      <c r="K494" t="s">
        <v>78</v>
      </c>
      <c r="L494" t="s">
        <v>106</v>
      </c>
      <c r="M494" t="s">
        <v>107</v>
      </c>
      <c r="N494" t="s">
        <v>906</v>
      </c>
      <c r="O494" t="s">
        <v>82</v>
      </c>
      <c r="P494" t="str">
        <f>"21707155662                   "</f>
        <v xml:space="preserve">21707155662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8.7899999999999991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 s="4">
        <v>50.66</v>
      </c>
      <c r="BM494" s="4">
        <v>7.6</v>
      </c>
      <c r="BN494" s="4">
        <v>58.26</v>
      </c>
      <c r="BO494" s="4">
        <v>58.26</v>
      </c>
      <c r="BQ494" t="s">
        <v>121</v>
      </c>
      <c r="BR494" t="s">
        <v>84</v>
      </c>
      <c r="BS494" s="3">
        <v>43775</v>
      </c>
      <c r="BT494" s="5">
        <v>0.37708333333333338</v>
      </c>
      <c r="BU494" t="s">
        <v>907</v>
      </c>
      <c r="BV494" t="s">
        <v>86</v>
      </c>
      <c r="BY494">
        <v>1200</v>
      </c>
      <c r="CA494" t="s">
        <v>111</v>
      </c>
      <c r="CC494" t="s">
        <v>107</v>
      </c>
      <c r="CD494">
        <v>6001</v>
      </c>
      <c r="CE494" t="s">
        <v>147</v>
      </c>
      <c r="CF494" s="3">
        <v>43776</v>
      </c>
      <c r="CI494">
        <v>1</v>
      </c>
      <c r="CJ494">
        <v>1</v>
      </c>
      <c r="CK494">
        <v>21</v>
      </c>
      <c r="CL494" t="s">
        <v>89</v>
      </c>
    </row>
    <row r="495" spans="1:90">
      <c r="A495" t="s">
        <v>72</v>
      </c>
      <c r="B495" t="s">
        <v>73</v>
      </c>
      <c r="C495" t="s">
        <v>74</v>
      </c>
      <c r="E495" t="str">
        <f>"FES1162721354"</f>
        <v>FES1162721354</v>
      </c>
      <c r="F495" s="3">
        <v>43774</v>
      </c>
      <c r="G495">
        <v>202005</v>
      </c>
      <c r="H495" t="s">
        <v>75</v>
      </c>
      <c r="I495" t="s">
        <v>76</v>
      </c>
      <c r="J495" t="s">
        <v>77</v>
      </c>
      <c r="K495" t="s">
        <v>78</v>
      </c>
      <c r="L495" t="s">
        <v>133</v>
      </c>
      <c r="M495" t="s">
        <v>134</v>
      </c>
      <c r="N495" t="s">
        <v>135</v>
      </c>
      <c r="O495" t="s">
        <v>82</v>
      </c>
      <c r="P495" t="str">
        <f>"2170715654                    "</f>
        <v xml:space="preserve">2170715654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8.7899999999999991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 s="4">
        <v>50.66</v>
      </c>
      <c r="BM495" s="4">
        <v>7.6</v>
      </c>
      <c r="BN495" s="4">
        <v>58.26</v>
      </c>
      <c r="BO495" s="4">
        <v>58.26</v>
      </c>
      <c r="BQ495" t="s">
        <v>109</v>
      </c>
      <c r="BR495" t="s">
        <v>84</v>
      </c>
      <c r="BS495" s="3">
        <v>43775</v>
      </c>
      <c r="BT495" s="5">
        <v>0.43402777777777773</v>
      </c>
      <c r="BU495" t="s">
        <v>953</v>
      </c>
      <c r="BV495" t="s">
        <v>86</v>
      </c>
      <c r="BY495">
        <v>1200</v>
      </c>
      <c r="CA495" t="s">
        <v>912</v>
      </c>
      <c r="CC495" t="s">
        <v>134</v>
      </c>
      <c r="CD495">
        <v>5201</v>
      </c>
      <c r="CE495" t="s">
        <v>147</v>
      </c>
      <c r="CF495" s="3">
        <v>43777</v>
      </c>
      <c r="CI495">
        <v>1</v>
      </c>
      <c r="CJ495">
        <v>1</v>
      </c>
      <c r="CK495">
        <v>21</v>
      </c>
      <c r="CL495" t="s">
        <v>89</v>
      </c>
    </row>
    <row r="496" spans="1:90">
      <c r="A496" t="s">
        <v>72</v>
      </c>
      <c r="B496" t="s">
        <v>73</v>
      </c>
      <c r="C496" t="s">
        <v>74</v>
      </c>
      <c r="E496" t="str">
        <f>"FES1162721377"</f>
        <v>FES1162721377</v>
      </c>
      <c r="F496" s="3">
        <v>43774</v>
      </c>
      <c r="G496">
        <v>202005</v>
      </c>
      <c r="H496" t="s">
        <v>75</v>
      </c>
      <c r="I496" t="s">
        <v>76</v>
      </c>
      <c r="J496" t="s">
        <v>77</v>
      </c>
      <c r="K496" t="s">
        <v>78</v>
      </c>
      <c r="L496" t="s">
        <v>90</v>
      </c>
      <c r="M496" t="s">
        <v>91</v>
      </c>
      <c r="N496" t="s">
        <v>954</v>
      </c>
      <c r="O496" t="s">
        <v>82</v>
      </c>
      <c r="P496" t="str">
        <f>"2170715686                    "</f>
        <v xml:space="preserve">2170715686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8.7899999999999991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 s="4">
        <v>50.66</v>
      </c>
      <c r="BM496" s="4">
        <v>7.6</v>
      </c>
      <c r="BN496" s="4">
        <v>58.26</v>
      </c>
      <c r="BO496" s="4">
        <v>58.26</v>
      </c>
      <c r="BQ496" t="s">
        <v>109</v>
      </c>
      <c r="BR496" t="s">
        <v>84</v>
      </c>
      <c r="BS496" s="3">
        <v>43776</v>
      </c>
      <c r="BT496" s="5">
        <v>0.33194444444444443</v>
      </c>
      <c r="BU496" t="s">
        <v>955</v>
      </c>
      <c r="BV496" t="s">
        <v>89</v>
      </c>
      <c r="BW496" t="s">
        <v>956</v>
      </c>
      <c r="BX496" t="s">
        <v>365</v>
      </c>
      <c r="BY496">
        <v>1200</v>
      </c>
      <c r="CA496" t="s">
        <v>323</v>
      </c>
      <c r="CC496" t="s">
        <v>91</v>
      </c>
      <c r="CD496">
        <v>7441</v>
      </c>
      <c r="CE496" t="s">
        <v>147</v>
      </c>
      <c r="CF496" s="3">
        <v>43777</v>
      </c>
      <c r="CI496">
        <v>1</v>
      </c>
      <c r="CJ496">
        <v>2</v>
      </c>
      <c r="CK496">
        <v>21</v>
      </c>
      <c r="CL496" t="s">
        <v>89</v>
      </c>
    </row>
    <row r="497" spans="1:90">
      <c r="A497" t="s">
        <v>72</v>
      </c>
      <c r="B497" t="s">
        <v>73</v>
      </c>
      <c r="C497" t="s">
        <v>74</v>
      </c>
      <c r="E497" t="str">
        <f>"FES1162721083"</f>
        <v>FES1162721083</v>
      </c>
      <c r="F497" s="3">
        <v>43774</v>
      </c>
      <c r="G497">
        <v>202005</v>
      </c>
      <c r="H497" t="s">
        <v>75</v>
      </c>
      <c r="I497" t="s">
        <v>76</v>
      </c>
      <c r="J497" t="s">
        <v>77</v>
      </c>
      <c r="K497" t="s">
        <v>78</v>
      </c>
      <c r="L497" t="s">
        <v>691</v>
      </c>
      <c r="M497" t="s">
        <v>692</v>
      </c>
      <c r="N497" t="s">
        <v>957</v>
      </c>
      <c r="O497" t="s">
        <v>82</v>
      </c>
      <c r="P497" t="str">
        <f>"2170713447                    "</f>
        <v xml:space="preserve">2170713447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14.28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5.7</v>
      </c>
      <c r="BJ497">
        <v>6.4</v>
      </c>
      <c r="BK497">
        <v>6.5</v>
      </c>
      <c r="BL497" s="4">
        <v>82.27</v>
      </c>
      <c r="BM497" s="4">
        <v>12.34</v>
      </c>
      <c r="BN497" s="4">
        <v>94.61</v>
      </c>
      <c r="BO497" s="4">
        <v>94.61</v>
      </c>
      <c r="BQ497" t="s">
        <v>121</v>
      </c>
      <c r="BR497" t="s">
        <v>84</v>
      </c>
      <c r="BS497" s="3">
        <v>43775</v>
      </c>
      <c r="BT497" s="5">
        <v>0.33333333333333331</v>
      </c>
      <c r="BU497" t="s">
        <v>958</v>
      </c>
      <c r="BV497" t="s">
        <v>86</v>
      </c>
      <c r="BY497">
        <v>31977.41</v>
      </c>
      <c r="CA497" t="s">
        <v>819</v>
      </c>
      <c r="CC497" t="s">
        <v>692</v>
      </c>
      <c r="CD497">
        <v>1559</v>
      </c>
      <c r="CE497" t="s">
        <v>88</v>
      </c>
      <c r="CF497" s="3">
        <v>43776</v>
      </c>
      <c r="CI497">
        <v>1</v>
      </c>
      <c r="CJ497">
        <v>1</v>
      </c>
      <c r="CK497">
        <v>22</v>
      </c>
      <c r="CL497" t="s">
        <v>89</v>
      </c>
    </row>
    <row r="498" spans="1:90">
      <c r="A498" t="s">
        <v>72</v>
      </c>
      <c r="B498" t="s">
        <v>73</v>
      </c>
      <c r="C498" t="s">
        <v>74</v>
      </c>
      <c r="E498" t="str">
        <f>"FES1162721249"</f>
        <v>FES1162721249</v>
      </c>
      <c r="F498" s="3">
        <v>43774</v>
      </c>
      <c r="G498">
        <v>202005</v>
      </c>
      <c r="H498" t="s">
        <v>75</v>
      </c>
      <c r="I498" t="s">
        <v>76</v>
      </c>
      <c r="J498" t="s">
        <v>77</v>
      </c>
      <c r="K498" t="s">
        <v>78</v>
      </c>
      <c r="L498" t="s">
        <v>75</v>
      </c>
      <c r="M498" t="s">
        <v>76</v>
      </c>
      <c r="N498" t="s">
        <v>360</v>
      </c>
      <c r="O498" t="s">
        <v>82</v>
      </c>
      <c r="P498" t="str">
        <f>"2170715528                    "</f>
        <v xml:space="preserve">2170715528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22.51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8.8000000000000007</v>
      </c>
      <c r="BJ498">
        <v>11.4</v>
      </c>
      <c r="BK498">
        <v>11.5</v>
      </c>
      <c r="BL498" s="4">
        <v>129.69999999999999</v>
      </c>
      <c r="BM498" s="4">
        <v>19.46</v>
      </c>
      <c r="BN498" s="4">
        <v>149.16</v>
      </c>
      <c r="BO498" s="4">
        <v>149.16</v>
      </c>
      <c r="BQ498" t="s">
        <v>109</v>
      </c>
      <c r="BR498" t="s">
        <v>84</v>
      </c>
      <c r="BS498" s="3">
        <v>43775</v>
      </c>
      <c r="BT498" s="5">
        <v>0.3125</v>
      </c>
      <c r="BU498" t="s">
        <v>104</v>
      </c>
      <c r="BV498" t="s">
        <v>86</v>
      </c>
      <c r="BY498">
        <v>57146.52</v>
      </c>
      <c r="CA498" t="s">
        <v>797</v>
      </c>
      <c r="CC498" t="s">
        <v>76</v>
      </c>
      <c r="CD498">
        <v>1645</v>
      </c>
      <c r="CE498" t="s">
        <v>88</v>
      </c>
      <c r="CF498" s="3">
        <v>43776</v>
      </c>
      <c r="CI498">
        <v>1</v>
      </c>
      <c r="CJ498">
        <v>1</v>
      </c>
      <c r="CK498">
        <v>22</v>
      </c>
      <c r="CL498" t="s">
        <v>89</v>
      </c>
    </row>
    <row r="499" spans="1:90">
      <c r="A499" t="s">
        <v>72</v>
      </c>
      <c r="B499" t="s">
        <v>73</v>
      </c>
      <c r="C499" t="s">
        <v>74</v>
      </c>
      <c r="E499" t="str">
        <f>"FES1162721369"</f>
        <v>FES1162721369</v>
      </c>
      <c r="F499" s="3">
        <v>43774</v>
      </c>
      <c r="G499">
        <v>202005</v>
      </c>
      <c r="H499" t="s">
        <v>75</v>
      </c>
      <c r="I499" t="s">
        <v>76</v>
      </c>
      <c r="J499" t="s">
        <v>77</v>
      </c>
      <c r="K499" t="s">
        <v>78</v>
      </c>
      <c r="L499" t="s">
        <v>214</v>
      </c>
      <c r="M499" t="s">
        <v>214</v>
      </c>
      <c r="N499" t="s">
        <v>314</v>
      </c>
      <c r="O499" t="s">
        <v>82</v>
      </c>
      <c r="P499" t="str">
        <f>"2170715668                    "</f>
        <v xml:space="preserve">2170715668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32.42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3.8</v>
      </c>
      <c r="BJ499">
        <v>1.6</v>
      </c>
      <c r="BK499">
        <v>4</v>
      </c>
      <c r="BL499" s="4">
        <v>186.82</v>
      </c>
      <c r="BM499" s="4">
        <v>28.02</v>
      </c>
      <c r="BN499" s="4">
        <v>214.84</v>
      </c>
      <c r="BO499" s="4">
        <v>214.84</v>
      </c>
      <c r="BQ499" t="s">
        <v>109</v>
      </c>
      <c r="BR499" t="s">
        <v>84</v>
      </c>
      <c r="BS499" s="3">
        <v>43775</v>
      </c>
      <c r="BT499" s="5">
        <v>0.45833333333333331</v>
      </c>
      <c r="BU499" t="s">
        <v>767</v>
      </c>
      <c r="BV499" t="s">
        <v>86</v>
      </c>
      <c r="BY499">
        <v>7798.07</v>
      </c>
      <c r="CC499" t="s">
        <v>214</v>
      </c>
      <c r="CD499">
        <v>7646</v>
      </c>
      <c r="CE499" t="s">
        <v>88</v>
      </c>
      <c r="CF499" s="3">
        <v>43776</v>
      </c>
      <c r="CI499">
        <v>1</v>
      </c>
      <c r="CJ499">
        <v>1</v>
      </c>
      <c r="CK499">
        <v>23</v>
      </c>
      <c r="CL499" t="s">
        <v>89</v>
      </c>
    </row>
    <row r="500" spans="1:90">
      <c r="A500" t="s">
        <v>72</v>
      </c>
      <c r="B500" t="s">
        <v>73</v>
      </c>
      <c r="C500" t="s">
        <v>74</v>
      </c>
      <c r="E500" t="str">
        <f>"FES1162721287"</f>
        <v>FES1162721287</v>
      </c>
      <c r="F500" s="3">
        <v>43774</v>
      </c>
      <c r="G500">
        <v>202005</v>
      </c>
      <c r="H500" t="s">
        <v>75</v>
      </c>
      <c r="I500" t="s">
        <v>76</v>
      </c>
      <c r="J500" t="s">
        <v>77</v>
      </c>
      <c r="K500" t="s">
        <v>78</v>
      </c>
      <c r="L500" t="s">
        <v>624</v>
      </c>
      <c r="M500" t="s">
        <v>625</v>
      </c>
      <c r="N500" t="s">
        <v>959</v>
      </c>
      <c r="O500" t="s">
        <v>82</v>
      </c>
      <c r="P500" t="str">
        <f>"2170715571                    "</f>
        <v xml:space="preserve">2170715571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17.04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 s="4">
        <v>98.16</v>
      </c>
      <c r="BM500" s="4">
        <v>14.72</v>
      </c>
      <c r="BN500" s="4">
        <v>112.88</v>
      </c>
      <c r="BO500" s="4">
        <v>112.88</v>
      </c>
      <c r="BQ500" t="s">
        <v>109</v>
      </c>
      <c r="BR500" t="s">
        <v>84</v>
      </c>
      <c r="BS500" s="3">
        <v>43776</v>
      </c>
      <c r="BT500" s="5">
        <v>0.53749999999999998</v>
      </c>
      <c r="BU500" t="s">
        <v>960</v>
      </c>
      <c r="BV500" t="s">
        <v>89</v>
      </c>
      <c r="BW500" t="s">
        <v>144</v>
      </c>
      <c r="BX500" t="s">
        <v>961</v>
      </c>
      <c r="BY500">
        <v>1200</v>
      </c>
      <c r="CA500" t="s">
        <v>628</v>
      </c>
      <c r="CC500" t="s">
        <v>625</v>
      </c>
      <c r="CD500">
        <v>4170</v>
      </c>
      <c r="CE500" t="s">
        <v>147</v>
      </c>
      <c r="CI500">
        <v>1</v>
      </c>
      <c r="CJ500">
        <v>2</v>
      </c>
      <c r="CK500">
        <v>23</v>
      </c>
      <c r="CL500" t="s">
        <v>89</v>
      </c>
    </row>
    <row r="501" spans="1:90">
      <c r="A501" t="s">
        <v>72</v>
      </c>
      <c r="B501" t="s">
        <v>73</v>
      </c>
      <c r="C501" t="s">
        <v>74</v>
      </c>
      <c r="E501" t="str">
        <f>"FES1162721333"</f>
        <v>FES1162721333</v>
      </c>
      <c r="F501" s="3">
        <v>43774</v>
      </c>
      <c r="G501">
        <v>202005</v>
      </c>
      <c r="H501" t="s">
        <v>75</v>
      </c>
      <c r="I501" t="s">
        <v>76</v>
      </c>
      <c r="J501" t="s">
        <v>77</v>
      </c>
      <c r="K501" t="s">
        <v>78</v>
      </c>
      <c r="L501" t="s">
        <v>118</v>
      </c>
      <c r="M501" t="s">
        <v>119</v>
      </c>
      <c r="N501" t="s">
        <v>630</v>
      </c>
      <c r="O501" t="s">
        <v>82</v>
      </c>
      <c r="P501" t="str">
        <f>"2170715630                    "</f>
        <v xml:space="preserve">2170715630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8.7899999999999991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 s="4">
        <v>50.66</v>
      </c>
      <c r="BM501" s="4">
        <v>7.6</v>
      </c>
      <c r="BN501" s="4">
        <v>58.26</v>
      </c>
      <c r="BO501" s="4">
        <v>58.26</v>
      </c>
      <c r="BQ501" t="s">
        <v>121</v>
      </c>
      <c r="BR501" t="s">
        <v>84</v>
      </c>
      <c r="BS501" s="3">
        <v>43775</v>
      </c>
      <c r="BT501" s="5">
        <v>0.33333333333333331</v>
      </c>
      <c r="BU501" t="s">
        <v>962</v>
      </c>
      <c r="BV501" t="s">
        <v>86</v>
      </c>
      <c r="BY501">
        <v>1200</v>
      </c>
      <c r="CA501" t="s">
        <v>632</v>
      </c>
      <c r="CC501" t="s">
        <v>119</v>
      </c>
      <c r="CD501">
        <v>3201</v>
      </c>
      <c r="CE501" t="s">
        <v>147</v>
      </c>
      <c r="CF501" s="3">
        <v>43777</v>
      </c>
      <c r="CI501">
        <v>1</v>
      </c>
      <c r="CJ501">
        <v>1</v>
      </c>
      <c r="CK501">
        <v>21</v>
      </c>
      <c r="CL501" t="s">
        <v>89</v>
      </c>
    </row>
    <row r="502" spans="1:90">
      <c r="A502" t="s">
        <v>72</v>
      </c>
      <c r="B502" t="s">
        <v>73</v>
      </c>
      <c r="C502" t="s">
        <v>74</v>
      </c>
      <c r="E502" t="str">
        <f>"FES1162721337"</f>
        <v>FES1162721337</v>
      </c>
      <c r="F502" s="3">
        <v>43774</v>
      </c>
      <c r="G502">
        <v>202005</v>
      </c>
      <c r="H502" t="s">
        <v>75</v>
      </c>
      <c r="I502" t="s">
        <v>76</v>
      </c>
      <c r="J502" t="s">
        <v>77</v>
      </c>
      <c r="K502" t="s">
        <v>78</v>
      </c>
      <c r="L502" t="s">
        <v>112</v>
      </c>
      <c r="M502" t="s">
        <v>113</v>
      </c>
      <c r="N502" t="s">
        <v>160</v>
      </c>
      <c r="O502" t="s">
        <v>82</v>
      </c>
      <c r="P502" t="str">
        <f>"2170715634                    "</f>
        <v xml:space="preserve">2170715634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8.7899999999999991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 s="4">
        <v>50.66</v>
      </c>
      <c r="BM502" s="4">
        <v>7.6</v>
      </c>
      <c r="BN502" s="4">
        <v>58.26</v>
      </c>
      <c r="BO502" s="4">
        <v>58.26</v>
      </c>
      <c r="BQ502" t="s">
        <v>161</v>
      </c>
      <c r="BR502" t="s">
        <v>84</v>
      </c>
      <c r="BS502" s="3">
        <v>43775</v>
      </c>
      <c r="BT502" s="5">
        <v>0.3520833333333333</v>
      </c>
      <c r="BU502" t="s">
        <v>162</v>
      </c>
      <c r="BV502" t="s">
        <v>86</v>
      </c>
      <c r="BY502">
        <v>1200</v>
      </c>
      <c r="CA502" t="s">
        <v>163</v>
      </c>
      <c r="CC502" t="s">
        <v>113</v>
      </c>
      <c r="CD502">
        <v>4000</v>
      </c>
      <c r="CE502" t="s">
        <v>147</v>
      </c>
      <c r="CF502" s="3">
        <v>43777</v>
      </c>
      <c r="CI502">
        <v>1</v>
      </c>
      <c r="CJ502">
        <v>1</v>
      </c>
      <c r="CK502">
        <v>21</v>
      </c>
      <c r="CL502" t="s">
        <v>89</v>
      </c>
    </row>
    <row r="503" spans="1:90">
      <c r="A503" t="s">
        <v>72</v>
      </c>
      <c r="B503" t="s">
        <v>73</v>
      </c>
      <c r="C503" t="s">
        <v>74</v>
      </c>
      <c r="E503" t="str">
        <f>"FES1162721341"</f>
        <v>FES1162721341</v>
      </c>
      <c r="F503" s="3">
        <v>43774</v>
      </c>
      <c r="G503">
        <v>202005</v>
      </c>
      <c r="H503" t="s">
        <v>75</v>
      </c>
      <c r="I503" t="s">
        <v>76</v>
      </c>
      <c r="J503" t="s">
        <v>77</v>
      </c>
      <c r="K503" t="s">
        <v>78</v>
      </c>
      <c r="L503" t="s">
        <v>118</v>
      </c>
      <c r="M503" t="s">
        <v>119</v>
      </c>
      <c r="N503" t="s">
        <v>248</v>
      </c>
      <c r="O503" t="s">
        <v>82</v>
      </c>
      <c r="P503" t="str">
        <f>"2170715638                    "</f>
        <v xml:space="preserve">2170715638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8.7899999999999991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 s="4">
        <v>50.66</v>
      </c>
      <c r="BM503" s="4">
        <v>7.6</v>
      </c>
      <c r="BN503" s="4">
        <v>58.26</v>
      </c>
      <c r="BO503" s="4">
        <v>58.26</v>
      </c>
      <c r="BQ503" t="s">
        <v>121</v>
      </c>
      <c r="BR503" t="s">
        <v>84</v>
      </c>
      <c r="BS503" s="3">
        <v>43775</v>
      </c>
      <c r="BT503" s="5">
        <v>0.35972222222222222</v>
      </c>
      <c r="BU503" t="s">
        <v>623</v>
      </c>
      <c r="BV503" t="s">
        <v>86</v>
      </c>
      <c r="BY503">
        <v>1200</v>
      </c>
      <c r="CA503" t="s">
        <v>435</v>
      </c>
      <c r="CC503" t="s">
        <v>119</v>
      </c>
      <c r="CD503">
        <v>3212</v>
      </c>
      <c r="CE503" t="s">
        <v>147</v>
      </c>
      <c r="CF503" s="3">
        <v>43777</v>
      </c>
      <c r="CI503">
        <v>1</v>
      </c>
      <c r="CJ503">
        <v>1</v>
      </c>
      <c r="CK503">
        <v>21</v>
      </c>
      <c r="CL503" t="s">
        <v>89</v>
      </c>
    </row>
    <row r="504" spans="1:90">
      <c r="A504" t="s">
        <v>72</v>
      </c>
      <c r="B504" t="s">
        <v>73</v>
      </c>
      <c r="C504" t="s">
        <v>74</v>
      </c>
      <c r="E504" t="str">
        <f>"FES1162721300"</f>
        <v>FES1162721300</v>
      </c>
      <c r="F504" s="3">
        <v>43774</v>
      </c>
      <c r="G504">
        <v>202005</v>
      </c>
      <c r="H504" t="s">
        <v>75</v>
      </c>
      <c r="I504" t="s">
        <v>76</v>
      </c>
      <c r="J504" t="s">
        <v>77</v>
      </c>
      <c r="K504" t="s">
        <v>78</v>
      </c>
      <c r="L504" t="s">
        <v>225</v>
      </c>
      <c r="M504" t="s">
        <v>226</v>
      </c>
      <c r="N504" t="s">
        <v>227</v>
      </c>
      <c r="O504" t="s">
        <v>82</v>
      </c>
      <c r="P504" t="str">
        <f>"2170715583                    "</f>
        <v xml:space="preserve">2170715583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8.7899999999999991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 s="4">
        <v>50.66</v>
      </c>
      <c r="BM504" s="4">
        <v>7.6</v>
      </c>
      <c r="BN504" s="4">
        <v>58.26</v>
      </c>
      <c r="BO504" s="4">
        <v>58.26</v>
      </c>
      <c r="BQ504" t="s">
        <v>121</v>
      </c>
      <c r="BR504" t="s">
        <v>84</v>
      </c>
      <c r="BS504" s="3">
        <v>43775</v>
      </c>
      <c r="BT504" s="5">
        <v>0.3444444444444445</v>
      </c>
      <c r="BU504" t="s">
        <v>858</v>
      </c>
      <c r="BV504" t="s">
        <v>86</v>
      </c>
      <c r="BY504">
        <v>1200</v>
      </c>
      <c r="CA504" t="s">
        <v>229</v>
      </c>
      <c r="CC504" t="s">
        <v>226</v>
      </c>
      <c r="CD504">
        <v>4026</v>
      </c>
      <c r="CE504" t="s">
        <v>147</v>
      </c>
      <c r="CF504" s="3">
        <v>43777</v>
      </c>
      <c r="CI504">
        <v>1</v>
      </c>
      <c r="CJ504">
        <v>1</v>
      </c>
      <c r="CK504">
        <v>21</v>
      </c>
      <c r="CL504" t="s">
        <v>89</v>
      </c>
    </row>
    <row r="505" spans="1:90">
      <c r="A505" t="s">
        <v>72</v>
      </c>
      <c r="B505" t="s">
        <v>73</v>
      </c>
      <c r="C505" t="s">
        <v>74</v>
      </c>
      <c r="E505" t="str">
        <f>"FES1162721339"</f>
        <v>FES1162721339</v>
      </c>
      <c r="F505" s="3">
        <v>43774</v>
      </c>
      <c r="G505">
        <v>202005</v>
      </c>
      <c r="H505" t="s">
        <v>75</v>
      </c>
      <c r="I505" t="s">
        <v>76</v>
      </c>
      <c r="J505" t="s">
        <v>77</v>
      </c>
      <c r="K505" t="s">
        <v>78</v>
      </c>
      <c r="L505" t="s">
        <v>112</v>
      </c>
      <c r="M505" t="s">
        <v>113</v>
      </c>
      <c r="N505" t="s">
        <v>637</v>
      </c>
      <c r="O505" t="s">
        <v>82</v>
      </c>
      <c r="P505" t="str">
        <f>"21708715653                   "</f>
        <v xml:space="preserve">21708715653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8.7899999999999991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 s="4">
        <v>50.66</v>
      </c>
      <c r="BM505" s="4">
        <v>7.6</v>
      </c>
      <c r="BN505" s="4">
        <v>58.26</v>
      </c>
      <c r="BO505" s="4">
        <v>58.26</v>
      </c>
      <c r="BR505" t="s">
        <v>84</v>
      </c>
      <c r="BS505" s="3">
        <v>43775</v>
      </c>
      <c r="BT505" s="5">
        <v>0.32013888888888892</v>
      </c>
      <c r="BU505" t="s">
        <v>963</v>
      </c>
      <c r="BV505" t="s">
        <v>86</v>
      </c>
      <c r="BY505">
        <v>1200</v>
      </c>
      <c r="CC505" t="s">
        <v>113</v>
      </c>
      <c r="CD505">
        <v>4094</v>
      </c>
      <c r="CE505" t="s">
        <v>147</v>
      </c>
      <c r="CF505" s="3">
        <v>43777</v>
      </c>
      <c r="CI505">
        <v>1</v>
      </c>
      <c r="CJ505">
        <v>1</v>
      </c>
      <c r="CK505">
        <v>21</v>
      </c>
      <c r="CL505" t="s">
        <v>89</v>
      </c>
    </row>
    <row r="506" spans="1:90">
      <c r="A506" t="s">
        <v>72</v>
      </c>
      <c r="B506" t="s">
        <v>73</v>
      </c>
      <c r="C506" t="s">
        <v>74</v>
      </c>
      <c r="E506" t="str">
        <f>"FES1162721338"</f>
        <v>FES1162721338</v>
      </c>
      <c r="F506" s="3">
        <v>43774</v>
      </c>
      <c r="G506">
        <v>202005</v>
      </c>
      <c r="H506" t="s">
        <v>75</v>
      </c>
      <c r="I506" t="s">
        <v>76</v>
      </c>
      <c r="J506" t="s">
        <v>77</v>
      </c>
      <c r="K506" t="s">
        <v>78</v>
      </c>
      <c r="L506" t="s">
        <v>112</v>
      </c>
      <c r="M506" t="s">
        <v>113</v>
      </c>
      <c r="N506" t="s">
        <v>637</v>
      </c>
      <c r="O506" t="s">
        <v>82</v>
      </c>
      <c r="P506" t="str">
        <f>"2170715635                    "</f>
        <v xml:space="preserve">2170715635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8.7899999999999991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 s="4">
        <v>50.66</v>
      </c>
      <c r="BM506" s="4">
        <v>7.6</v>
      </c>
      <c r="BN506" s="4">
        <v>58.26</v>
      </c>
      <c r="BO506" s="4">
        <v>58.26</v>
      </c>
      <c r="BR506" t="s">
        <v>84</v>
      </c>
      <c r="BS506" s="3">
        <v>43775</v>
      </c>
      <c r="BT506" s="5">
        <v>0.32013888888888892</v>
      </c>
      <c r="BU506" t="s">
        <v>963</v>
      </c>
      <c r="BV506" t="s">
        <v>86</v>
      </c>
      <c r="BY506">
        <v>1200</v>
      </c>
      <c r="CC506" t="s">
        <v>113</v>
      </c>
      <c r="CD506">
        <v>4094</v>
      </c>
      <c r="CE506" t="s">
        <v>147</v>
      </c>
      <c r="CF506" s="3">
        <v>43777</v>
      </c>
      <c r="CI506">
        <v>1</v>
      </c>
      <c r="CJ506">
        <v>1</v>
      </c>
      <c r="CK506">
        <v>21</v>
      </c>
      <c r="CL506" t="s">
        <v>89</v>
      </c>
    </row>
    <row r="507" spans="1:90">
      <c r="A507" t="s">
        <v>72</v>
      </c>
      <c r="B507" t="s">
        <v>73</v>
      </c>
      <c r="C507" t="s">
        <v>74</v>
      </c>
      <c r="E507" t="str">
        <f>"FES1162721299"</f>
        <v>FES1162721299</v>
      </c>
      <c r="F507" s="3">
        <v>43774</v>
      </c>
      <c r="G507">
        <v>202005</v>
      </c>
      <c r="H507" t="s">
        <v>75</v>
      </c>
      <c r="I507" t="s">
        <v>76</v>
      </c>
      <c r="J507" t="s">
        <v>77</v>
      </c>
      <c r="K507" t="s">
        <v>78</v>
      </c>
      <c r="L507" t="s">
        <v>118</v>
      </c>
      <c r="M507" t="s">
        <v>119</v>
      </c>
      <c r="N507" t="s">
        <v>439</v>
      </c>
      <c r="O507" t="s">
        <v>82</v>
      </c>
      <c r="P507" t="str">
        <f>"21707122222                   "</f>
        <v xml:space="preserve">21707122222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8.7899999999999991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 s="4">
        <v>50.66</v>
      </c>
      <c r="BM507" s="4">
        <v>7.6</v>
      </c>
      <c r="BN507" s="4">
        <v>58.26</v>
      </c>
      <c r="BO507" s="4">
        <v>58.26</v>
      </c>
      <c r="BQ507" t="s">
        <v>121</v>
      </c>
      <c r="BR507" t="s">
        <v>84</v>
      </c>
      <c r="BS507" s="3">
        <v>43775</v>
      </c>
      <c r="BT507" s="5">
        <v>0.4236111111111111</v>
      </c>
      <c r="BU507" t="s">
        <v>964</v>
      </c>
      <c r="BV507" t="s">
        <v>86</v>
      </c>
      <c r="BY507">
        <v>1200</v>
      </c>
      <c r="CA507" t="s">
        <v>441</v>
      </c>
      <c r="CC507" t="s">
        <v>119</v>
      </c>
      <c r="CD507">
        <v>3201</v>
      </c>
      <c r="CE507" t="s">
        <v>147</v>
      </c>
      <c r="CF507" s="3">
        <v>43777</v>
      </c>
      <c r="CI507">
        <v>1</v>
      </c>
      <c r="CJ507">
        <v>1</v>
      </c>
      <c r="CK507">
        <v>21</v>
      </c>
      <c r="CL507" t="s">
        <v>89</v>
      </c>
    </row>
    <row r="508" spans="1:90">
      <c r="A508" t="s">
        <v>72</v>
      </c>
      <c r="B508" t="s">
        <v>73</v>
      </c>
      <c r="C508" t="s">
        <v>74</v>
      </c>
      <c r="E508" t="str">
        <f>"FES1162721297"</f>
        <v>FES1162721297</v>
      </c>
      <c r="F508" s="3">
        <v>43774</v>
      </c>
      <c r="G508">
        <v>202005</v>
      </c>
      <c r="H508" t="s">
        <v>75</v>
      </c>
      <c r="I508" t="s">
        <v>76</v>
      </c>
      <c r="J508" t="s">
        <v>77</v>
      </c>
      <c r="K508" t="s">
        <v>78</v>
      </c>
      <c r="L508" t="s">
        <v>176</v>
      </c>
      <c r="M508" t="s">
        <v>177</v>
      </c>
      <c r="N508" t="s">
        <v>965</v>
      </c>
      <c r="O508" t="s">
        <v>82</v>
      </c>
      <c r="P508" t="str">
        <f>"2170715578                    "</f>
        <v xml:space="preserve">2170715578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8.7899999999999991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 s="4">
        <v>50.66</v>
      </c>
      <c r="BM508" s="4">
        <v>7.6</v>
      </c>
      <c r="BN508" s="4">
        <v>58.26</v>
      </c>
      <c r="BO508" s="4">
        <v>58.26</v>
      </c>
      <c r="BQ508" t="s">
        <v>966</v>
      </c>
      <c r="BR508" t="s">
        <v>84</v>
      </c>
      <c r="BS508" s="3">
        <v>43775</v>
      </c>
      <c r="BT508" s="5">
        <v>0.3034722222222222</v>
      </c>
      <c r="BU508" t="s">
        <v>967</v>
      </c>
      <c r="BV508" t="s">
        <v>86</v>
      </c>
      <c r="BY508">
        <v>1200</v>
      </c>
      <c r="CA508" t="s">
        <v>180</v>
      </c>
      <c r="CC508" t="s">
        <v>177</v>
      </c>
      <c r="CD508">
        <v>3608</v>
      </c>
      <c r="CE508" t="s">
        <v>147</v>
      </c>
      <c r="CF508" s="3">
        <v>43777</v>
      </c>
      <c r="CI508">
        <v>1</v>
      </c>
      <c r="CJ508">
        <v>1</v>
      </c>
      <c r="CK508">
        <v>21</v>
      </c>
      <c r="CL508" t="s">
        <v>89</v>
      </c>
    </row>
    <row r="509" spans="1:90">
      <c r="A509" t="s">
        <v>72</v>
      </c>
      <c r="B509" t="s">
        <v>73</v>
      </c>
      <c r="C509" t="s">
        <v>74</v>
      </c>
      <c r="E509" t="str">
        <f>"FES1162721117"</f>
        <v>FES1162721117</v>
      </c>
      <c r="F509" s="3">
        <v>43774</v>
      </c>
      <c r="G509">
        <v>202005</v>
      </c>
      <c r="H509" t="s">
        <v>75</v>
      </c>
      <c r="I509" t="s">
        <v>76</v>
      </c>
      <c r="J509" t="s">
        <v>77</v>
      </c>
      <c r="K509" t="s">
        <v>78</v>
      </c>
      <c r="L509" t="s">
        <v>482</v>
      </c>
      <c r="M509" t="s">
        <v>483</v>
      </c>
      <c r="N509" t="s">
        <v>968</v>
      </c>
      <c r="O509" t="s">
        <v>82</v>
      </c>
      <c r="P509" t="str">
        <f>"2170715388                    "</f>
        <v xml:space="preserve">2170715388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6.87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 s="4">
        <v>39.58</v>
      </c>
      <c r="BM509" s="4">
        <v>5.94</v>
      </c>
      <c r="BN509" s="4">
        <v>45.52</v>
      </c>
      <c r="BO509" s="4">
        <v>45.52</v>
      </c>
      <c r="BQ509" t="s">
        <v>109</v>
      </c>
      <c r="BR509" t="s">
        <v>84</v>
      </c>
      <c r="BS509" s="3">
        <v>43775</v>
      </c>
      <c r="BT509" s="5">
        <v>0.33333333333333331</v>
      </c>
      <c r="BU509" t="s">
        <v>969</v>
      </c>
      <c r="BV509" t="s">
        <v>86</v>
      </c>
      <c r="BY509">
        <v>1200</v>
      </c>
      <c r="CA509" t="s">
        <v>486</v>
      </c>
      <c r="CC509" t="s">
        <v>483</v>
      </c>
      <c r="CD509">
        <v>1459</v>
      </c>
      <c r="CE509" t="s">
        <v>147</v>
      </c>
      <c r="CF509" s="3">
        <v>43776</v>
      </c>
      <c r="CI509">
        <v>1</v>
      </c>
      <c r="CJ509">
        <v>1</v>
      </c>
      <c r="CK509">
        <v>22</v>
      </c>
      <c r="CL509" t="s">
        <v>89</v>
      </c>
    </row>
    <row r="510" spans="1:90">
      <c r="A510" t="s">
        <v>72</v>
      </c>
      <c r="B510" t="s">
        <v>73</v>
      </c>
      <c r="C510" t="s">
        <v>74</v>
      </c>
      <c r="E510" t="str">
        <f>"FES1162721380"</f>
        <v>FES1162721380</v>
      </c>
      <c r="F510" s="3">
        <v>43774</v>
      </c>
      <c r="G510">
        <v>202005</v>
      </c>
      <c r="H510" t="s">
        <v>75</v>
      </c>
      <c r="I510" t="s">
        <v>76</v>
      </c>
      <c r="J510" t="s">
        <v>77</v>
      </c>
      <c r="K510" t="s">
        <v>78</v>
      </c>
      <c r="L510" t="s">
        <v>101</v>
      </c>
      <c r="M510" t="s">
        <v>102</v>
      </c>
      <c r="N510" t="s">
        <v>970</v>
      </c>
      <c r="O510" t="s">
        <v>82</v>
      </c>
      <c r="P510" t="str">
        <f>"2170715680                    "</f>
        <v xml:space="preserve">2170715680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8.7899999999999991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 s="4">
        <v>50.66</v>
      </c>
      <c r="BM510" s="4">
        <v>7.6</v>
      </c>
      <c r="BN510" s="4">
        <v>58.26</v>
      </c>
      <c r="BO510" s="4">
        <v>58.26</v>
      </c>
      <c r="BR510" t="s">
        <v>84</v>
      </c>
      <c r="BS510" s="3">
        <v>43775</v>
      </c>
      <c r="BT510" s="5">
        <v>0.38541666666666669</v>
      </c>
      <c r="BU510" t="s">
        <v>971</v>
      </c>
      <c r="BV510" t="s">
        <v>86</v>
      </c>
      <c r="BY510">
        <v>1200</v>
      </c>
      <c r="CA510" t="s">
        <v>359</v>
      </c>
      <c r="CC510" t="s">
        <v>102</v>
      </c>
      <c r="CD510">
        <v>127</v>
      </c>
      <c r="CE510" t="s">
        <v>147</v>
      </c>
      <c r="CF510" s="3">
        <v>43776</v>
      </c>
      <c r="CI510">
        <v>1</v>
      </c>
      <c r="CJ510">
        <v>1</v>
      </c>
      <c r="CK510">
        <v>21</v>
      </c>
      <c r="CL510" t="s">
        <v>89</v>
      </c>
    </row>
    <row r="511" spans="1:90">
      <c r="A511" t="s">
        <v>72</v>
      </c>
      <c r="B511" t="s">
        <v>73</v>
      </c>
      <c r="C511" t="s">
        <v>74</v>
      </c>
      <c r="E511" t="str">
        <f>"FES1162721208"</f>
        <v>FES1162721208</v>
      </c>
      <c r="F511" s="3">
        <v>43774</v>
      </c>
      <c r="G511">
        <v>202005</v>
      </c>
      <c r="H511" t="s">
        <v>75</v>
      </c>
      <c r="I511" t="s">
        <v>76</v>
      </c>
      <c r="J511" t="s">
        <v>77</v>
      </c>
      <c r="K511" t="s">
        <v>78</v>
      </c>
      <c r="L511" t="s">
        <v>691</v>
      </c>
      <c r="M511" t="s">
        <v>692</v>
      </c>
      <c r="N511" t="s">
        <v>521</v>
      </c>
      <c r="O511" t="s">
        <v>82</v>
      </c>
      <c r="P511" t="str">
        <f>"2170715480                    "</f>
        <v xml:space="preserve">2170715480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6.87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 s="4">
        <v>39.58</v>
      </c>
      <c r="BM511" s="4">
        <v>5.94</v>
      </c>
      <c r="BN511" s="4">
        <v>45.52</v>
      </c>
      <c r="BO511" s="4">
        <v>45.52</v>
      </c>
      <c r="BQ511" t="s">
        <v>109</v>
      </c>
      <c r="BR511" t="s">
        <v>84</v>
      </c>
      <c r="BS511" s="3">
        <v>43775</v>
      </c>
      <c r="BT511" s="5">
        <v>0.33333333333333331</v>
      </c>
      <c r="BU511" t="s">
        <v>972</v>
      </c>
      <c r="BV511" t="s">
        <v>86</v>
      </c>
      <c r="BY511">
        <v>1200</v>
      </c>
      <c r="CC511" t="s">
        <v>692</v>
      </c>
      <c r="CD511">
        <v>1559</v>
      </c>
      <c r="CE511" t="s">
        <v>147</v>
      </c>
      <c r="CF511" s="3">
        <v>43776</v>
      </c>
      <c r="CI511">
        <v>1</v>
      </c>
      <c r="CJ511">
        <v>1</v>
      </c>
      <c r="CK511">
        <v>22</v>
      </c>
      <c r="CL511" t="s">
        <v>89</v>
      </c>
    </row>
    <row r="512" spans="1:90">
      <c r="A512" t="s">
        <v>72</v>
      </c>
      <c r="B512" t="s">
        <v>73</v>
      </c>
      <c r="C512" t="s">
        <v>74</v>
      </c>
      <c r="E512" t="str">
        <f>"FES1162721365"</f>
        <v>FES1162721365</v>
      </c>
      <c r="F512" s="3">
        <v>43774</v>
      </c>
      <c r="G512">
        <v>202005</v>
      </c>
      <c r="H512" t="s">
        <v>75</v>
      </c>
      <c r="I512" t="s">
        <v>76</v>
      </c>
      <c r="J512" t="s">
        <v>77</v>
      </c>
      <c r="K512" t="s">
        <v>78</v>
      </c>
      <c r="L512" t="s">
        <v>106</v>
      </c>
      <c r="M512" t="s">
        <v>107</v>
      </c>
      <c r="N512" t="s">
        <v>108</v>
      </c>
      <c r="O512" t="s">
        <v>82</v>
      </c>
      <c r="P512" t="str">
        <f>"2170715664                    "</f>
        <v xml:space="preserve">2170715664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8.7899999999999991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0.7</v>
      </c>
      <c r="BJ512">
        <v>1.4</v>
      </c>
      <c r="BK512">
        <v>1.5</v>
      </c>
      <c r="BL512" s="4">
        <v>50.66</v>
      </c>
      <c r="BM512" s="4">
        <v>7.6</v>
      </c>
      <c r="BN512" s="4">
        <v>58.26</v>
      </c>
      <c r="BO512" s="4">
        <v>58.26</v>
      </c>
      <c r="BQ512" t="s">
        <v>109</v>
      </c>
      <c r="BR512" t="s">
        <v>84</v>
      </c>
      <c r="BS512" s="3">
        <v>43775</v>
      </c>
      <c r="BT512" s="5">
        <v>0.35347222222222219</v>
      </c>
      <c r="BU512" t="s">
        <v>952</v>
      </c>
      <c r="BV512" t="s">
        <v>86</v>
      </c>
      <c r="BY512">
        <v>7167.05</v>
      </c>
      <c r="CA512" t="s">
        <v>111</v>
      </c>
      <c r="CC512" t="s">
        <v>107</v>
      </c>
      <c r="CD512">
        <v>6001</v>
      </c>
      <c r="CE512" t="s">
        <v>88</v>
      </c>
      <c r="CF512" s="3">
        <v>43776</v>
      </c>
      <c r="CI512">
        <v>1</v>
      </c>
      <c r="CJ512">
        <v>1</v>
      </c>
      <c r="CK512">
        <v>21</v>
      </c>
      <c r="CL512" t="s">
        <v>89</v>
      </c>
    </row>
    <row r="513" spans="1:90">
      <c r="A513" t="s">
        <v>72</v>
      </c>
      <c r="B513" t="s">
        <v>73</v>
      </c>
      <c r="C513" t="s">
        <v>74</v>
      </c>
      <c r="E513" t="str">
        <f>"FES1162721366"</f>
        <v>FES1162721366</v>
      </c>
      <c r="F513" s="3">
        <v>43774</v>
      </c>
      <c r="G513">
        <v>202005</v>
      </c>
      <c r="H513" t="s">
        <v>75</v>
      </c>
      <c r="I513" t="s">
        <v>76</v>
      </c>
      <c r="J513" t="s">
        <v>77</v>
      </c>
      <c r="K513" t="s">
        <v>78</v>
      </c>
      <c r="L513" t="s">
        <v>101</v>
      </c>
      <c r="M513" t="s">
        <v>102</v>
      </c>
      <c r="N513" t="s">
        <v>876</v>
      </c>
      <c r="O513" t="s">
        <v>82</v>
      </c>
      <c r="P513" t="str">
        <f>"2170715665                    "</f>
        <v xml:space="preserve">2170715665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8.7899999999999991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 s="4">
        <v>50.66</v>
      </c>
      <c r="BM513" s="4">
        <v>7.6</v>
      </c>
      <c r="BN513" s="4">
        <v>58.26</v>
      </c>
      <c r="BO513" s="4">
        <v>58.26</v>
      </c>
      <c r="BQ513" t="s">
        <v>109</v>
      </c>
      <c r="BR513" t="s">
        <v>84</v>
      </c>
      <c r="BS513" s="3">
        <v>43775</v>
      </c>
      <c r="BT513" s="5">
        <v>0.47916666666666669</v>
      </c>
      <c r="BU513" t="s">
        <v>973</v>
      </c>
      <c r="BV513" t="s">
        <v>86</v>
      </c>
      <c r="BY513">
        <v>1200</v>
      </c>
      <c r="CA513" t="s">
        <v>878</v>
      </c>
      <c r="CC513" t="s">
        <v>102</v>
      </c>
      <c r="CD513">
        <v>82</v>
      </c>
      <c r="CE513" t="s">
        <v>147</v>
      </c>
      <c r="CF513" s="3">
        <v>43776</v>
      </c>
      <c r="CI513">
        <v>1</v>
      </c>
      <c r="CJ513">
        <v>1</v>
      </c>
      <c r="CK513">
        <v>21</v>
      </c>
      <c r="CL513" t="s">
        <v>89</v>
      </c>
    </row>
    <row r="514" spans="1:90">
      <c r="A514" t="s">
        <v>72</v>
      </c>
      <c r="B514" t="s">
        <v>73</v>
      </c>
      <c r="C514" t="s">
        <v>74</v>
      </c>
      <c r="E514" t="str">
        <f>"FES1162721375"</f>
        <v>FES1162721375</v>
      </c>
      <c r="F514" s="3">
        <v>43774</v>
      </c>
      <c r="G514">
        <v>202005</v>
      </c>
      <c r="H514" t="s">
        <v>75</v>
      </c>
      <c r="I514" t="s">
        <v>76</v>
      </c>
      <c r="J514" t="s">
        <v>77</v>
      </c>
      <c r="K514" t="s">
        <v>78</v>
      </c>
      <c r="L514" t="s">
        <v>251</v>
      </c>
      <c r="M514" t="s">
        <v>252</v>
      </c>
      <c r="N514" t="s">
        <v>330</v>
      </c>
      <c r="O514" t="s">
        <v>82</v>
      </c>
      <c r="P514" t="str">
        <f>"2170715867                    "</f>
        <v xml:space="preserve">2170715867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8.7899999999999991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 s="4">
        <v>50.66</v>
      </c>
      <c r="BM514" s="4">
        <v>7.6</v>
      </c>
      <c r="BN514" s="4">
        <v>58.26</v>
      </c>
      <c r="BO514" s="4">
        <v>58.26</v>
      </c>
      <c r="BQ514" t="s">
        <v>109</v>
      </c>
      <c r="BR514" t="s">
        <v>84</v>
      </c>
      <c r="BS514" s="3">
        <v>43775</v>
      </c>
      <c r="BT514" s="5">
        <v>0.43333333333333335</v>
      </c>
      <c r="BU514" t="s">
        <v>861</v>
      </c>
      <c r="BV514" t="s">
        <v>86</v>
      </c>
      <c r="BY514">
        <v>1200</v>
      </c>
      <c r="CA514" t="s">
        <v>255</v>
      </c>
      <c r="CC514" t="s">
        <v>252</v>
      </c>
      <c r="CD514">
        <v>4133</v>
      </c>
      <c r="CE514" t="s">
        <v>147</v>
      </c>
      <c r="CF514" s="3">
        <v>43777</v>
      </c>
      <c r="CI514">
        <v>1</v>
      </c>
      <c r="CJ514">
        <v>1</v>
      </c>
      <c r="CK514">
        <v>21</v>
      </c>
      <c r="CL514" t="s">
        <v>89</v>
      </c>
    </row>
    <row r="515" spans="1:90">
      <c r="A515" t="s">
        <v>72</v>
      </c>
      <c r="B515" t="s">
        <v>73</v>
      </c>
      <c r="C515" t="s">
        <v>74</v>
      </c>
      <c r="E515" t="str">
        <f>"FES1162721373"</f>
        <v>FES1162721373</v>
      </c>
      <c r="F515" s="3">
        <v>43774</v>
      </c>
      <c r="G515">
        <v>202005</v>
      </c>
      <c r="H515" t="s">
        <v>75</v>
      </c>
      <c r="I515" t="s">
        <v>76</v>
      </c>
      <c r="J515" t="s">
        <v>77</v>
      </c>
      <c r="K515" t="s">
        <v>78</v>
      </c>
      <c r="L515" t="s">
        <v>112</v>
      </c>
      <c r="M515" t="s">
        <v>113</v>
      </c>
      <c r="N515" t="s">
        <v>620</v>
      </c>
      <c r="O515" t="s">
        <v>82</v>
      </c>
      <c r="P515" t="str">
        <f>"2170715674                    "</f>
        <v xml:space="preserve">2170715674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8.7899999999999991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 s="4">
        <v>50.66</v>
      </c>
      <c r="BM515" s="4">
        <v>7.6</v>
      </c>
      <c r="BN515" s="4">
        <v>58.26</v>
      </c>
      <c r="BO515" s="4">
        <v>58.26</v>
      </c>
      <c r="BQ515" t="s">
        <v>109</v>
      </c>
      <c r="BR515" t="s">
        <v>84</v>
      </c>
      <c r="BS515" s="3">
        <v>43775</v>
      </c>
      <c r="BT515" s="5">
        <v>0.4375</v>
      </c>
      <c r="BU515" t="s">
        <v>884</v>
      </c>
      <c r="BV515" t="s">
        <v>86</v>
      </c>
      <c r="BY515">
        <v>1200</v>
      </c>
      <c r="CC515" t="s">
        <v>113</v>
      </c>
      <c r="CD515">
        <v>4302</v>
      </c>
      <c r="CE515" t="s">
        <v>147</v>
      </c>
      <c r="CF515" s="3">
        <v>43777</v>
      </c>
      <c r="CI515">
        <v>1</v>
      </c>
      <c r="CJ515">
        <v>1</v>
      </c>
      <c r="CK515">
        <v>21</v>
      </c>
      <c r="CL515" t="s">
        <v>89</v>
      </c>
    </row>
    <row r="516" spans="1:90">
      <c r="A516" t="s">
        <v>72</v>
      </c>
      <c r="B516" t="s">
        <v>73</v>
      </c>
      <c r="C516" t="s">
        <v>74</v>
      </c>
      <c r="E516" t="str">
        <f>"FES1162720086"</f>
        <v>FES1162720086</v>
      </c>
      <c r="F516" s="3">
        <v>43774</v>
      </c>
      <c r="G516">
        <v>202005</v>
      </c>
      <c r="H516" t="s">
        <v>75</v>
      </c>
      <c r="I516" t="s">
        <v>76</v>
      </c>
      <c r="J516" t="s">
        <v>77</v>
      </c>
      <c r="K516" t="s">
        <v>78</v>
      </c>
      <c r="L516" t="s">
        <v>124</v>
      </c>
      <c r="M516" t="s">
        <v>125</v>
      </c>
      <c r="N516" t="s">
        <v>974</v>
      </c>
      <c r="O516" t="s">
        <v>82</v>
      </c>
      <c r="P516" t="str">
        <f>"2170712856                    "</f>
        <v xml:space="preserve">2170712856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6.87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 s="4">
        <v>39.58</v>
      </c>
      <c r="BM516" s="4">
        <v>5.94</v>
      </c>
      <c r="BN516" s="4">
        <v>45.52</v>
      </c>
      <c r="BO516" s="4">
        <v>45.52</v>
      </c>
      <c r="BQ516" t="s">
        <v>109</v>
      </c>
      <c r="BR516" t="s">
        <v>84</v>
      </c>
      <c r="BS516" s="3">
        <v>43775</v>
      </c>
      <c r="BT516" s="5">
        <v>0.34722222222222227</v>
      </c>
      <c r="BU516" t="s">
        <v>975</v>
      </c>
      <c r="BV516" t="s">
        <v>86</v>
      </c>
      <c r="BY516">
        <v>1200</v>
      </c>
      <c r="CA516" t="s">
        <v>837</v>
      </c>
      <c r="CC516" t="s">
        <v>125</v>
      </c>
      <c r="CD516">
        <v>2094</v>
      </c>
      <c r="CE516" t="s">
        <v>147</v>
      </c>
      <c r="CF516" s="3">
        <v>43776</v>
      </c>
      <c r="CI516">
        <v>1</v>
      </c>
      <c r="CJ516">
        <v>1</v>
      </c>
      <c r="CK516">
        <v>22</v>
      </c>
      <c r="CL516" t="s">
        <v>89</v>
      </c>
    </row>
    <row r="517" spans="1:90">
      <c r="A517" t="s">
        <v>72</v>
      </c>
      <c r="B517" t="s">
        <v>73</v>
      </c>
      <c r="C517" t="s">
        <v>74</v>
      </c>
      <c r="E517" t="str">
        <f>"FES1162721349"</f>
        <v>FES1162721349</v>
      </c>
      <c r="F517" s="3">
        <v>43774</v>
      </c>
      <c r="G517">
        <v>202005</v>
      </c>
      <c r="H517" t="s">
        <v>75</v>
      </c>
      <c r="I517" t="s">
        <v>76</v>
      </c>
      <c r="J517" t="s">
        <v>77</v>
      </c>
      <c r="K517" t="s">
        <v>78</v>
      </c>
      <c r="L517" t="s">
        <v>124</v>
      </c>
      <c r="M517" t="s">
        <v>125</v>
      </c>
      <c r="N517" t="s">
        <v>976</v>
      </c>
      <c r="O517" t="s">
        <v>82</v>
      </c>
      <c r="P517" t="str">
        <f>"2170715648                    "</f>
        <v xml:space="preserve">2170715648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6.87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 s="4">
        <v>39.58</v>
      </c>
      <c r="BM517" s="4">
        <v>5.94</v>
      </c>
      <c r="BN517" s="4">
        <v>45.52</v>
      </c>
      <c r="BO517" s="4">
        <v>45.52</v>
      </c>
      <c r="BQ517" t="s">
        <v>109</v>
      </c>
      <c r="BR517" t="s">
        <v>84</v>
      </c>
      <c r="BS517" s="3">
        <v>43775</v>
      </c>
      <c r="BT517" s="5">
        <v>0.30555555555555552</v>
      </c>
      <c r="BU517" t="s">
        <v>977</v>
      </c>
      <c r="BV517" t="s">
        <v>86</v>
      </c>
      <c r="BY517">
        <v>1200</v>
      </c>
      <c r="CC517" t="s">
        <v>125</v>
      </c>
      <c r="CD517">
        <v>2093</v>
      </c>
      <c r="CE517" t="s">
        <v>147</v>
      </c>
      <c r="CF517" s="3">
        <v>43776</v>
      </c>
      <c r="CI517">
        <v>1</v>
      </c>
      <c r="CJ517">
        <v>1</v>
      </c>
      <c r="CK517">
        <v>22</v>
      </c>
      <c r="CL517" t="s">
        <v>89</v>
      </c>
    </row>
    <row r="518" spans="1:90">
      <c r="A518" t="s">
        <v>72</v>
      </c>
      <c r="B518" t="s">
        <v>73</v>
      </c>
      <c r="C518" t="s">
        <v>74</v>
      </c>
      <c r="E518" t="str">
        <f>"FES1162721229"</f>
        <v>FES1162721229</v>
      </c>
      <c r="F518" s="3">
        <v>43774</v>
      </c>
      <c r="G518">
        <v>202005</v>
      </c>
      <c r="H518" t="s">
        <v>75</v>
      </c>
      <c r="I518" t="s">
        <v>76</v>
      </c>
      <c r="J518" t="s">
        <v>77</v>
      </c>
      <c r="K518" t="s">
        <v>78</v>
      </c>
      <c r="L518" t="s">
        <v>95</v>
      </c>
      <c r="M518" t="s">
        <v>96</v>
      </c>
      <c r="N518" t="s">
        <v>330</v>
      </c>
      <c r="O518" t="s">
        <v>82</v>
      </c>
      <c r="P518" t="str">
        <f>"2170715502                    "</f>
        <v xml:space="preserve">2170715502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6.87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 s="4">
        <v>39.58</v>
      </c>
      <c r="BM518" s="4">
        <v>5.94</v>
      </c>
      <c r="BN518" s="4">
        <v>45.52</v>
      </c>
      <c r="BO518" s="4">
        <v>45.52</v>
      </c>
      <c r="BQ518" t="s">
        <v>109</v>
      </c>
      <c r="BR518" t="s">
        <v>84</v>
      </c>
      <c r="BS518" s="3">
        <v>43775</v>
      </c>
      <c r="BT518" s="5">
        <v>0.39097222222222222</v>
      </c>
      <c r="BU518" t="s">
        <v>978</v>
      </c>
      <c r="BV518" t="s">
        <v>86</v>
      </c>
      <c r="BY518">
        <v>1200</v>
      </c>
      <c r="CC518" t="s">
        <v>96</v>
      </c>
      <c r="CD518">
        <v>1451</v>
      </c>
      <c r="CE518" t="s">
        <v>147</v>
      </c>
      <c r="CF518" s="3">
        <v>43776</v>
      </c>
      <c r="CI518">
        <v>1</v>
      </c>
      <c r="CJ518">
        <v>1</v>
      </c>
      <c r="CK518">
        <v>22</v>
      </c>
      <c r="CL518" t="s">
        <v>89</v>
      </c>
    </row>
    <row r="519" spans="1:90">
      <c r="A519" t="s">
        <v>72</v>
      </c>
      <c r="B519" t="s">
        <v>73</v>
      </c>
      <c r="C519" t="s">
        <v>74</v>
      </c>
      <c r="E519" t="str">
        <f>"FES1162721334"</f>
        <v>FES1162721334</v>
      </c>
      <c r="F519" s="3">
        <v>43774</v>
      </c>
      <c r="G519">
        <v>202005</v>
      </c>
      <c r="H519" t="s">
        <v>75</v>
      </c>
      <c r="I519" t="s">
        <v>76</v>
      </c>
      <c r="J519" t="s">
        <v>77</v>
      </c>
      <c r="K519" t="s">
        <v>78</v>
      </c>
      <c r="L519" t="s">
        <v>546</v>
      </c>
      <c r="M519" t="s">
        <v>547</v>
      </c>
      <c r="N519" t="s">
        <v>979</v>
      </c>
      <c r="O519" t="s">
        <v>82</v>
      </c>
      <c r="P519" t="str">
        <f>"2170714631                    "</f>
        <v xml:space="preserve">2170714631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6.87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 s="4">
        <v>39.58</v>
      </c>
      <c r="BM519" s="4">
        <v>5.94</v>
      </c>
      <c r="BN519" s="4">
        <v>45.52</v>
      </c>
      <c r="BO519" s="4">
        <v>45.52</v>
      </c>
      <c r="BQ519" t="s">
        <v>121</v>
      </c>
      <c r="BR519" t="s">
        <v>84</v>
      </c>
      <c r="BS519" s="3">
        <v>43775</v>
      </c>
      <c r="BT519" s="5">
        <v>0.3298611111111111</v>
      </c>
      <c r="BU519" t="s">
        <v>980</v>
      </c>
      <c r="BV519" t="s">
        <v>86</v>
      </c>
      <c r="BY519">
        <v>1200</v>
      </c>
      <c r="CC519" t="s">
        <v>547</v>
      </c>
      <c r="CD519">
        <v>1709</v>
      </c>
      <c r="CE519" t="s">
        <v>147</v>
      </c>
      <c r="CF519" s="3">
        <v>43776</v>
      </c>
      <c r="CI519">
        <v>1</v>
      </c>
      <c r="CJ519">
        <v>1</v>
      </c>
      <c r="CK519">
        <v>22</v>
      </c>
      <c r="CL519" t="s">
        <v>89</v>
      </c>
    </row>
    <row r="520" spans="1:90">
      <c r="A520" t="s">
        <v>72</v>
      </c>
      <c r="B520" t="s">
        <v>73</v>
      </c>
      <c r="C520" t="s">
        <v>74</v>
      </c>
      <c r="E520" t="str">
        <f>"FES1162721184"</f>
        <v>FES1162721184</v>
      </c>
      <c r="F520" s="3">
        <v>43774</v>
      </c>
      <c r="G520">
        <v>202005</v>
      </c>
      <c r="H520" t="s">
        <v>75</v>
      </c>
      <c r="I520" t="s">
        <v>76</v>
      </c>
      <c r="J520" t="s">
        <v>77</v>
      </c>
      <c r="K520" t="s">
        <v>78</v>
      </c>
      <c r="L520" t="s">
        <v>184</v>
      </c>
      <c r="M520" t="s">
        <v>185</v>
      </c>
      <c r="N520" t="s">
        <v>735</v>
      </c>
      <c r="O520" t="s">
        <v>82</v>
      </c>
      <c r="P520" t="str">
        <f>"2170710083                    "</f>
        <v xml:space="preserve">2170710083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6.87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 s="4">
        <v>39.58</v>
      </c>
      <c r="BM520" s="4">
        <v>5.94</v>
      </c>
      <c r="BN520" s="4">
        <v>45.52</v>
      </c>
      <c r="BO520" s="4">
        <v>45.52</v>
      </c>
      <c r="BQ520" t="s">
        <v>981</v>
      </c>
      <c r="BR520" t="s">
        <v>84</v>
      </c>
      <c r="BS520" s="3">
        <v>43775</v>
      </c>
      <c r="BT520" s="5">
        <v>0.35694444444444445</v>
      </c>
      <c r="BU520" t="s">
        <v>982</v>
      </c>
      <c r="BV520" t="s">
        <v>86</v>
      </c>
      <c r="BY520">
        <v>1200</v>
      </c>
      <c r="CC520" t="s">
        <v>185</v>
      </c>
      <c r="CD520">
        <v>1500</v>
      </c>
      <c r="CE520" t="s">
        <v>147</v>
      </c>
      <c r="CF520" s="3">
        <v>43776</v>
      </c>
      <c r="CI520">
        <v>1</v>
      </c>
      <c r="CJ520">
        <v>1</v>
      </c>
      <c r="CK520">
        <v>22</v>
      </c>
      <c r="CL520" t="s">
        <v>89</v>
      </c>
    </row>
    <row r="521" spans="1:90">
      <c r="A521" t="s">
        <v>72</v>
      </c>
      <c r="B521" t="s">
        <v>73</v>
      </c>
      <c r="C521" t="s">
        <v>74</v>
      </c>
      <c r="E521" t="str">
        <f>"FES1162721176"</f>
        <v>FES1162721176</v>
      </c>
      <c r="F521" s="3">
        <v>43774</v>
      </c>
      <c r="G521">
        <v>202005</v>
      </c>
      <c r="H521" t="s">
        <v>75</v>
      </c>
      <c r="I521" t="s">
        <v>76</v>
      </c>
      <c r="J521" t="s">
        <v>77</v>
      </c>
      <c r="K521" t="s">
        <v>78</v>
      </c>
      <c r="L521" t="s">
        <v>172</v>
      </c>
      <c r="M521" t="s">
        <v>173</v>
      </c>
      <c r="N521" t="s">
        <v>330</v>
      </c>
      <c r="O521" t="s">
        <v>82</v>
      </c>
      <c r="P521" t="str">
        <f>"217071463                     "</f>
        <v xml:space="preserve">217071463 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12.36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 s="4">
        <v>71.239999999999995</v>
      </c>
      <c r="BM521" s="4">
        <v>10.69</v>
      </c>
      <c r="BN521" s="4">
        <v>81.93</v>
      </c>
      <c r="BO521" s="4">
        <v>81.93</v>
      </c>
      <c r="BQ521" t="s">
        <v>109</v>
      </c>
      <c r="BR521" t="s">
        <v>84</v>
      </c>
      <c r="BS521" s="3">
        <v>43775</v>
      </c>
      <c r="BT521" s="5">
        <v>0.35833333333333334</v>
      </c>
      <c r="BU521" t="s">
        <v>983</v>
      </c>
      <c r="BV521" t="s">
        <v>86</v>
      </c>
      <c r="BY521">
        <v>1200</v>
      </c>
      <c r="CC521" t="s">
        <v>173</v>
      </c>
      <c r="CD521">
        <v>1754</v>
      </c>
      <c r="CE521" t="s">
        <v>147</v>
      </c>
      <c r="CF521" s="3">
        <v>43776</v>
      </c>
      <c r="CI521">
        <v>1</v>
      </c>
      <c r="CJ521">
        <v>1</v>
      </c>
      <c r="CK521">
        <v>24</v>
      </c>
      <c r="CL521" t="s">
        <v>89</v>
      </c>
    </row>
    <row r="522" spans="1:90">
      <c r="A522" t="s">
        <v>72</v>
      </c>
      <c r="B522" t="s">
        <v>73</v>
      </c>
      <c r="C522" t="s">
        <v>74</v>
      </c>
      <c r="E522" t="str">
        <f>"FES1162721252"</f>
        <v>FES1162721252</v>
      </c>
      <c r="F522" s="3">
        <v>43774</v>
      </c>
      <c r="G522">
        <v>202005</v>
      </c>
      <c r="H522" t="s">
        <v>75</v>
      </c>
      <c r="I522" t="s">
        <v>76</v>
      </c>
      <c r="J522" t="s">
        <v>77</v>
      </c>
      <c r="K522" t="s">
        <v>78</v>
      </c>
      <c r="L522" t="s">
        <v>578</v>
      </c>
      <c r="M522" t="s">
        <v>579</v>
      </c>
      <c r="N522" t="s">
        <v>580</v>
      </c>
      <c r="O522" t="s">
        <v>82</v>
      </c>
      <c r="P522" t="str">
        <f>"2170715532                    "</f>
        <v xml:space="preserve">2170715532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28.56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4.5</v>
      </c>
      <c r="BJ522">
        <v>6.4</v>
      </c>
      <c r="BK522">
        <v>6.5</v>
      </c>
      <c r="BL522" s="4">
        <v>164.57</v>
      </c>
      <c r="BM522" s="4">
        <v>24.69</v>
      </c>
      <c r="BN522" s="4">
        <v>189.26</v>
      </c>
      <c r="BO522" s="4">
        <v>189.26</v>
      </c>
      <c r="BQ522" t="s">
        <v>109</v>
      </c>
      <c r="BR522" t="s">
        <v>84</v>
      </c>
      <c r="BS522" s="3">
        <v>43775</v>
      </c>
      <c r="BT522" s="5">
        <v>0.41666666666666669</v>
      </c>
      <c r="BU522" t="s">
        <v>984</v>
      </c>
      <c r="BV522" t="s">
        <v>86</v>
      </c>
      <c r="BY522">
        <v>32055.41</v>
      </c>
      <c r="CC522" t="s">
        <v>579</v>
      </c>
      <c r="CD522">
        <v>7599</v>
      </c>
      <c r="CE522" t="s">
        <v>88</v>
      </c>
      <c r="CF522" s="3">
        <v>43776</v>
      </c>
      <c r="CI522">
        <v>1</v>
      </c>
      <c r="CJ522">
        <v>1</v>
      </c>
      <c r="CK522">
        <v>21</v>
      </c>
      <c r="CL522" t="s">
        <v>89</v>
      </c>
    </row>
    <row r="523" spans="1:90">
      <c r="A523" t="s">
        <v>72</v>
      </c>
      <c r="B523" t="s">
        <v>73</v>
      </c>
      <c r="C523" t="s">
        <v>74</v>
      </c>
      <c r="E523" t="str">
        <f>"FES1162721736"</f>
        <v>FES1162721736</v>
      </c>
      <c r="F523" s="3">
        <v>43776</v>
      </c>
      <c r="G523">
        <v>202005</v>
      </c>
      <c r="H523" t="s">
        <v>75</v>
      </c>
      <c r="I523" t="s">
        <v>76</v>
      </c>
      <c r="J523" t="s">
        <v>77</v>
      </c>
      <c r="K523" t="s">
        <v>78</v>
      </c>
      <c r="L523" t="s">
        <v>270</v>
      </c>
      <c r="M523" t="s">
        <v>271</v>
      </c>
      <c r="N523" t="s">
        <v>330</v>
      </c>
      <c r="O523" t="s">
        <v>82</v>
      </c>
      <c r="P523" t="str">
        <f>"2170710807                    "</f>
        <v xml:space="preserve">2170710807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8.58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 s="4">
        <v>50.45</v>
      </c>
      <c r="BM523" s="4">
        <v>7.57</v>
      </c>
      <c r="BN523" s="4">
        <v>58.02</v>
      </c>
      <c r="BO523" s="4">
        <v>58.02</v>
      </c>
      <c r="BQ523" t="s">
        <v>109</v>
      </c>
      <c r="BR523" t="s">
        <v>84</v>
      </c>
      <c r="BS523" s="3">
        <v>43777</v>
      </c>
      <c r="BT523" s="5">
        <v>0.39583333333333331</v>
      </c>
      <c r="BU523" t="s">
        <v>985</v>
      </c>
      <c r="BV523" t="s">
        <v>86</v>
      </c>
      <c r="BY523">
        <v>1200</v>
      </c>
      <c r="CA523" t="s">
        <v>773</v>
      </c>
      <c r="CC523" t="s">
        <v>271</v>
      </c>
      <c r="CD523">
        <v>6220</v>
      </c>
      <c r="CE523" t="s">
        <v>147</v>
      </c>
      <c r="CF523" s="3">
        <v>43780</v>
      </c>
      <c r="CI523">
        <v>1</v>
      </c>
      <c r="CJ523">
        <v>1</v>
      </c>
      <c r="CK523">
        <v>21</v>
      </c>
      <c r="CL523" t="s">
        <v>89</v>
      </c>
    </row>
    <row r="524" spans="1:90">
      <c r="A524" t="s">
        <v>72</v>
      </c>
      <c r="B524" t="s">
        <v>73</v>
      </c>
      <c r="C524" t="s">
        <v>74</v>
      </c>
      <c r="E524" t="str">
        <f>"FES1162721757"</f>
        <v>FES1162721757</v>
      </c>
      <c r="F524" s="3">
        <v>43776</v>
      </c>
      <c r="G524">
        <v>202005</v>
      </c>
      <c r="H524" t="s">
        <v>75</v>
      </c>
      <c r="I524" t="s">
        <v>76</v>
      </c>
      <c r="J524" t="s">
        <v>77</v>
      </c>
      <c r="K524" t="s">
        <v>78</v>
      </c>
      <c r="L524" t="s">
        <v>133</v>
      </c>
      <c r="M524" t="s">
        <v>134</v>
      </c>
      <c r="N524" t="s">
        <v>986</v>
      </c>
      <c r="O524" t="s">
        <v>82</v>
      </c>
      <c r="P524" t="str">
        <f>"2170714101                    "</f>
        <v xml:space="preserve">2170714101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8.58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 s="4">
        <v>50.45</v>
      </c>
      <c r="BM524" s="4">
        <v>7.57</v>
      </c>
      <c r="BN524" s="4">
        <v>58.02</v>
      </c>
      <c r="BO524" s="4">
        <v>58.02</v>
      </c>
      <c r="BR524" t="s">
        <v>84</v>
      </c>
      <c r="BS524" s="3">
        <v>43777</v>
      </c>
      <c r="BT524" s="5">
        <v>0.43402777777777773</v>
      </c>
      <c r="BU524" t="s">
        <v>987</v>
      </c>
      <c r="BV524" t="s">
        <v>86</v>
      </c>
      <c r="BY524">
        <v>1200</v>
      </c>
      <c r="CA524" t="s">
        <v>988</v>
      </c>
      <c r="CC524" t="s">
        <v>134</v>
      </c>
      <c r="CD524">
        <v>5200</v>
      </c>
      <c r="CE524" t="s">
        <v>147</v>
      </c>
      <c r="CF524" s="3">
        <v>43781</v>
      </c>
      <c r="CI524">
        <v>1</v>
      </c>
      <c r="CJ524">
        <v>1</v>
      </c>
      <c r="CK524">
        <v>21</v>
      </c>
      <c r="CL524" t="s">
        <v>89</v>
      </c>
    </row>
    <row r="525" spans="1:90">
      <c r="A525" t="s">
        <v>72</v>
      </c>
      <c r="B525" t="s">
        <v>73</v>
      </c>
      <c r="C525" t="s">
        <v>74</v>
      </c>
      <c r="E525" t="str">
        <f>"FES1162721218"</f>
        <v>FES1162721218</v>
      </c>
      <c r="F525" s="3">
        <v>43774</v>
      </c>
      <c r="G525">
        <v>202005</v>
      </c>
      <c r="H525" t="s">
        <v>75</v>
      </c>
      <c r="I525" t="s">
        <v>76</v>
      </c>
      <c r="J525" t="s">
        <v>77</v>
      </c>
      <c r="K525" t="s">
        <v>78</v>
      </c>
      <c r="L525" t="s">
        <v>75</v>
      </c>
      <c r="M525" t="s">
        <v>76</v>
      </c>
      <c r="N525" t="s">
        <v>989</v>
      </c>
      <c r="O525" t="s">
        <v>282</v>
      </c>
      <c r="P525" t="str">
        <f>"2170715492                    "</f>
        <v xml:space="preserve">2170715492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14.85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20.5</v>
      </c>
      <c r="BJ525">
        <v>13.4</v>
      </c>
      <c r="BK525">
        <v>21</v>
      </c>
      <c r="BL525" s="4">
        <v>90.55</v>
      </c>
      <c r="BM525" s="4">
        <v>13.58</v>
      </c>
      <c r="BN525" s="4">
        <v>104.13</v>
      </c>
      <c r="BO525" s="4">
        <v>104.13</v>
      </c>
      <c r="BQ525" t="s">
        <v>121</v>
      </c>
      <c r="BR525" t="s">
        <v>84</v>
      </c>
      <c r="BS525" s="3">
        <v>43775</v>
      </c>
      <c r="BT525" s="5">
        <v>0.51041666666666663</v>
      </c>
      <c r="BU525" t="s">
        <v>295</v>
      </c>
      <c r="BV525" t="s">
        <v>86</v>
      </c>
      <c r="BY525">
        <v>66862.259999999995</v>
      </c>
      <c r="CC525" t="s">
        <v>76</v>
      </c>
      <c r="CD525">
        <v>1600</v>
      </c>
      <c r="CE525" t="s">
        <v>88</v>
      </c>
      <c r="CF525" s="3">
        <v>43776</v>
      </c>
      <c r="CI525">
        <v>1</v>
      </c>
      <c r="CJ525">
        <v>1</v>
      </c>
      <c r="CK525" t="s">
        <v>379</v>
      </c>
      <c r="CL525" t="s">
        <v>89</v>
      </c>
    </row>
    <row r="526" spans="1:90">
      <c r="A526" t="s">
        <v>72</v>
      </c>
      <c r="B526" t="s">
        <v>73</v>
      </c>
      <c r="C526" t="s">
        <v>74</v>
      </c>
      <c r="E526" t="str">
        <f>"FES1162721167"</f>
        <v>FES1162721167</v>
      </c>
      <c r="F526" s="3">
        <v>43774</v>
      </c>
      <c r="G526">
        <v>202005</v>
      </c>
      <c r="H526" t="s">
        <v>75</v>
      </c>
      <c r="I526" t="s">
        <v>76</v>
      </c>
      <c r="J526" t="s">
        <v>77</v>
      </c>
      <c r="K526" t="s">
        <v>78</v>
      </c>
      <c r="L526" t="s">
        <v>990</v>
      </c>
      <c r="M526" t="s">
        <v>991</v>
      </c>
      <c r="N526" t="s">
        <v>992</v>
      </c>
      <c r="O526" t="s">
        <v>282</v>
      </c>
      <c r="P526" t="str">
        <f>"2170715450                    "</f>
        <v xml:space="preserve">2170715450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18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6.1</v>
      </c>
      <c r="BJ526">
        <v>2.2999999999999998</v>
      </c>
      <c r="BK526">
        <v>7</v>
      </c>
      <c r="BL526" s="4">
        <v>108.71</v>
      </c>
      <c r="BM526" s="4">
        <v>16.309999999999999</v>
      </c>
      <c r="BN526" s="4">
        <v>125.02</v>
      </c>
      <c r="BO526" s="4">
        <v>125.02</v>
      </c>
      <c r="BP526" t="s">
        <v>757</v>
      </c>
      <c r="BQ526" t="s">
        <v>121</v>
      </c>
      <c r="BR526" t="s">
        <v>84</v>
      </c>
      <c r="BS526" s="3">
        <v>43775</v>
      </c>
      <c r="BT526" s="5">
        <v>0.63680555555555551</v>
      </c>
      <c r="BU526" t="s">
        <v>993</v>
      </c>
      <c r="BV526" t="s">
        <v>86</v>
      </c>
      <c r="BY526">
        <v>11505.89</v>
      </c>
      <c r="CA526" t="s">
        <v>628</v>
      </c>
      <c r="CC526" t="s">
        <v>991</v>
      </c>
      <c r="CD526">
        <v>4252</v>
      </c>
      <c r="CE526" t="s">
        <v>88</v>
      </c>
      <c r="CF526" s="3">
        <v>43777</v>
      </c>
      <c r="CI526">
        <v>1</v>
      </c>
      <c r="CJ526">
        <v>1</v>
      </c>
      <c r="CK526" t="s">
        <v>994</v>
      </c>
      <c r="CL526" t="s">
        <v>89</v>
      </c>
    </row>
    <row r="527" spans="1:90">
      <c r="A527" t="s">
        <v>72</v>
      </c>
      <c r="B527" t="s">
        <v>73</v>
      </c>
      <c r="C527" t="s">
        <v>74</v>
      </c>
      <c r="E527" t="str">
        <f>"FES1162720882"</f>
        <v>FES1162720882</v>
      </c>
      <c r="F527" s="3">
        <v>43774</v>
      </c>
      <c r="G527">
        <v>202005</v>
      </c>
      <c r="H527" t="s">
        <v>75</v>
      </c>
      <c r="I527" t="s">
        <v>76</v>
      </c>
      <c r="J527" t="s">
        <v>77</v>
      </c>
      <c r="K527" t="s">
        <v>78</v>
      </c>
      <c r="L527" t="s">
        <v>75</v>
      </c>
      <c r="M527" t="s">
        <v>76</v>
      </c>
      <c r="N527" t="s">
        <v>995</v>
      </c>
      <c r="O527" t="s">
        <v>282</v>
      </c>
      <c r="P527" t="str">
        <f>"2170713667                    "</f>
        <v xml:space="preserve">2170713667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14.02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2</v>
      </c>
      <c r="BI527">
        <v>18.7</v>
      </c>
      <c r="BJ527">
        <v>8.6999999999999993</v>
      </c>
      <c r="BK527">
        <v>19</v>
      </c>
      <c r="BL527" s="4">
        <v>85.78</v>
      </c>
      <c r="BM527" s="4">
        <v>12.87</v>
      </c>
      <c r="BN527" s="4">
        <v>98.65</v>
      </c>
      <c r="BO527" s="4">
        <v>98.65</v>
      </c>
      <c r="BQ527" t="s">
        <v>121</v>
      </c>
      <c r="BR527" t="s">
        <v>84</v>
      </c>
      <c r="BS527" s="3">
        <v>43775</v>
      </c>
      <c r="BT527" s="5">
        <v>0.33333333333333331</v>
      </c>
      <c r="BU527" t="s">
        <v>996</v>
      </c>
      <c r="BV527" t="s">
        <v>86</v>
      </c>
      <c r="BY527">
        <v>43506.9</v>
      </c>
      <c r="CA527" t="s">
        <v>368</v>
      </c>
      <c r="CC527" t="s">
        <v>76</v>
      </c>
      <c r="CD527">
        <v>1600</v>
      </c>
      <c r="CE527" t="s">
        <v>88</v>
      </c>
      <c r="CF527" s="3">
        <v>43776</v>
      </c>
      <c r="CI527">
        <v>1</v>
      </c>
      <c r="CJ527">
        <v>1</v>
      </c>
      <c r="CK527" t="s">
        <v>379</v>
      </c>
      <c r="CL527" t="s">
        <v>89</v>
      </c>
    </row>
    <row r="528" spans="1:90">
      <c r="A528" t="s">
        <v>72</v>
      </c>
      <c r="B528" t="s">
        <v>73</v>
      </c>
      <c r="C528" t="s">
        <v>74</v>
      </c>
      <c r="E528" t="str">
        <f>"FES1162721371"</f>
        <v>FES1162721371</v>
      </c>
      <c r="F528" s="3">
        <v>43774</v>
      </c>
      <c r="G528">
        <v>202005</v>
      </c>
      <c r="H528" t="s">
        <v>75</v>
      </c>
      <c r="I528" t="s">
        <v>76</v>
      </c>
      <c r="J528" t="s">
        <v>77</v>
      </c>
      <c r="K528" t="s">
        <v>78</v>
      </c>
      <c r="L528" t="s">
        <v>251</v>
      </c>
      <c r="M528" t="s">
        <v>252</v>
      </c>
      <c r="N528" t="s">
        <v>997</v>
      </c>
      <c r="O528" t="s">
        <v>282</v>
      </c>
      <c r="P528" t="str">
        <f>"2170715671                    "</f>
        <v xml:space="preserve">2170715671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12.36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2.1</v>
      </c>
      <c r="BJ528">
        <v>1.1000000000000001</v>
      </c>
      <c r="BK528">
        <v>3</v>
      </c>
      <c r="BL528" s="4">
        <v>76.239999999999995</v>
      </c>
      <c r="BM528" s="4">
        <v>11.44</v>
      </c>
      <c r="BN528" s="4">
        <v>87.68</v>
      </c>
      <c r="BO528" s="4">
        <v>87.68</v>
      </c>
      <c r="BP528" t="s">
        <v>757</v>
      </c>
      <c r="BQ528" t="s">
        <v>121</v>
      </c>
      <c r="BR528" t="s">
        <v>84</v>
      </c>
      <c r="BS528" s="3">
        <v>43775</v>
      </c>
      <c r="BT528" s="5">
        <v>0.41180555555555554</v>
      </c>
      <c r="BU528" t="s">
        <v>998</v>
      </c>
      <c r="BV528" t="s">
        <v>86</v>
      </c>
      <c r="BY528">
        <v>5612.6</v>
      </c>
      <c r="CA528" t="s">
        <v>255</v>
      </c>
      <c r="CC528" t="s">
        <v>252</v>
      </c>
      <c r="CD528">
        <v>4113</v>
      </c>
      <c r="CE528" t="s">
        <v>88</v>
      </c>
      <c r="CF528" s="3">
        <v>43777</v>
      </c>
      <c r="CI528">
        <v>1</v>
      </c>
      <c r="CJ528">
        <v>1</v>
      </c>
      <c r="CK528" t="s">
        <v>711</v>
      </c>
      <c r="CL528" t="s">
        <v>89</v>
      </c>
    </row>
    <row r="529" spans="1:90">
      <c r="A529" t="s">
        <v>72</v>
      </c>
      <c r="B529" t="s">
        <v>73</v>
      </c>
      <c r="C529" t="s">
        <v>74</v>
      </c>
      <c r="E529" t="str">
        <f>"FES1162721325"</f>
        <v>FES1162721325</v>
      </c>
      <c r="F529" s="3">
        <v>43774</v>
      </c>
      <c r="G529">
        <v>202005</v>
      </c>
      <c r="H529" t="s">
        <v>75</v>
      </c>
      <c r="I529" t="s">
        <v>76</v>
      </c>
      <c r="J529" t="s">
        <v>77</v>
      </c>
      <c r="K529" t="s">
        <v>78</v>
      </c>
      <c r="L529" t="s">
        <v>999</v>
      </c>
      <c r="M529" t="s">
        <v>91</v>
      </c>
      <c r="N529" t="s">
        <v>895</v>
      </c>
      <c r="O529" t="s">
        <v>282</v>
      </c>
      <c r="P529" t="str">
        <f>"2170715621                    "</f>
        <v xml:space="preserve">2170715621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41.89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2</v>
      </c>
      <c r="BI529">
        <v>20.3</v>
      </c>
      <c r="BJ529">
        <v>45.5</v>
      </c>
      <c r="BK529">
        <v>46</v>
      </c>
      <c r="BL529" s="4">
        <v>246.37</v>
      </c>
      <c r="BM529" s="4">
        <v>36.96</v>
      </c>
      <c r="BN529" s="4">
        <v>283.33</v>
      </c>
      <c r="BO529" s="4">
        <v>283.33</v>
      </c>
      <c r="BQ529" t="s">
        <v>121</v>
      </c>
      <c r="BR529" t="s">
        <v>84</v>
      </c>
      <c r="BS529" s="3">
        <v>43776</v>
      </c>
      <c r="BT529" s="5">
        <v>0.37638888888888888</v>
      </c>
      <c r="BU529" t="s">
        <v>1000</v>
      </c>
      <c r="BV529" t="s">
        <v>86</v>
      </c>
      <c r="BY529">
        <v>227291.81</v>
      </c>
      <c r="CA529" t="s">
        <v>1001</v>
      </c>
      <c r="CC529" t="s">
        <v>91</v>
      </c>
      <c r="CD529">
        <v>7915</v>
      </c>
      <c r="CE529" t="s">
        <v>88</v>
      </c>
      <c r="CF529" s="3">
        <v>43777</v>
      </c>
      <c r="CI529">
        <v>2</v>
      </c>
      <c r="CJ529">
        <v>2</v>
      </c>
      <c r="CK529" t="s">
        <v>1002</v>
      </c>
      <c r="CL529" t="s">
        <v>89</v>
      </c>
    </row>
    <row r="530" spans="1:90">
      <c r="A530" t="s">
        <v>72</v>
      </c>
      <c r="B530" t="s">
        <v>73</v>
      </c>
      <c r="C530" t="s">
        <v>74</v>
      </c>
      <c r="E530" t="str">
        <f>"FES1162721388"</f>
        <v>FES1162721388</v>
      </c>
      <c r="F530" s="3">
        <v>43774</v>
      </c>
      <c r="G530">
        <v>202005</v>
      </c>
      <c r="H530" t="s">
        <v>75</v>
      </c>
      <c r="I530" t="s">
        <v>76</v>
      </c>
      <c r="J530" t="s">
        <v>77</v>
      </c>
      <c r="K530" t="s">
        <v>78</v>
      </c>
      <c r="L530" t="s">
        <v>999</v>
      </c>
      <c r="M530" t="s">
        <v>91</v>
      </c>
      <c r="N530" t="s">
        <v>1003</v>
      </c>
      <c r="O530" t="s">
        <v>282</v>
      </c>
      <c r="P530" t="str">
        <f>"2170715695                    "</f>
        <v xml:space="preserve">2170715695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18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5.8</v>
      </c>
      <c r="BJ530">
        <v>2.4</v>
      </c>
      <c r="BK530">
        <v>6</v>
      </c>
      <c r="BL530" s="4">
        <v>108.71</v>
      </c>
      <c r="BM530" s="4">
        <v>16.309999999999999</v>
      </c>
      <c r="BN530" s="4">
        <v>125.02</v>
      </c>
      <c r="BO530" s="4">
        <v>125.02</v>
      </c>
      <c r="BP530" t="s">
        <v>757</v>
      </c>
      <c r="BQ530" t="s">
        <v>121</v>
      </c>
      <c r="BR530" t="s">
        <v>84</v>
      </c>
      <c r="BS530" s="3">
        <v>43776</v>
      </c>
      <c r="BT530" s="5">
        <v>0.52152777777777781</v>
      </c>
      <c r="BU530" t="s">
        <v>1004</v>
      </c>
      <c r="BV530" t="s">
        <v>86</v>
      </c>
      <c r="BY530">
        <v>11822.41</v>
      </c>
      <c r="CA530" t="s">
        <v>1005</v>
      </c>
      <c r="CC530" t="s">
        <v>91</v>
      </c>
      <c r="CD530">
        <v>7500</v>
      </c>
      <c r="CE530" t="s">
        <v>88</v>
      </c>
      <c r="CF530" s="3">
        <v>43777</v>
      </c>
      <c r="CI530">
        <v>2</v>
      </c>
      <c r="CJ530">
        <v>2</v>
      </c>
      <c r="CK530" t="s">
        <v>1002</v>
      </c>
      <c r="CL530" t="s">
        <v>89</v>
      </c>
    </row>
    <row r="531" spans="1:90">
      <c r="A531" t="s">
        <v>72</v>
      </c>
      <c r="B531" t="s">
        <v>73</v>
      </c>
      <c r="C531" t="s">
        <v>74</v>
      </c>
      <c r="E531" t="str">
        <f>"FES1162721787"</f>
        <v>FES1162721787</v>
      </c>
      <c r="F531" s="3">
        <v>43776</v>
      </c>
      <c r="G531">
        <v>202005</v>
      </c>
      <c r="H531" t="s">
        <v>75</v>
      </c>
      <c r="I531" t="s">
        <v>76</v>
      </c>
      <c r="J531" t="s">
        <v>77</v>
      </c>
      <c r="K531" t="s">
        <v>78</v>
      </c>
      <c r="L531" t="s">
        <v>225</v>
      </c>
      <c r="M531" t="s">
        <v>226</v>
      </c>
      <c r="N531" t="s">
        <v>1006</v>
      </c>
      <c r="O531" t="s">
        <v>82</v>
      </c>
      <c r="P531" t="str">
        <f>"2170715989                    "</f>
        <v xml:space="preserve">2170715989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8.58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 s="4">
        <v>50.45</v>
      </c>
      <c r="BM531" s="4">
        <v>7.57</v>
      </c>
      <c r="BN531" s="4">
        <v>58.02</v>
      </c>
      <c r="BO531" s="4">
        <v>58.02</v>
      </c>
      <c r="BQ531" t="s">
        <v>121</v>
      </c>
      <c r="BR531" t="s">
        <v>84</v>
      </c>
      <c r="BS531" s="3">
        <v>43777</v>
      </c>
      <c r="BT531" s="5">
        <v>0.37777777777777777</v>
      </c>
      <c r="BU531" t="s">
        <v>1007</v>
      </c>
      <c r="BV531" t="s">
        <v>86</v>
      </c>
      <c r="BY531">
        <v>1200</v>
      </c>
      <c r="CA531" t="s">
        <v>255</v>
      </c>
      <c r="CC531" t="s">
        <v>226</v>
      </c>
      <c r="CD531">
        <v>4026</v>
      </c>
      <c r="CE531" t="s">
        <v>147</v>
      </c>
      <c r="CF531" s="3">
        <v>43780</v>
      </c>
      <c r="CI531">
        <v>1</v>
      </c>
      <c r="CJ531">
        <v>1</v>
      </c>
      <c r="CK531">
        <v>21</v>
      </c>
      <c r="CL531" t="s">
        <v>89</v>
      </c>
    </row>
    <row r="532" spans="1:90">
      <c r="A532" t="s">
        <v>72</v>
      </c>
      <c r="B532" t="s">
        <v>73</v>
      </c>
      <c r="C532" t="s">
        <v>74</v>
      </c>
      <c r="E532" t="str">
        <f>"009939474002"</f>
        <v>009939474002</v>
      </c>
      <c r="F532" s="3">
        <v>43774</v>
      </c>
      <c r="G532">
        <v>202005</v>
      </c>
      <c r="H532" t="s">
        <v>90</v>
      </c>
      <c r="I532" t="s">
        <v>91</v>
      </c>
      <c r="J532" t="s">
        <v>211</v>
      </c>
      <c r="K532" t="s">
        <v>78</v>
      </c>
      <c r="L532" t="s">
        <v>124</v>
      </c>
      <c r="M532" t="s">
        <v>125</v>
      </c>
      <c r="N532" t="s">
        <v>1008</v>
      </c>
      <c r="O532" t="s">
        <v>282</v>
      </c>
      <c r="P532" t="str">
        <f>"1703                          "</f>
        <v xml:space="preserve">1703      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18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0.8</v>
      </c>
      <c r="BJ532">
        <v>2.2999999999999998</v>
      </c>
      <c r="BK532">
        <v>3</v>
      </c>
      <c r="BL532" s="4">
        <v>108.71</v>
      </c>
      <c r="BM532" s="4">
        <v>16.309999999999999</v>
      </c>
      <c r="BN532" s="4">
        <v>125.02</v>
      </c>
      <c r="BO532" s="4">
        <v>125.02</v>
      </c>
      <c r="BP532" t="s">
        <v>1009</v>
      </c>
      <c r="BQ532" t="s">
        <v>1010</v>
      </c>
      <c r="BR532" t="s">
        <v>1011</v>
      </c>
      <c r="BS532" s="3">
        <v>43776</v>
      </c>
      <c r="BT532" s="5">
        <v>0.4548611111111111</v>
      </c>
      <c r="BU532" t="s">
        <v>1012</v>
      </c>
      <c r="BV532" t="s">
        <v>86</v>
      </c>
      <c r="BY532">
        <v>11326.77</v>
      </c>
      <c r="CA532" t="s">
        <v>123</v>
      </c>
      <c r="CC532" t="s">
        <v>125</v>
      </c>
      <c r="CD532">
        <v>2192</v>
      </c>
      <c r="CE532" t="s">
        <v>1013</v>
      </c>
      <c r="CF532" s="3">
        <v>43777</v>
      </c>
      <c r="CI532">
        <v>2</v>
      </c>
      <c r="CJ532">
        <v>2</v>
      </c>
      <c r="CK532" t="s">
        <v>1002</v>
      </c>
      <c r="CL532" t="s">
        <v>89</v>
      </c>
    </row>
    <row r="533" spans="1:90">
      <c r="A533" t="s">
        <v>72</v>
      </c>
      <c r="B533" t="s">
        <v>73</v>
      </c>
      <c r="C533" t="s">
        <v>74</v>
      </c>
      <c r="E533" t="str">
        <f>"019911311437"</f>
        <v>019911311437</v>
      </c>
      <c r="F533" s="3">
        <v>43774</v>
      </c>
      <c r="G533">
        <v>202005</v>
      </c>
      <c r="H533" t="s">
        <v>90</v>
      </c>
      <c r="I533" t="s">
        <v>91</v>
      </c>
      <c r="J533" t="s">
        <v>211</v>
      </c>
      <c r="K533" t="s">
        <v>78</v>
      </c>
      <c r="L533" t="s">
        <v>75</v>
      </c>
      <c r="M533" t="s">
        <v>76</v>
      </c>
      <c r="N533" t="s">
        <v>1014</v>
      </c>
      <c r="O533" t="s">
        <v>282</v>
      </c>
      <c r="P533" t="str">
        <f>"1703                          "</f>
        <v xml:space="preserve">1703      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18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1.1000000000000001</v>
      </c>
      <c r="BJ533">
        <v>1.7</v>
      </c>
      <c r="BK533">
        <v>2</v>
      </c>
      <c r="BL533" s="4">
        <v>108.71</v>
      </c>
      <c r="BM533" s="4">
        <v>16.309999999999999</v>
      </c>
      <c r="BN533" s="4">
        <v>125.02</v>
      </c>
      <c r="BO533" s="4">
        <v>125.02</v>
      </c>
      <c r="BQ533" t="s">
        <v>1015</v>
      </c>
      <c r="BR533" t="s">
        <v>1011</v>
      </c>
      <c r="BS533" s="3">
        <v>43776</v>
      </c>
      <c r="BT533" s="5">
        <v>0.38263888888888892</v>
      </c>
      <c r="BU533" t="s">
        <v>1016</v>
      </c>
      <c r="BV533" t="s">
        <v>86</v>
      </c>
      <c r="BY533">
        <v>8297.31</v>
      </c>
      <c r="CA533" t="s">
        <v>198</v>
      </c>
      <c r="CC533" t="s">
        <v>76</v>
      </c>
      <c r="CD533">
        <v>1619</v>
      </c>
      <c r="CE533" t="s">
        <v>1017</v>
      </c>
      <c r="CF533" s="3">
        <v>43777</v>
      </c>
      <c r="CI533">
        <v>2</v>
      </c>
      <c r="CJ533">
        <v>2</v>
      </c>
      <c r="CK533" t="s">
        <v>1002</v>
      </c>
      <c r="CL533" t="s">
        <v>89</v>
      </c>
    </row>
    <row r="534" spans="1:90">
      <c r="A534" t="s">
        <v>72</v>
      </c>
      <c r="B534" t="s">
        <v>73</v>
      </c>
      <c r="C534" t="s">
        <v>74</v>
      </c>
      <c r="E534" t="str">
        <f>"FES1162721718"</f>
        <v>FES1162721718</v>
      </c>
      <c r="F534" s="3">
        <v>43776</v>
      </c>
      <c r="G534">
        <v>202005</v>
      </c>
      <c r="H534" t="s">
        <v>75</v>
      </c>
      <c r="I534" t="s">
        <v>76</v>
      </c>
      <c r="J534" t="s">
        <v>77</v>
      </c>
      <c r="K534" t="s">
        <v>78</v>
      </c>
      <c r="L534" t="s">
        <v>112</v>
      </c>
      <c r="M534" t="s">
        <v>113</v>
      </c>
      <c r="N534" t="s">
        <v>423</v>
      </c>
      <c r="O534" t="s">
        <v>82</v>
      </c>
      <c r="P534" t="str">
        <f>"2170715948                    "</f>
        <v xml:space="preserve">2170715948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8.58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 s="4">
        <v>50.45</v>
      </c>
      <c r="BM534" s="4">
        <v>7.57</v>
      </c>
      <c r="BN534" s="4">
        <v>58.02</v>
      </c>
      <c r="BO534" s="4">
        <v>58.02</v>
      </c>
      <c r="BQ534" t="s">
        <v>424</v>
      </c>
      <c r="BR534" t="s">
        <v>84</v>
      </c>
      <c r="BS534" s="3">
        <v>43777</v>
      </c>
      <c r="BT534" s="5">
        <v>0.31527777777777777</v>
      </c>
      <c r="BU534" t="s">
        <v>1018</v>
      </c>
      <c r="BV534" t="s">
        <v>86</v>
      </c>
      <c r="BY534">
        <v>1200</v>
      </c>
      <c r="CA534" t="s">
        <v>426</v>
      </c>
      <c r="CC534" t="s">
        <v>113</v>
      </c>
      <c r="CD534">
        <v>4001</v>
      </c>
      <c r="CE534" t="s">
        <v>147</v>
      </c>
      <c r="CF534" s="3">
        <v>43780</v>
      </c>
      <c r="CI534">
        <v>1</v>
      </c>
      <c r="CJ534">
        <v>1</v>
      </c>
      <c r="CK534">
        <v>21</v>
      </c>
      <c r="CL534" t="s">
        <v>89</v>
      </c>
    </row>
    <row r="535" spans="1:90">
      <c r="A535" t="s">
        <v>72</v>
      </c>
      <c r="B535" t="s">
        <v>73</v>
      </c>
      <c r="C535" t="s">
        <v>74</v>
      </c>
      <c r="E535" t="str">
        <f>"FES1162721748"</f>
        <v>FES1162721748</v>
      </c>
      <c r="F535" s="3">
        <v>43776</v>
      </c>
      <c r="G535">
        <v>202005</v>
      </c>
      <c r="H535" t="s">
        <v>75</v>
      </c>
      <c r="I535" t="s">
        <v>76</v>
      </c>
      <c r="J535" t="s">
        <v>77</v>
      </c>
      <c r="K535" t="s">
        <v>78</v>
      </c>
      <c r="L535" t="s">
        <v>124</v>
      </c>
      <c r="M535" t="s">
        <v>125</v>
      </c>
      <c r="N535" t="s">
        <v>230</v>
      </c>
      <c r="O535" t="s">
        <v>82</v>
      </c>
      <c r="P535" t="str">
        <f>"2170713975                    "</f>
        <v xml:space="preserve">2170713975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6.71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 s="4">
        <v>39.42</v>
      </c>
      <c r="BM535" s="4">
        <v>5.91</v>
      </c>
      <c r="BN535" s="4">
        <v>45.33</v>
      </c>
      <c r="BO535" s="4">
        <v>45.33</v>
      </c>
      <c r="BQ535" t="s">
        <v>109</v>
      </c>
      <c r="BR535" t="s">
        <v>84</v>
      </c>
      <c r="BS535" s="3">
        <v>43777</v>
      </c>
      <c r="BT535" s="5">
        <v>0.37361111111111112</v>
      </c>
      <c r="BU535" t="s">
        <v>231</v>
      </c>
      <c r="BV535" t="s">
        <v>86</v>
      </c>
      <c r="BY535">
        <v>1200</v>
      </c>
      <c r="CC535" t="s">
        <v>125</v>
      </c>
      <c r="CD535">
        <v>2091</v>
      </c>
      <c r="CE535" t="s">
        <v>147</v>
      </c>
      <c r="CF535" s="3">
        <v>43780</v>
      </c>
      <c r="CI535">
        <v>1</v>
      </c>
      <c r="CJ535">
        <v>1</v>
      </c>
      <c r="CK535">
        <v>22</v>
      </c>
      <c r="CL535" t="s">
        <v>89</v>
      </c>
    </row>
    <row r="536" spans="1:90">
      <c r="A536" t="s">
        <v>72</v>
      </c>
      <c r="B536" t="s">
        <v>73</v>
      </c>
      <c r="C536" t="s">
        <v>74</v>
      </c>
      <c r="E536" t="str">
        <f>"FES1162721661"</f>
        <v>FES1162721661</v>
      </c>
      <c r="F536" s="3">
        <v>43775</v>
      </c>
      <c r="G536">
        <v>202005</v>
      </c>
      <c r="H536" t="s">
        <v>75</v>
      </c>
      <c r="I536" t="s">
        <v>76</v>
      </c>
      <c r="J536" t="s">
        <v>77</v>
      </c>
      <c r="K536" t="s">
        <v>78</v>
      </c>
      <c r="L536" t="s">
        <v>90</v>
      </c>
      <c r="M536" t="s">
        <v>91</v>
      </c>
      <c r="N536" t="s">
        <v>401</v>
      </c>
      <c r="O536" t="s">
        <v>82</v>
      </c>
      <c r="P536" t="str">
        <f>"2170715878                    "</f>
        <v xml:space="preserve">2170715878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62.19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14.3</v>
      </c>
      <c r="BJ536">
        <v>3.8</v>
      </c>
      <c r="BK536">
        <v>14.5</v>
      </c>
      <c r="BL536" s="4">
        <v>365.56</v>
      </c>
      <c r="BM536" s="4">
        <v>54.83</v>
      </c>
      <c r="BN536" s="4">
        <v>420.39</v>
      </c>
      <c r="BO536" s="4">
        <v>420.39</v>
      </c>
      <c r="BQ536" t="s">
        <v>109</v>
      </c>
      <c r="BR536" t="s">
        <v>84</v>
      </c>
      <c r="BS536" s="3">
        <v>43776</v>
      </c>
      <c r="BT536" s="5">
        <v>0.33680555555555558</v>
      </c>
      <c r="BU536" t="s">
        <v>1019</v>
      </c>
      <c r="BV536" t="s">
        <v>86</v>
      </c>
      <c r="BY536">
        <v>19034.73</v>
      </c>
      <c r="CA536" t="s">
        <v>221</v>
      </c>
      <c r="CC536" t="s">
        <v>91</v>
      </c>
      <c r="CD536">
        <v>7441</v>
      </c>
      <c r="CE536" t="s">
        <v>88</v>
      </c>
      <c r="CF536" s="3">
        <v>43777</v>
      </c>
      <c r="CI536">
        <v>1</v>
      </c>
      <c r="CJ536">
        <v>1</v>
      </c>
      <c r="CK536">
        <v>21</v>
      </c>
      <c r="CL536" t="s">
        <v>89</v>
      </c>
    </row>
    <row r="537" spans="1:90">
      <c r="A537" t="s">
        <v>72</v>
      </c>
      <c r="B537" t="s">
        <v>73</v>
      </c>
      <c r="C537" t="s">
        <v>74</v>
      </c>
      <c r="E537" t="str">
        <f>"FES1162721630"</f>
        <v>FES1162721630</v>
      </c>
      <c r="F537" s="3">
        <v>43775</v>
      </c>
      <c r="G537">
        <v>202005</v>
      </c>
      <c r="H537" t="s">
        <v>75</v>
      </c>
      <c r="I537" t="s">
        <v>76</v>
      </c>
      <c r="J537" t="s">
        <v>77</v>
      </c>
      <c r="K537" t="s">
        <v>78</v>
      </c>
      <c r="L537" t="s">
        <v>578</v>
      </c>
      <c r="M537" t="s">
        <v>579</v>
      </c>
      <c r="N537" t="s">
        <v>1020</v>
      </c>
      <c r="O537" t="s">
        <v>82</v>
      </c>
      <c r="P537" t="str">
        <f>"2170715827                    "</f>
        <v xml:space="preserve">2170715827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8.58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 s="4">
        <v>50.45</v>
      </c>
      <c r="BM537" s="4">
        <v>7.57</v>
      </c>
      <c r="BN537" s="4">
        <v>58.02</v>
      </c>
      <c r="BO537" s="4">
        <v>58.02</v>
      </c>
      <c r="BQ537" t="s">
        <v>121</v>
      </c>
      <c r="BR537" t="s">
        <v>84</v>
      </c>
      <c r="BS537" s="3">
        <v>43776</v>
      </c>
      <c r="BT537" s="5">
        <v>0.35347222222222219</v>
      </c>
      <c r="BU537" t="s">
        <v>1021</v>
      </c>
      <c r="BV537" t="s">
        <v>86</v>
      </c>
      <c r="BY537">
        <v>1200</v>
      </c>
      <c r="CA537" t="s">
        <v>1022</v>
      </c>
      <c r="CC537" t="s">
        <v>579</v>
      </c>
      <c r="CD537">
        <v>7600</v>
      </c>
      <c r="CE537" t="s">
        <v>147</v>
      </c>
      <c r="CF537" s="3">
        <v>43777</v>
      </c>
      <c r="CI537">
        <v>1</v>
      </c>
      <c r="CJ537">
        <v>1</v>
      </c>
      <c r="CK537">
        <v>21</v>
      </c>
      <c r="CL537" t="s">
        <v>89</v>
      </c>
    </row>
    <row r="538" spans="1:90">
      <c r="A538" t="s">
        <v>72</v>
      </c>
      <c r="B538" t="s">
        <v>73</v>
      </c>
      <c r="C538" t="s">
        <v>74</v>
      </c>
      <c r="E538" t="str">
        <f>"FES1162721658"</f>
        <v>FES1162721658</v>
      </c>
      <c r="F538" s="3">
        <v>43775</v>
      </c>
      <c r="G538">
        <v>202005</v>
      </c>
      <c r="H538" t="s">
        <v>75</v>
      </c>
      <c r="I538" t="s">
        <v>76</v>
      </c>
      <c r="J538" t="s">
        <v>77</v>
      </c>
      <c r="K538" t="s">
        <v>78</v>
      </c>
      <c r="L538" t="s">
        <v>124</v>
      </c>
      <c r="M538" t="s">
        <v>125</v>
      </c>
      <c r="N538" t="s">
        <v>218</v>
      </c>
      <c r="O538" t="s">
        <v>756</v>
      </c>
      <c r="P538" t="str">
        <f>"2170715870                    "</f>
        <v xml:space="preserve">2170715870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7.46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4.2</v>
      </c>
      <c r="BJ538">
        <v>2.5</v>
      </c>
      <c r="BK538">
        <v>5</v>
      </c>
      <c r="BL538" s="4">
        <v>43.84</v>
      </c>
      <c r="BM538" s="4">
        <v>6.58</v>
      </c>
      <c r="BN538" s="4">
        <v>50.42</v>
      </c>
      <c r="BO538" s="4">
        <v>50.42</v>
      </c>
      <c r="BP538" t="s">
        <v>757</v>
      </c>
      <c r="BQ538" t="s">
        <v>121</v>
      </c>
      <c r="BR538" t="s">
        <v>84</v>
      </c>
      <c r="BS538" s="3">
        <v>43776</v>
      </c>
      <c r="BT538" s="5">
        <v>0.41875000000000001</v>
      </c>
      <c r="BU538" t="s">
        <v>1023</v>
      </c>
      <c r="BV538" t="s">
        <v>86</v>
      </c>
      <c r="BY538">
        <v>12471.96</v>
      </c>
      <c r="CA538" t="s">
        <v>123</v>
      </c>
      <c r="CC538" t="s">
        <v>125</v>
      </c>
      <c r="CD538">
        <v>2094</v>
      </c>
      <c r="CE538" t="s">
        <v>88</v>
      </c>
      <c r="CF538" s="3">
        <v>43777</v>
      </c>
      <c r="CI538">
        <v>1</v>
      </c>
      <c r="CJ538">
        <v>1</v>
      </c>
      <c r="CK538">
        <v>32</v>
      </c>
      <c r="CL538" t="s">
        <v>89</v>
      </c>
    </row>
    <row r="539" spans="1:90">
      <c r="A539" t="s">
        <v>72</v>
      </c>
      <c r="B539" t="s">
        <v>73</v>
      </c>
      <c r="C539" t="s">
        <v>74</v>
      </c>
      <c r="E539" t="str">
        <f>"FES1162721631"</f>
        <v>FES1162721631</v>
      </c>
      <c r="F539" s="3">
        <v>43775</v>
      </c>
      <c r="G539">
        <v>202005</v>
      </c>
      <c r="H539" t="s">
        <v>75</v>
      </c>
      <c r="I539" t="s">
        <v>76</v>
      </c>
      <c r="J539" t="s">
        <v>77</v>
      </c>
      <c r="K539" t="s">
        <v>78</v>
      </c>
      <c r="L539" t="s">
        <v>90</v>
      </c>
      <c r="M539" t="s">
        <v>91</v>
      </c>
      <c r="N539" t="s">
        <v>538</v>
      </c>
      <c r="O539" t="s">
        <v>82</v>
      </c>
      <c r="P539" t="str">
        <f>"2170715829                    "</f>
        <v xml:space="preserve">2170715829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8.58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 s="4">
        <v>50.45</v>
      </c>
      <c r="BM539" s="4">
        <v>7.57</v>
      </c>
      <c r="BN539" s="4">
        <v>58.02</v>
      </c>
      <c r="BO539" s="4">
        <v>58.02</v>
      </c>
      <c r="BQ539" t="s">
        <v>109</v>
      </c>
      <c r="BR539" t="s">
        <v>84</v>
      </c>
      <c r="BS539" s="3">
        <v>43776</v>
      </c>
      <c r="BT539" s="5">
        <v>0.3263888888888889</v>
      </c>
      <c r="BU539" t="s">
        <v>1024</v>
      </c>
      <c r="BV539" t="s">
        <v>86</v>
      </c>
      <c r="BY539">
        <v>1200</v>
      </c>
      <c r="CA539" t="s">
        <v>540</v>
      </c>
      <c r="CC539" t="s">
        <v>91</v>
      </c>
      <c r="CD539">
        <v>7530</v>
      </c>
      <c r="CE539" t="s">
        <v>147</v>
      </c>
      <c r="CF539" s="3">
        <v>43777</v>
      </c>
      <c r="CI539">
        <v>1</v>
      </c>
      <c r="CJ539">
        <v>1</v>
      </c>
      <c r="CK539">
        <v>21</v>
      </c>
      <c r="CL539" t="s">
        <v>89</v>
      </c>
    </row>
    <row r="540" spans="1:90">
      <c r="A540" t="s">
        <v>72</v>
      </c>
      <c r="B540" t="s">
        <v>73</v>
      </c>
      <c r="C540" t="s">
        <v>74</v>
      </c>
      <c r="E540" t="str">
        <f>"FES1162721665"</f>
        <v>FES1162721665</v>
      </c>
      <c r="F540" s="3">
        <v>43775</v>
      </c>
      <c r="G540">
        <v>202005</v>
      </c>
      <c r="H540" t="s">
        <v>75</v>
      </c>
      <c r="I540" t="s">
        <v>76</v>
      </c>
      <c r="J540" t="s">
        <v>77</v>
      </c>
      <c r="K540" t="s">
        <v>78</v>
      </c>
      <c r="L540" t="s">
        <v>112</v>
      </c>
      <c r="M540" t="s">
        <v>113</v>
      </c>
      <c r="N540" t="s">
        <v>397</v>
      </c>
      <c r="O540" t="s">
        <v>82</v>
      </c>
      <c r="P540" t="str">
        <f>"2170715831                    "</f>
        <v xml:space="preserve">2170715831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10.73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2.2000000000000002</v>
      </c>
      <c r="BJ540">
        <v>0.7</v>
      </c>
      <c r="BK540">
        <v>2.5</v>
      </c>
      <c r="BL540" s="4">
        <v>63.06</v>
      </c>
      <c r="BM540" s="4">
        <v>9.4600000000000009</v>
      </c>
      <c r="BN540" s="4">
        <v>72.52</v>
      </c>
      <c r="BO540" s="4">
        <v>72.52</v>
      </c>
      <c r="BQ540" t="s">
        <v>121</v>
      </c>
      <c r="BR540" t="s">
        <v>84</v>
      </c>
      <c r="BS540" s="3">
        <v>43776</v>
      </c>
      <c r="BT540" s="5">
        <v>0.36874999999999997</v>
      </c>
      <c r="BU540" t="s">
        <v>398</v>
      </c>
      <c r="BV540" t="s">
        <v>86</v>
      </c>
      <c r="BY540">
        <v>3611.16</v>
      </c>
      <c r="CA540" t="s">
        <v>163</v>
      </c>
      <c r="CC540" t="s">
        <v>113</v>
      </c>
      <c r="CD540">
        <v>4051</v>
      </c>
      <c r="CE540" t="s">
        <v>88</v>
      </c>
      <c r="CF540" s="3">
        <v>43777</v>
      </c>
      <c r="CI540">
        <v>1</v>
      </c>
      <c r="CJ540">
        <v>1</v>
      </c>
      <c r="CK540">
        <v>21</v>
      </c>
      <c r="CL540" t="s">
        <v>89</v>
      </c>
    </row>
    <row r="541" spans="1:90">
      <c r="A541" t="s">
        <v>72</v>
      </c>
      <c r="B541" t="s">
        <v>73</v>
      </c>
      <c r="C541" t="s">
        <v>74</v>
      </c>
      <c r="E541" t="str">
        <f>"FES1162721655"</f>
        <v>FES1162721655</v>
      </c>
      <c r="F541" s="3">
        <v>43775</v>
      </c>
      <c r="G541">
        <v>202005</v>
      </c>
      <c r="H541" t="s">
        <v>75</v>
      </c>
      <c r="I541" t="s">
        <v>76</v>
      </c>
      <c r="J541" t="s">
        <v>77</v>
      </c>
      <c r="K541" t="s">
        <v>78</v>
      </c>
      <c r="L541" t="s">
        <v>1025</v>
      </c>
      <c r="M541" t="s">
        <v>1026</v>
      </c>
      <c r="N541" t="s">
        <v>1027</v>
      </c>
      <c r="O541" t="s">
        <v>82</v>
      </c>
      <c r="P541" t="str">
        <f>"2170715865                    "</f>
        <v xml:space="preserve">2170715865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16.63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 s="4">
        <v>97.75</v>
      </c>
      <c r="BM541" s="4">
        <v>14.66</v>
      </c>
      <c r="BN541" s="4">
        <v>112.41</v>
      </c>
      <c r="BO541" s="4">
        <v>112.41</v>
      </c>
      <c r="BQ541" t="s">
        <v>142</v>
      </c>
      <c r="BR541" t="s">
        <v>84</v>
      </c>
      <c r="BS541" s="3">
        <v>43777</v>
      </c>
      <c r="BT541" s="5">
        <v>0.44166666666666665</v>
      </c>
      <c r="BU541" t="s">
        <v>1028</v>
      </c>
      <c r="BV541" t="s">
        <v>86</v>
      </c>
      <c r="BY541">
        <v>1200</v>
      </c>
      <c r="CA541" t="s">
        <v>1029</v>
      </c>
      <c r="CC541" t="s">
        <v>1026</v>
      </c>
      <c r="CD541">
        <v>7380</v>
      </c>
      <c r="CE541" t="s">
        <v>147</v>
      </c>
      <c r="CF541" s="3">
        <v>43782</v>
      </c>
      <c r="CI541">
        <v>3</v>
      </c>
      <c r="CJ541">
        <v>2</v>
      </c>
      <c r="CK541">
        <v>23</v>
      </c>
      <c r="CL541" t="s">
        <v>89</v>
      </c>
    </row>
    <row r="542" spans="1:90">
      <c r="A542" t="s">
        <v>72</v>
      </c>
      <c r="B542" t="s">
        <v>73</v>
      </c>
      <c r="C542" t="s">
        <v>74</v>
      </c>
      <c r="E542" t="str">
        <f>"FES1162721687"</f>
        <v>FES1162721687</v>
      </c>
      <c r="F542" s="3">
        <v>43775</v>
      </c>
      <c r="G542">
        <v>202005</v>
      </c>
      <c r="H542" t="s">
        <v>75</v>
      </c>
      <c r="I542" t="s">
        <v>76</v>
      </c>
      <c r="J542" t="s">
        <v>77</v>
      </c>
      <c r="K542" t="s">
        <v>78</v>
      </c>
      <c r="L542" t="s">
        <v>184</v>
      </c>
      <c r="M542" t="s">
        <v>185</v>
      </c>
      <c r="N542" t="s">
        <v>1030</v>
      </c>
      <c r="O542" t="s">
        <v>82</v>
      </c>
      <c r="P542" t="str">
        <f>"2170715912                    "</f>
        <v xml:space="preserve">2170715912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6.71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1.5</v>
      </c>
      <c r="BJ542">
        <v>0.9</v>
      </c>
      <c r="BK542">
        <v>1.5</v>
      </c>
      <c r="BL542" s="4">
        <v>39.42</v>
      </c>
      <c r="BM542" s="4">
        <v>5.91</v>
      </c>
      <c r="BN542" s="4">
        <v>45.33</v>
      </c>
      <c r="BO542" s="4">
        <v>45.33</v>
      </c>
      <c r="BQ542" t="s">
        <v>109</v>
      </c>
      <c r="BR542" t="s">
        <v>84</v>
      </c>
      <c r="BS542" s="3">
        <v>43776</v>
      </c>
      <c r="BT542" s="5">
        <v>0.33888888888888885</v>
      </c>
      <c r="BU542" t="s">
        <v>1031</v>
      </c>
      <c r="BV542" t="s">
        <v>86</v>
      </c>
      <c r="BY542">
        <v>4305.25</v>
      </c>
      <c r="CA542" t="s">
        <v>1032</v>
      </c>
      <c r="CC542" t="s">
        <v>185</v>
      </c>
      <c r="CD542">
        <v>1501</v>
      </c>
      <c r="CE542" t="s">
        <v>88</v>
      </c>
      <c r="CF542" s="3">
        <v>43777</v>
      </c>
      <c r="CI542">
        <v>1</v>
      </c>
      <c r="CJ542">
        <v>1</v>
      </c>
      <c r="CK542">
        <v>22</v>
      </c>
      <c r="CL542" t="s">
        <v>89</v>
      </c>
    </row>
    <row r="543" spans="1:90">
      <c r="A543" t="s">
        <v>72</v>
      </c>
      <c r="B543" t="s">
        <v>73</v>
      </c>
      <c r="C543" t="s">
        <v>74</v>
      </c>
      <c r="E543" t="str">
        <f>"FES1162721615"</f>
        <v>FES1162721615</v>
      </c>
      <c r="F543" s="3">
        <v>43775</v>
      </c>
      <c r="G543">
        <v>202005</v>
      </c>
      <c r="H543" t="s">
        <v>75</v>
      </c>
      <c r="I543" t="s">
        <v>76</v>
      </c>
      <c r="J543" t="s">
        <v>77</v>
      </c>
      <c r="K543" t="s">
        <v>78</v>
      </c>
      <c r="L543" t="s">
        <v>106</v>
      </c>
      <c r="M543" t="s">
        <v>107</v>
      </c>
      <c r="N543" t="s">
        <v>580</v>
      </c>
      <c r="O543" t="s">
        <v>82</v>
      </c>
      <c r="P543" t="str">
        <f>"21707158202                   "</f>
        <v xml:space="preserve">21707158202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8.58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 s="4">
        <v>50.45</v>
      </c>
      <c r="BM543" s="4">
        <v>7.57</v>
      </c>
      <c r="BN543" s="4">
        <v>58.02</v>
      </c>
      <c r="BO543" s="4">
        <v>58.02</v>
      </c>
      <c r="BQ543" t="s">
        <v>109</v>
      </c>
      <c r="BR543" t="s">
        <v>84</v>
      </c>
      <c r="BS543" s="3">
        <v>43776</v>
      </c>
      <c r="BT543" s="5">
        <v>0.36180555555555555</v>
      </c>
      <c r="BU543" t="s">
        <v>1033</v>
      </c>
      <c r="BV543" t="s">
        <v>86</v>
      </c>
      <c r="BY543">
        <v>1200</v>
      </c>
      <c r="CA543" t="s">
        <v>773</v>
      </c>
      <c r="CC543" t="s">
        <v>107</v>
      </c>
      <c r="CD543">
        <v>6001</v>
      </c>
      <c r="CE543" t="s">
        <v>147</v>
      </c>
      <c r="CF543" s="3">
        <v>43777</v>
      </c>
      <c r="CI543">
        <v>1</v>
      </c>
      <c r="CJ543">
        <v>1</v>
      </c>
      <c r="CK543">
        <v>21</v>
      </c>
      <c r="CL543" t="s">
        <v>89</v>
      </c>
    </row>
    <row r="544" spans="1:90">
      <c r="A544" t="s">
        <v>72</v>
      </c>
      <c r="B544" t="s">
        <v>73</v>
      </c>
      <c r="C544" t="s">
        <v>74</v>
      </c>
      <c r="E544" t="str">
        <f>"FES1162721965"</f>
        <v>FES1162721965</v>
      </c>
      <c r="F544" s="3">
        <v>43775</v>
      </c>
      <c r="G544">
        <v>202005</v>
      </c>
      <c r="H544" t="s">
        <v>75</v>
      </c>
      <c r="I544" t="s">
        <v>76</v>
      </c>
      <c r="J544" t="s">
        <v>77</v>
      </c>
      <c r="K544" t="s">
        <v>78</v>
      </c>
      <c r="L544" t="s">
        <v>339</v>
      </c>
      <c r="M544" t="s">
        <v>340</v>
      </c>
      <c r="N544" t="s">
        <v>1034</v>
      </c>
      <c r="O544" t="s">
        <v>82</v>
      </c>
      <c r="P544" t="str">
        <f>"2170715920                    "</f>
        <v xml:space="preserve">2170715920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8.58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0.9</v>
      </c>
      <c r="BJ544">
        <v>0.9</v>
      </c>
      <c r="BK544">
        <v>1</v>
      </c>
      <c r="BL544" s="4">
        <v>50.45</v>
      </c>
      <c r="BM544" s="4">
        <v>7.57</v>
      </c>
      <c r="BN544" s="4">
        <v>58.02</v>
      </c>
      <c r="BO544" s="4">
        <v>58.02</v>
      </c>
      <c r="BQ544" t="s">
        <v>109</v>
      </c>
      <c r="BR544" t="s">
        <v>84</v>
      </c>
      <c r="BS544" s="3">
        <v>43776</v>
      </c>
      <c r="BT544" s="5">
        <v>0.3263888888888889</v>
      </c>
      <c r="BU544" t="s">
        <v>1035</v>
      </c>
      <c r="BV544" t="s">
        <v>86</v>
      </c>
      <c r="BY544">
        <v>4419.25</v>
      </c>
      <c r="CA544" t="s">
        <v>869</v>
      </c>
      <c r="CC544" t="s">
        <v>340</v>
      </c>
      <c r="CD544">
        <v>157</v>
      </c>
      <c r="CE544" t="s">
        <v>88</v>
      </c>
      <c r="CF544" s="3">
        <v>43780</v>
      </c>
      <c r="CI544">
        <v>1</v>
      </c>
      <c r="CJ544">
        <v>1</v>
      </c>
      <c r="CK544">
        <v>21</v>
      </c>
      <c r="CL544" t="s">
        <v>89</v>
      </c>
    </row>
    <row r="545" spans="1:90">
      <c r="A545" t="s">
        <v>72</v>
      </c>
      <c r="B545" t="s">
        <v>73</v>
      </c>
      <c r="C545" t="s">
        <v>74</v>
      </c>
      <c r="E545" t="str">
        <f>"FES1162721622"</f>
        <v>FES1162721622</v>
      </c>
      <c r="F545" s="3">
        <v>43775</v>
      </c>
      <c r="G545">
        <v>202005</v>
      </c>
      <c r="H545" t="s">
        <v>75</v>
      </c>
      <c r="I545" t="s">
        <v>76</v>
      </c>
      <c r="J545" t="s">
        <v>77</v>
      </c>
      <c r="K545" t="s">
        <v>78</v>
      </c>
      <c r="L545" t="s">
        <v>578</v>
      </c>
      <c r="M545" t="s">
        <v>579</v>
      </c>
      <c r="N545" t="s">
        <v>1020</v>
      </c>
      <c r="O545" t="s">
        <v>82</v>
      </c>
      <c r="P545" t="str">
        <f>"2170715814                    "</f>
        <v xml:space="preserve">2170715814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8.58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 s="4">
        <v>50.45</v>
      </c>
      <c r="BM545" s="4">
        <v>7.57</v>
      </c>
      <c r="BN545" s="4">
        <v>58.02</v>
      </c>
      <c r="BO545" s="4">
        <v>58.02</v>
      </c>
      <c r="BQ545" t="s">
        <v>121</v>
      </c>
      <c r="BR545" t="s">
        <v>84</v>
      </c>
      <c r="BS545" s="3">
        <v>43776</v>
      </c>
      <c r="BT545" s="5">
        <v>0.35416666666666669</v>
      </c>
      <c r="BU545" t="s">
        <v>1021</v>
      </c>
      <c r="BV545" t="s">
        <v>86</v>
      </c>
      <c r="BY545">
        <v>1200</v>
      </c>
      <c r="CA545" t="s">
        <v>1022</v>
      </c>
      <c r="CC545" t="s">
        <v>579</v>
      </c>
      <c r="CD545">
        <v>7600</v>
      </c>
      <c r="CE545" t="s">
        <v>147</v>
      </c>
      <c r="CF545" s="3">
        <v>43777</v>
      </c>
      <c r="CI545">
        <v>1</v>
      </c>
      <c r="CJ545">
        <v>1</v>
      </c>
      <c r="CK545">
        <v>21</v>
      </c>
      <c r="CL545" t="s">
        <v>89</v>
      </c>
    </row>
    <row r="546" spans="1:90">
      <c r="A546" t="s">
        <v>72</v>
      </c>
      <c r="B546" t="s">
        <v>73</v>
      </c>
      <c r="C546" t="s">
        <v>74</v>
      </c>
      <c r="E546" t="str">
        <f>"FES1162721555"</f>
        <v>FES1162721555</v>
      </c>
      <c r="F546" s="3">
        <v>43775</v>
      </c>
      <c r="G546">
        <v>202005</v>
      </c>
      <c r="H546" t="s">
        <v>75</v>
      </c>
      <c r="I546" t="s">
        <v>76</v>
      </c>
      <c r="J546" t="s">
        <v>77</v>
      </c>
      <c r="K546" t="s">
        <v>78</v>
      </c>
      <c r="L546" t="s">
        <v>482</v>
      </c>
      <c r="M546" t="s">
        <v>483</v>
      </c>
      <c r="N546" t="s">
        <v>1036</v>
      </c>
      <c r="O546" t="s">
        <v>82</v>
      </c>
      <c r="P546" t="str">
        <f>"2170714145                    "</f>
        <v xml:space="preserve">2170714145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6.71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 s="4">
        <v>39.42</v>
      </c>
      <c r="BM546" s="4">
        <v>5.91</v>
      </c>
      <c r="BN546" s="4">
        <v>45.33</v>
      </c>
      <c r="BO546" s="4">
        <v>45.33</v>
      </c>
      <c r="BR546" t="s">
        <v>84</v>
      </c>
      <c r="BS546" s="3">
        <v>43776</v>
      </c>
      <c r="BT546" s="5">
        <v>0.3743055555555555</v>
      </c>
      <c r="BU546" t="s">
        <v>231</v>
      </c>
      <c r="BV546" t="s">
        <v>86</v>
      </c>
      <c r="BY546">
        <v>1200</v>
      </c>
      <c r="CC546" t="s">
        <v>483</v>
      </c>
      <c r="CD546">
        <v>1460</v>
      </c>
      <c r="CE546" t="s">
        <v>147</v>
      </c>
      <c r="CF546" s="3">
        <v>43777</v>
      </c>
      <c r="CI546">
        <v>1</v>
      </c>
      <c r="CJ546">
        <v>1</v>
      </c>
      <c r="CK546">
        <v>22</v>
      </c>
      <c r="CL546" t="s">
        <v>89</v>
      </c>
    </row>
    <row r="547" spans="1:90">
      <c r="A547" t="s">
        <v>72</v>
      </c>
      <c r="B547" t="s">
        <v>73</v>
      </c>
      <c r="C547" t="s">
        <v>74</v>
      </c>
      <c r="E547" t="str">
        <f>"FES1162721619"</f>
        <v>FES1162721619</v>
      </c>
      <c r="F547" s="3">
        <v>43775</v>
      </c>
      <c r="G547">
        <v>202005</v>
      </c>
      <c r="H547" t="s">
        <v>75</v>
      </c>
      <c r="I547" t="s">
        <v>76</v>
      </c>
      <c r="J547" t="s">
        <v>77</v>
      </c>
      <c r="K547" t="s">
        <v>78</v>
      </c>
      <c r="L547" t="s">
        <v>106</v>
      </c>
      <c r="M547" t="s">
        <v>107</v>
      </c>
      <c r="N547" t="s">
        <v>843</v>
      </c>
      <c r="O547" t="s">
        <v>82</v>
      </c>
      <c r="P547" t="str">
        <f>"2170715806                    "</f>
        <v xml:space="preserve">2170715806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8.58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 s="4">
        <v>50.45</v>
      </c>
      <c r="BM547" s="4">
        <v>7.57</v>
      </c>
      <c r="BN547" s="4">
        <v>58.02</v>
      </c>
      <c r="BO547" s="4">
        <v>58.02</v>
      </c>
      <c r="BQ547" t="s">
        <v>121</v>
      </c>
      <c r="BR547" t="s">
        <v>84</v>
      </c>
      <c r="BS547" s="3">
        <v>43776</v>
      </c>
      <c r="BT547" s="5">
        <v>0.42777777777777781</v>
      </c>
      <c r="BU547" t="s">
        <v>1037</v>
      </c>
      <c r="BV547" t="s">
        <v>86</v>
      </c>
      <c r="BY547">
        <v>1200</v>
      </c>
      <c r="CA547" t="s">
        <v>773</v>
      </c>
      <c r="CC547" t="s">
        <v>107</v>
      </c>
      <c r="CD547">
        <v>6001</v>
      </c>
      <c r="CE547" t="s">
        <v>147</v>
      </c>
      <c r="CF547" s="3">
        <v>43777</v>
      </c>
      <c r="CI547">
        <v>1</v>
      </c>
      <c r="CJ547">
        <v>1</v>
      </c>
      <c r="CK547">
        <v>21</v>
      </c>
      <c r="CL547" t="s">
        <v>89</v>
      </c>
    </row>
    <row r="548" spans="1:90">
      <c r="A548" t="s">
        <v>72</v>
      </c>
      <c r="B548" t="s">
        <v>73</v>
      </c>
      <c r="C548" t="s">
        <v>74</v>
      </c>
      <c r="E548" t="str">
        <f>"FES1162721633"</f>
        <v>FES1162721633</v>
      </c>
      <c r="F548" s="3">
        <v>43775</v>
      </c>
      <c r="G548">
        <v>202005</v>
      </c>
      <c r="H548" t="s">
        <v>75</v>
      </c>
      <c r="I548" t="s">
        <v>76</v>
      </c>
      <c r="J548" t="s">
        <v>77</v>
      </c>
      <c r="K548" t="s">
        <v>78</v>
      </c>
      <c r="L548" t="s">
        <v>112</v>
      </c>
      <c r="M548" t="s">
        <v>113</v>
      </c>
      <c r="N548" t="s">
        <v>160</v>
      </c>
      <c r="O548" t="s">
        <v>82</v>
      </c>
      <c r="P548" t="str">
        <f>"2170715834                    "</f>
        <v xml:space="preserve">2170715834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25.74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6</v>
      </c>
      <c r="BJ548">
        <v>4.5999999999999996</v>
      </c>
      <c r="BK548">
        <v>6</v>
      </c>
      <c r="BL548" s="4">
        <v>151.29</v>
      </c>
      <c r="BM548" s="4">
        <v>22.69</v>
      </c>
      <c r="BN548" s="4">
        <v>173.98</v>
      </c>
      <c r="BO548" s="4">
        <v>173.98</v>
      </c>
      <c r="BQ548" t="s">
        <v>161</v>
      </c>
      <c r="BR548" t="s">
        <v>84</v>
      </c>
      <c r="BS548" s="3">
        <v>43776</v>
      </c>
      <c r="BT548" s="5">
        <v>0.3527777777777778</v>
      </c>
      <c r="BU548" t="s">
        <v>162</v>
      </c>
      <c r="BV548" t="s">
        <v>86</v>
      </c>
      <c r="BY548">
        <v>22969.57</v>
      </c>
      <c r="CA548" t="s">
        <v>163</v>
      </c>
      <c r="CC548" t="s">
        <v>113</v>
      </c>
      <c r="CD548">
        <v>4000</v>
      </c>
      <c r="CE548" t="s">
        <v>88</v>
      </c>
      <c r="CF548" s="3">
        <v>43777</v>
      </c>
      <c r="CI548">
        <v>1</v>
      </c>
      <c r="CJ548">
        <v>1</v>
      </c>
      <c r="CK548">
        <v>21</v>
      </c>
      <c r="CL548" t="s">
        <v>89</v>
      </c>
    </row>
    <row r="549" spans="1:90">
      <c r="A549" t="s">
        <v>72</v>
      </c>
      <c r="B549" t="s">
        <v>73</v>
      </c>
      <c r="C549" t="s">
        <v>74</v>
      </c>
      <c r="E549" t="str">
        <f>"FES1162721512"</f>
        <v>FES1162721512</v>
      </c>
      <c r="F549" s="3">
        <v>43775</v>
      </c>
      <c r="G549">
        <v>202005</v>
      </c>
      <c r="H549" t="s">
        <v>75</v>
      </c>
      <c r="I549" t="s">
        <v>76</v>
      </c>
      <c r="J549" t="s">
        <v>77</v>
      </c>
      <c r="K549" t="s">
        <v>78</v>
      </c>
      <c r="L549" t="s">
        <v>605</v>
      </c>
      <c r="M549" t="s">
        <v>606</v>
      </c>
      <c r="N549" t="s">
        <v>785</v>
      </c>
      <c r="O549" t="s">
        <v>82</v>
      </c>
      <c r="P549" t="str">
        <f>"2170714967                    "</f>
        <v xml:space="preserve">2170714967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12.07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 s="4">
        <v>70.95</v>
      </c>
      <c r="BM549" s="4">
        <v>10.64</v>
      </c>
      <c r="BN549" s="4">
        <v>81.59</v>
      </c>
      <c r="BO549" s="4">
        <v>81.59</v>
      </c>
      <c r="BQ549" t="s">
        <v>109</v>
      </c>
      <c r="BR549" t="s">
        <v>84</v>
      </c>
      <c r="BS549" s="3">
        <v>43776</v>
      </c>
      <c r="BT549" s="5">
        <v>0.5</v>
      </c>
      <c r="BU549" t="s">
        <v>921</v>
      </c>
      <c r="BV549" t="s">
        <v>86</v>
      </c>
      <c r="BY549">
        <v>1200</v>
      </c>
      <c r="CA549" t="s">
        <v>922</v>
      </c>
      <c r="CC549" t="s">
        <v>606</v>
      </c>
      <c r="CD549">
        <v>407</v>
      </c>
      <c r="CE549" t="s">
        <v>147</v>
      </c>
      <c r="CF549" s="3">
        <v>43777</v>
      </c>
      <c r="CI549">
        <v>1</v>
      </c>
      <c r="CJ549">
        <v>1</v>
      </c>
      <c r="CK549">
        <v>24</v>
      </c>
      <c r="CL549" t="s">
        <v>89</v>
      </c>
    </row>
    <row r="550" spans="1:90">
      <c r="A550" t="s">
        <v>72</v>
      </c>
      <c r="B550" t="s">
        <v>73</v>
      </c>
      <c r="C550" t="s">
        <v>74</v>
      </c>
      <c r="E550" t="str">
        <f>"FES1162721669"</f>
        <v>FES1162721669</v>
      </c>
      <c r="F550" s="3">
        <v>43775</v>
      </c>
      <c r="G550">
        <v>202005</v>
      </c>
      <c r="H550" t="s">
        <v>75</v>
      </c>
      <c r="I550" t="s">
        <v>76</v>
      </c>
      <c r="J550" t="s">
        <v>77</v>
      </c>
      <c r="K550" t="s">
        <v>78</v>
      </c>
      <c r="L550" t="s">
        <v>75</v>
      </c>
      <c r="M550" t="s">
        <v>76</v>
      </c>
      <c r="N550" t="s">
        <v>1038</v>
      </c>
      <c r="O550" t="s">
        <v>82</v>
      </c>
      <c r="P550" t="str">
        <f>"2170715886                    "</f>
        <v xml:space="preserve">2170715886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6.71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 s="4">
        <v>39.42</v>
      </c>
      <c r="BM550" s="4">
        <v>5.91</v>
      </c>
      <c r="BN550" s="4">
        <v>45.33</v>
      </c>
      <c r="BO550" s="4">
        <v>45.33</v>
      </c>
      <c r="BR550" t="s">
        <v>84</v>
      </c>
      <c r="BS550" s="3">
        <v>43776</v>
      </c>
      <c r="BT550" s="5">
        <v>0.35069444444444442</v>
      </c>
      <c r="BU550" t="s">
        <v>1039</v>
      </c>
      <c r="BV550" t="s">
        <v>86</v>
      </c>
      <c r="BY550">
        <v>1200</v>
      </c>
      <c r="CA550" t="s">
        <v>123</v>
      </c>
      <c r="CC550" t="s">
        <v>76</v>
      </c>
      <c r="CD550">
        <v>1666</v>
      </c>
      <c r="CE550" t="s">
        <v>147</v>
      </c>
      <c r="CF550" s="3">
        <v>43777</v>
      </c>
      <c r="CI550">
        <v>1</v>
      </c>
      <c r="CJ550">
        <v>1</v>
      </c>
      <c r="CK550">
        <v>22</v>
      </c>
      <c r="CL550" t="s">
        <v>89</v>
      </c>
    </row>
    <row r="551" spans="1:90">
      <c r="A551" t="s">
        <v>72</v>
      </c>
      <c r="B551" t="s">
        <v>73</v>
      </c>
      <c r="C551" t="s">
        <v>74</v>
      </c>
      <c r="E551" t="str">
        <f>"FES1162721414"</f>
        <v>FES1162721414</v>
      </c>
      <c r="F551" s="3">
        <v>43775</v>
      </c>
      <c r="G551">
        <v>202005</v>
      </c>
      <c r="H551" t="s">
        <v>75</v>
      </c>
      <c r="I551" t="s">
        <v>76</v>
      </c>
      <c r="J551" t="s">
        <v>77</v>
      </c>
      <c r="K551" t="s">
        <v>78</v>
      </c>
      <c r="L551" t="s">
        <v>106</v>
      </c>
      <c r="M551" t="s">
        <v>107</v>
      </c>
      <c r="N551" t="s">
        <v>489</v>
      </c>
      <c r="O551" t="s">
        <v>82</v>
      </c>
      <c r="P551" t="str">
        <f>"2170712750                    "</f>
        <v xml:space="preserve">2170712750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8.58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1.7</v>
      </c>
      <c r="BJ551">
        <v>0.7</v>
      </c>
      <c r="BK551">
        <v>2</v>
      </c>
      <c r="BL551" s="4">
        <v>50.45</v>
      </c>
      <c r="BM551" s="4">
        <v>7.57</v>
      </c>
      <c r="BN551" s="4">
        <v>58.02</v>
      </c>
      <c r="BO551" s="4">
        <v>58.02</v>
      </c>
      <c r="BQ551" t="s">
        <v>121</v>
      </c>
      <c r="BR551" t="s">
        <v>84</v>
      </c>
      <c r="BS551" s="3">
        <v>43776</v>
      </c>
      <c r="BT551" s="5">
        <v>0.375</v>
      </c>
      <c r="BU551" t="s">
        <v>564</v>
      </c>
      <c r="BV551" t="s">
        <v>86</v>
      </c>
      <c r="BY551">
        <v>3724</v>
      </c>
      <c r="CA551" t="s">
        <v>773</v>
      </c>
      <c r="CC551" t="s">
        <v>107</v>
      </c>
      <c r="CD551">
        <v>6001</v>
      </c>
      <c r="CE551" t="s">
        <v>88</v>
      </c>
      <c r="CF551" s="3">
        <v>43777</v>
      </c>
      <c r="CI551">
        <v>1</v>
      </c>
      <c r="CJ551">
        <v>1</v>
      </c>
      <c r="CK551">
        <v>21</v>
      </c>
      <c r="CL551" t="s">
        <v>89</v>
      </c>
    </row>
    <row r="552" spans="1:90">
      <c r="A552" t="s">
        <v>72</v>
      </c>
      <c r="B552" t="s">
        <v>73</v>
      </c>
      <c r="C552" t="s">
        <v>74</v>
      </c>
      <c r="E552" t="str">
        <f>"FES1162721503"</f>
        <v>FES1162721503</v>
      </c>
      <c r="F552" s="3">
        <v>43775</v>
      </c>
      <c r="G552">
        <v>202005</v>
      </c>
      <c r="H552" t="s">
        <v>75</v>
      </c>
      <c r="I552" t="s">
        <v>76</v>
      </c>
      <c r="J552" t="s">
        <v>77</v>
      </c>
      <c r="K552" t="s">
        <v>78</v>
      </c>
      <c r="L552" t="s">
        <v>578</v>
      </c>
      <c r="M552" t="s">
        <v>579</v>
      </c>
      <c r="N552" t="s">
        <v>1020</v>
      </c>
      <c r="O552" t="s">
        <v>82</v>
      </c>
      <c r="P552" t="str">
        <f>"2170714108                    "</f>
        <v xml:space="preserve">2170714108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8.58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1.6</v>
      </c>
      <c r="BJ552">
        <v>1.3</v>
      </c>
      <c r="BK552">
        <v>2</v>
      </c>
      <c r="BL552" s="4">
        <v>50.45</v>
      </c>
      <c r="BM552" s="4">
        <v>7.57</v>
      </c>
      <c r="BN552" s="4">
        <v>58.02</v>
      </c>
      <c r="BO552" s="4">
        <v>58.02</v>
      </c>
      <c r="BQ552" t="s">
        <v>121</v>
      </c>
      <c r="BR552" t="s">
        <v>84</v>
      </c>
      <c r="BS552" s="3">
        <v>43776</v>
      </c>
      <c r="BT552" s="5">
        <v>0.35416666666666669</v>
      </c>
      <c r="BU552" t="s">
        <v>1021</v>
      </c>
      <c r="BV552" t="s">
        <v>86</v>
      </c>
      <c r="BY552">
        <v>6306.66</v>
      </c>
      <c r="CA552" t="s">
        <v>1022</v>
      </c>
      <c r="CC552" t="s">
        <v>579</v>
      </c>
      <c r="CD552">
        <v>7600</v>
      </c>
      <c r="CE552" t="s">
        <v>88</v>
      </c>
      <c r="CF552" s="3">
        <v>43777</v>
      </c>
      <c r="CI552">
        <v>1</v>
      </c>
      <c r="CJ552">
        <v>1</v>
      </c>
      <c r="CK552">
        <v>21</v>
      </c>
      <c r="CL552" t="s">
        <v>89</v>
      </c>
    </row>
    <row r="553" spans="1:90">
      <c r="A553" t="s">
        <v>72</v>
      </c>
      <c r="B553" t="s">
        <v>73</v>
      </c>
      <c r="C553" t="s">
        <v>74</v>
      </c>
      <c r="E553" t="str">
        <f>"009935723478"</f>
        <v>009935723478</v>
      </c>
      <c r="F553" s="3">
        <v>43775</v>
      </c>
      <c r="G553">
        <v>202005</v>
      </c>
      <c r="H553" t="s">
        <v>75</v>
      </c>
      <c r="I553" t="s">
        <v>76</v>
      </c>
      <c r="J553" t="s">
        <v>77</v>
      </c>
      <c r="K553" t="s">
        <v>78</v>
      </c>
      <c r="L553" t="s">
        <v>112</v>
      </c>
      <c r="M553" t="s">
        <v>113</v>
      </c>
      <c r="N553" t="s">
        <v>397</v>
      </c>
      <c r="O553" t="s">
        <v>82</v>
      </c>
      <c r="P553" t="str">
        <f>"1162721320                    "</f>
        <v xml:space="preserve">1162721320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36.46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6.1</v>
      </c>
      <c r="BJ553">
        <v>8.4</v>
      </c>
      <c r="BK553">
        <v>8.5</v>
      </c>
      <c r="BL553" s="4">
        <v>214.31</v>
      </c>
      <c r="BM553" s="4">
        <v>32.15</v>
      </c>
      <c r="BN553" s="4">
        <v>246.46</v>
      </c>
      <c r="BO553" s="4">
        <v>246.46</v>
      </c>
      <c r="BP553" t="s">
        <v>1040</v>
      </c>
      <c r="BQ553" t="s">
        <v>1041</v>
      </c>
      <c r="BR553" t="s">
        <v>84</v>
      </c>
      <c r="BS553" s="3">
        <v>43776</v>
      </c>
      <c r="BT553" s="5">
        <v>0.41736111111111113</v>
      </c>
      <c r="BU553" t="s">
        <v>398</v>
      </c>
      <c r="BV553" t="s">
        <v>86</v>
      </c>
      <c r="BY553">
        <v>42102.9</v>
      </c>
      <c r="CA553" t="s">
        <v>163</v>
      </c>
      <c r="CC553" t="s">
        <v>113</v>
      </c>
      <c r="CD553">
        <v>4051</v>
      </c>
      <c r="CE553" t="s">
        <v>88</v>
      </c>
      <c r="CF553" s="3">
        <v>43777</v>
      </c>
      <c r="CI553">
        <v>1</v>
      </c>
      <c r="CJ553">
        <v>1</v>
      </c>
      <c r="CK553">
        <v>21</v>
      </c>
      <c r="CL553" t="s">
        <v>89</v>
      </c>
    </row>
    <row r="554" spans="1:90">
      <c r="A554" t="s">
        <v>72</v>
      </c>
      <c r="B554" t="s">
        <v>73</v>
      </c>
      <c r="C554" t="s">
        <v>74</v>
      </c>
      <c r="E554" t="str">
        <f>"FES1162721523"</f>
        <v>FES1162721523</v>
      </c>
      <c r="F554" s="3">
        <v>43775</v>
      </c>
      <c r="G554">
        <v>202005</v>
      </c>
      <c r="H554" t="s">
        <v>75</v>
      </c>
      <c r="I554" t="s">
        <v>76</v>
      </c>
      <c r="J554" t="s">
        <v>77</v>
      </c>
      <c r="K554" t="s">
        <v>78</v>
      </c>
      <c r="L554" t="s">
        <v>296</v>
      </c>
      <c r="M554" t="s">
        <v>297</v>
      </c>
      <c r="N554" t="s">
        <v>298</v>
      </c>
      <c r="O554" t="s">
        <v>82</v>
      </c>
      <c r="P554" t="str">
        <f>"2170715527                    "</f>
        <v xml:space="preserve">2170715527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39.159999999999997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4.8</v>
      </c>
      <c r="BJ554">
        <v>1.2</v>
      </c>
      <c r="BK554">
        <v>5</v>
      </c>
      <c r="BL554" s="4">
        <v>230.2</v>
      </c>
      <c r="BM554" s="4">
        <v>34.53</v>
      </c>
      <c r="BN554" s="4">
        <v>264.73</v>
      </c>
      <c r="BO554" s="4">
        <v>264.73</v>
      </c>
      <c r="BQ554" t="s">
        <v>121</v>
      </c>
      <c r="BR554" t="s">
        <v>84</v>
      </c>
      <c r="BS554" s="3">
        <v>43777</v>
      </c>
      <c r="BT554" s="5">
        <v>0.35555555555555557</v>
      </c>
      <c r="BU554" t="s">
        <v>658</v>
      </c>
      <c r="BV554" t="s">
        <v>86</v>
      </c>
      <c r="BY554">
        <v>5965.27</v>
      </c>
      <c r="CA554" t="s">
        <v>300</v>
      </c>
      <c r="CC554" t="s">
        <v>297</v>
      </c>
      <c r="CD554">
        <v>6849</v>
      </c>
      <c r="CE554" t="s">
        <v>88</v>
      </c>
      <c r="CF554" s="3">
        <v>43780</v>
      </c>
      <c r="CI554">
        <v>3</v>
      </c>
      <c r="CJ554">
        <v>2</v>
      </c>
      <c r="CK554">
        <v>23</v>
      </c>
      <c r="CL554" t="s">
        <v>89</v>
      </c>
    </row>
    <row r="555" spans="1:90">
      <c r="A555" t="s">
        <v>72</v>
      </c>
      <c r="B555" t="s">
        <v>73</v>
      </c>
      <c r="C555" t="s">
        <v>74</v>
      </c>
      <c r="E555" t="str">
        <f>"FES1162721573"</f>
        <v>FES1162721573</v>
      </c>
      <c r="F555" s="3">
        <v>43775</v>
      </c>
      <c r="G555">
        <v>202005</v>
      </c>
      <c r="H555" t="s">
        <v>75</v>
      </c>
      <c r="I555" t="s">
        <v>76</v>
      </c>
      <c r="J555" t="s">
        <v>77</v>
      </c>
      <c r="K555" t="s">
        <v>78</v>
      </c>
      <c r="L555" t="s">
        <v>1042</v>
      </c>
      <c r="M555" t="s">
        <v>1043</v>
      </c>
      <c r="N555" t="s">
        <v>1044</v>
      </c>
      <c r="O555" t="s">
        <v>82</v>
      </c>
      <c r="P555" t="str">
        <f>"2170715718                    "</f>
        <v xml:space="preserve">2170715718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20.39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1.2</v>
      </c>
      <c r="BJ555">
        <v>2.1</v>
      </c>
      <c r="BK555">
        <v>2.5</v>
      </c>
      <c r="BL555" s="4">
        <v>119.83</v>
      </c>
      <c r="BM555" s="4">
        <v>17.97</v>
      </c>
      <c r="BN555" s="4">
        <v>137.80000000000001</v>
      </c>
      <c r="BO555" s="4">
        <v>137.80000000000001</v>
      </c>
      <c r="BQ555" t="s">
        <v>142</v>
      </c>
      <c r="BR555" t="s">
        <v>84</v>
      </c>
      <c r="BS555" s="3">
        <v>43776</v>
      </c>
      <c r="BT555" s="5">
        <v>0.53333333333333333</v>
      </c>
      <c r="BU555" t="s">
        <v>1045</v>
      </c>
      <c r="BV555" t="s">
        <v>86</v>
      </c>
      <c r="BY555">
        <v>10542.31</v>
      </c>
      <c r="CA555" t="s">
        <v>1046</v>
      </c>
      <c r="CC555" t="s">
        <v>1043</v>
      </c>
      <c r="CD555">
        <v>4399</v>
      </c>
      <c r="CE555" t="s">
        <v>88</v>
      </c>
      <c r="CF555" s="3">
        <v>43777</v>
      </c>
      <c r="CI555">
        <v>1</v>
      </c>
      <c r="CJ555">
        <v>1</v>
      </c>
      <c r="CK555">
        <v>23</v>
      </c>
      <c r="CL555" t="s">
        <v>89</v>
      </c>
    </row>
    <row r="556" spans="1:90">
      <c r="A556" t="s">
        <v>72</v>
      </c>
      <c r="B556" t="s">
        <v>73</v>
      </c>
      <c r="C556" t="s">
        <v>74</v>
      </c>
      <c r="E556" t="str">
        <f>"FES1162721577"</f>
        <v>FES1162721577</v>
      </c>
      <c r="F556" s="3">
        <v>43775</v>
      </c>
      <c r="G556">
        <v>202005</v>
      </c>
      <c r="H556" t="s">
        <v>75</v>
      </c>
      <c r="I556" t="s">
        <v>76</v>
      </c>
      <c r="J556" t="s">
        <v>77</v>
      </c>
      <c r="K556" t="s">
        <v>78</v>
      </c>
      <c r="L556" t="s">
        <v>118</v>
      </c>
      <c r="M556" t="s">
        <v>119</v>
      </c>
      <c r="N556" t="s">
        <v>248</v>
      </c>
      <c r="O556" t="s">
        <v>82</v>
      </c>
      <c r="P556" t="str">
        <f>"217075748                     "</f>
        <v xml:space="preserve">217075748 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8.58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 s="4">
        <v>50.45</v>
      </c>
      <c r="BM556" s="4">
        <v>7.57</v>
      </c>
      <c r="BN556" s="4">
        <v>58.02</v>
      </c>
      <c r="BO556" s="4">
        <v>58.02</v>
      </c>
      <c r="BQ556" t="s">
        <v>121</v>
      </c>
      <c r="BR556" t="s">
        <v>84</v>
      </c>
      <c r="BS556" s="3">
        <v>43776</v>
      </c>
      <c r="BT556" s="5">
        <v>0.38958333333333334</v>
      </c>
      <c r="BU556" t="s">
        <v>1047</v>
      </c>
      <c r="BV556" t="s">
        <v>86</v>
      </c>
      <c r="BY556">
        <v>1200</v>
      </c>
      <c r="CA556" t="s">
        <v>435</v>
      </c>
      <c r="CC556" t="s">
        <v>119</v>
      </c>
      <c r="CD556">
        <v>3212</v>
      </c>
      <c r="CE556" t="s">
        <v>147</v>
      </c>
      <c r="CF556" s="3">
        <v>43777</v>
      </c>
      <c r="CI556">
        <v>1</v>
      </c>
      <c r="CJ556">
        <v>1</v>
      </c>
      <c r="CK556">
        <v>21</v>
      </c>
      <c r="CL556" t="s">
        <v>89</v>
      </c>
    </row>
    <row r="557" spans="1:90">
      <c r="A557" t="s">
        <v>72</v>
      </c>
      <c r="B557" t="s">
        <v>73</v>
      </c>
      <c r="C557" t="s">
        <v>74</v>
      </c>
      <c r="E557" t="str">
        <f>"FES1162721525"</f>
        <v>FES1162721525</v>
      </c>
      <c r="F557" s="3">
        <v>43775</v>
      </c>
      <c r="G557">
        <v>202005</v>
      </c>
      <c r="H557" t="s">
        <v>75</v>
      </c>
      <c r="I557" t="s">
        <v>76</v>
      </c>
      <c r="J557" t="s">
        <v>77</v>
      </c>
      <c r="K557" t="s">
        <v>78</v>
      </c>
      <c r="L557" t="s">
        <v>1048</v>
      </c>
      <c r="M557" t="s">
        <v>1049</v>
      </c>
      <c r="N557" t="s">
        <v>1050</v>
      </c>
      <c r="O557" t="s">
        <v>82</v>
      </c>
      <c r="P557" t="str">
        <f>"2170715540                    "</f>
        <v xml:space="preserve">2170715540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30.03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3.7</v>
      </c>
      <c r="BJ557">
        <v>6.7</v>
      </c>
      <c r="BK557">
        <v>7</v>
      </c>
      <c r="BL557" s="4">
        <v>176.5</v>
      </c>
      <c r="BM557" s="4">
        <v>26.48</v>
      </c>
      <c r="BN557" s="4">
        <v>202.98</v>
      </c>
      <c r="BO557" s="4">
        <v>202.98</v>
      </c>
      <c r="BQ557" t="s">
        <v>121</v>
      </c>
      <c r="BR557" t="s">
        <v>84</v>
      </c>
      <c r="BS557" s="3">
        <v>43776</v>
      </c>
      <c r="BT557" s="5">
        <v>0.375</v>
      </c>
      <c r="BU557" t="s">
        <v>1051</v>
      </c>
      <c r="BV557" t="s">
        <v>86</v>
      </c>
      <c r="BY557">
        <v>33666.36</v>
      </c>
      <c r="CA557" t="s">
        <v>1052</v>
      </c>
      <c r="CC557" t="s">
        <v>1049</v>
      </c>
      <c r="CD557">
        <v>4120</v>
      </c>
      <c r="CE557" t="s">
        <v>88</v>
      </c>
      <c r="CI557">
        <v>1</v>
      </c>
      <c r="CJ557">
        <v>1</v>
      </c>
      <c r="CK557">
        <v>21</v>
      </c>
      <c r="CL557" t="s">
        <v>89</v>
      </c>
    </row>
    <row r="558" spans="1:90">
      <c r="A558" t="s">
        <v>72</v>
      </c>
      <c r="B558" t="s">
        <v>73</v>
      </c>
      <c r="C558" t="s">
        <v>74</v>
      </c>
      <c r="E558" t="str">
        <f>"FES1162721504"</f>
        <v>FES1162721504</v>
      </c>
      <c r="F558" s="3">
        <v>43775</v>
      </c>
      <c r="G558">
        <v>202005</v>
      </c>
      <c r="H558" t="s">
        <v>75</v>
      </c>
      <c r="I558" t="s">
        <v>76</v>
      </c>
      <c r="J558" t="s">
        <v>77</v>
      </c>
      <c r="K558" t="s">
        <v>78</v>
      </c>
      <c r="L558" t="s">
        <v>176</v>
      </c>
      <c r="M558" t="s">
        <v>177</v>
      </c>
      <c r="N558" t="s">
        <v>178</v>
      </c>
      <c r="O558" t="s">
        <v>82</v>
      </c>
      <c r="P558" t="str">
        <f>"2170714121                    "</f>
        <v xml:space="preserve">2170714121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8.58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 s="4">
        <v>50.45</v>
      </c>
      <c r="BM558" s="4">
        <v>7.57</v>
      </c>
      <c r="BN558" s="4">
        <v>58.02</v>
      </c>
      <c r="BO558" s="4">
        <v>58.02</v>
      </c>
      <c r="BQ558" t="s">
        <v>142</v>
      </c>
      <c r="BR558" t="s">
        <v>84</v>
      </c>
      <c r="BS558" s="3">
        <v>43776</v>
      </c>
      <c r="BT558" s="5">
        <v>0.36249999999999999</v>
      </c>
      <c r="BU558" t="s">
        <v>1053</v>
      </c>
      <c r="BV558" t="s">
        <v>86</v>
      </c>
      <c r="BY558">
        <v>1200</v>
      </c>
      <c r="CA558" t="s">
        <v>180</v>
      </c>
      <c r="CC558" t="s">
        <v>177</v>
      </c>
      <c r="CD558">
        <v>3610</v>
      </c>
      <c r="CE558" t="s">
        <v>147</v>
      </c>
      <c r="CF558" s="3">
        <v>43777</v>
      </c>
      <c r="CI558">
        <v>1</v>
      </c>
      <c r="CJ558">
        <v>1</v>
      </c>
      <c r="CK558">
        <v>21</v>
      </c>
      <c r="CL558" t="s">
        <v>89</v>
      </c>
    </row>
    <row r="559" spans="1:90">
      <c r="A559" t="s">
        <v>72</v>
      </c>
      <c r="B559" t="s">
        <v>73</v>
      </c>
      <c r="C559" t="s">
        <v>74</v>
      </c>
      <c r="E559" t="str">
        <f>"FES1162721548"</f>
        <v>FES1162721548</v>
      </c>
      <c r="F559" s="3">
        <v>43775</v>
      </c>
      <c r="G559">
        <v>202005</v>
      </c>
      <c r="H559" t="s">
        <v>75</v>
      </c>
      <c r="I559" t="s">
        <v>76</v>
      </c>
      <c r="J559" t="s">
        <v>77</v>
      </c>
      <c r="K559" t="s">
        <v>78</v>
      </c>
      <c r="L559" t="s">
        <v>482</v>
      </c>
      <c r="M559" t="s">
        <v>483</v>
      </c>
      <c r="N559" t="s">
        <v>1054</v>
      </c>
      <c r="O559" t="s">
        <v>82</v>
      </c>
      <c r="P559" t="str">
        <f>"2170715734                    "</f>
        <v xml:space="preserve">2170715734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6.71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 s="4">
        <v>39.42</v>
      </c>
      <c r="BM559" s="4">
        <v>5.91</v>
      </c>
      <c r="BN559" s="4">
        <v>45.33</v>
      </c>
      <c r="BO559" s="4">
        <v>45.33</v>
      </c>
      <c r="BQ559" t="s">
        <v>109</v>
      </c>
      <c r="BR559" t="s">
        <v>84</v>
      </c>
      <c r="BS559" s="3">
        <v>43776</v>
      </c>
      <c r="BT559" s="5">
        <v>0.36388888888888887</v>
      </c>
      <c r="BU559" t="s">
        <v>1055</v>
      </c>
      <c r="BV559" t="s">
        <v>86</v>
      </c>
      <c r="BY559">
        <v>1200</v>
      </c>
      <c r="CA559" t="s">
        <v>486</v>
      </c>
      <c r="CC559" t="s">
        <v>483</v>
      </c>
      <c r="CD559">
        <v>1459</v>
      </c>
      <c r="CE559" t="s">
        <v>147</v>
      </c>
      <c r="CF559" s="3">
        <v>43777</v>
      </c>
      <c r="CI559">
        <v>1</v>
      </c>
      <c r="CJ559">
        <v>1</v>
      </c>
      <c r="CK559">
        <v>22</v>
      </c>
      <c r="CL559" t="s">
        <v>89</v>
      </c>
    </row>
    <row r="560" spans="1:90">
      <c r="A560" t="s">
        <v>72</v>
      </c>
      <c r="B560" t="s">
        <v>73</v>
      </c>
      <c r="C560" t="s">
        <v>74</v>
      </c>
      <c r="E560" t="str">
        <f>"FES1162721419"</f>
        <v>FES1162721419</v>
      </c>
      <c r="F560" s="3">
        <v>43775</v>
      </c>
      <c r="G560">
        <v>202005</v>
      </c>
      <c r="H560" t="s">
        <v>75</v>
      </c>
      <c r="I560" t="s">
        <v>76</v>
      </c>
      <c r="J560" t="s">
        <v>77</v>
      </c>
      <c r="K560" t="s">
        <v>78</v>
      </c>
      <c r="L560" t="s">
        <v>106</v>
      </c>
      <c r="M560" t="s">
        <v>107</v>
      </c>
      <c r="N560" t="s">
        <v>128</v>
      </c>
      <c r="O560" t="s">
        <v>82</v>
      </c>
      <c r="P560" t="str">
        <f>"2170713163                    "</f>
        <v xml:space="preserve">2170713163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38.6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4.3</v>
      </c>
      <c r="BJ560">
        <v>8.6999999999999993</v>
      </c>
      <c r="BK560">
        <v>9</v>
      </c>
      <c r="BL560" s="4">
        <v>226.91</v>
      </c>
      <c r="BM560" s="4">
        <v>34.04</v>
      </c>
      <c r="BN560" s="4">
        <v>260.95</v>
      </c>
      <c r="BO560" s="4">
        <v>260.95</v>
      </c>
      <c r="BQ560" t="s">
        <v>121</v>
      </c>
      <c r="BR560" t="s">
        <v>84</v>
      </c>
      <c r="BS560" s="3">
        <v>43776</v>
      </c>
      <c r="BT560" s="5">
        <v>0.33888888888888885</v>
      </c>
      <c r="BU560" t="s">
        <v>1056</v>
      </c>
      <c r="BV560" t="s">
        <v>86</v>
      </c>
      <c r="BY560">
        <v>43415.040000000001</v>
      </c>
      <c r="CA560" t="s">
        <v>854</v>
      </c>
      <c r="CC560" t="s">
        <v>107</v>
      </c>
      <c r="CD560">
        <v>6001</v>
      </c>
      <c r="CE560" t="s">
        <v>88</v>
      </c>
      <c r="CF560" s="3">
        <v>43777</v>
      </c>
      <c r="CI560">
        <v>1</v>
      </c>
      <c r="CJ560">
        <v>1</v>
      </c>
      <c r="CK560">
        <v>21</v>
      </c>
      <c r="CL560" t="s">
        <v>89</v>
      </c>
    </row>
    <row r="561" spans="1:90">
      <c r="A561" t="s">
        <v>72</v>
      </c>
      <c r="B561" t="s">
        <v>73</v>
      </c>
      <c r="C561" t="s">
        <v>74</v>
      </c>
      <c r="E561" t="str">
        <f>"FES1162721544"</f>
        <v>FES1162721544</v>
      </c>
      <c r="F561" s="3">
        <v>43775</v>
      </c>
      <c r="G561">
        <v>202005</v>
      </c>
      <c r="H561" t="s">
        <v>75</v>
      </c>
      <c r="I561" t="s">
        <v>76</v>
      </c>
      <c r="J561" t="s">
        <v>77</v>
      </c>
      <c r="K561" t="s">
        <v>78</v>
      </c>
      <c r="L561" t="s">
        <v>1057</v>
      </c>
      <c r="M561" t="s">
        <v>1058</v>
      </c>
      <c r="N561" t="s">
        <v>1059</v>
      </c>
      <c r="O561" t="s">
        <v>82</v>
      </c>
      <c r="P561" t="str">
        <f>"217071530                     "</f>
        <v xml:space="preserve">217071530 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16.63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 s="4">
        <v>97.75</v>
      </c>
      <c r="BM561" s="4">
        <v>14.66</v>
      </c>
      <c r="BN561" s="4">
        <v>112.41</v>
      </c>
      <c r="BO561" s="4">
        <v>112.41</v>
      </c>
      <c r="BQ561" t="s">
        <v>1060</v>
      </c>
      <c r="BR561" t="s">
        <v>84</v>
      </c>
      <c r="BS561" s="3">
        <v>43776</v>
      </c>
      <c r="BT561" s="5">
        <v>0.625</v>
      </c>
      <c r="BU561" t="s">
        <v>1061</v>
      </c>
      <c r="BV561" t="s">
        <v>86</v>
      </c>
      <c r="BY561">
        <v>1200</v>
      </c>
      <c r="CC561" t="s">
        <v>1058</v>
      </c>
      <c r="CD561">
        <v>6139</v>
      </c>
      <c r="CE561" t="s">
        <v>147</v>
      </c>
      <c r="CF561" s="3">
        <v>43782</v>
      </c>
      <c r="CI561">
        <v>3</v>
      </c>
      <c r="CJ561">
        <v>1</v>
      </c>
      <c r="CK561">
        <v>23</v>
      </c>
      <c r="CL561" t="s">
        <v>89</v>
      </c>
    </row>
    <row r="562" spans="1:90">
      <c r="A562" t="s">
        <v>72</v>
      </c>
      <c r="B562" t="s">
        <v>73</v>
      </c>
      <c r="C562" t="s">
        <v>74</v>
      </c>
      <c r="E562" t="str">
        <f>"FES1162721515"</f>
        <v>FES1162721515</v>
      </c>
      <c r="F562" s="3">
        <v>43775</v>
      </c>
      <c r="G562">
        <v>202005</v>
      </c>
      <c r="H562" t="s">
        <v>75</v>
      </c>
      <c r="I562" t="s">
        <v>76</v>
      </c>
      <c r="J562" t="s">
        <v>77</v>
      </c>
      <c r="K562" t="s">
        <v>78</v>
      </c>
      <c r="L562" t="s">
        <v>691</v>
      </c>
      <c r="M562" t="s">
        <v>692</v>
      </c>
      <c r="N562" t="s">
        <v>693</v>
      </c>
      <c r="O562" t="s">
        <v>82</v>
      </c>
      <c r="P562" t="str">
        <f>"2170714781                    "</f>
        <v xml:space="preserve">2170714781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6.71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 s="4">
        <v>39.42</v>
      </c>
      <c r="BM562" s="4">
        <v>5.91</v>
      </c>
      <c r="BN562" s="4">
        <v>45.33</v>
      </c>
      <c r="BO562" s="4">
        <v>45.33</v>
      </c>
      <c r="BQ562" t="s">
        <v>142</v>
      </c>
      <c r="BR562" t="s">
        <v>84</v>
      </c>
      <c r="BS562" s="3">
        <v>43776</v>
      </c>
      <c r="BT562" s="5">
        <v>0.375</v>
      </c>
      <c r="BU562" t="s">
        <v>694</v>
      </c>
      <c r="BV562" t="s">
        <v>86</v>
      </c>
      <c r="BY562">
        <v>1200</v>
      </c>
      <c r="CC562" t="s">
        <v>692</v>
      </c>
      <c r="CD562">
        <v>1559</v>
      </c>
      <c r="CE562" t="s">
        <v>147</v>
      </c>
      <c r="CF562" s="3">
        <v>43777</v>
      </c>
      <c r="CI562">
        <v>1</v>
      </c>
      <c r="CJ562">
        <v>1</v>
      </c>
      <c r="CK562">
        <v>22</v>
      </c>
      <c r="CL562" t="s">
        <v>89</v>
      </c>
    </row>
    <row r="563" spans="1:90">
      <c r="A563" t="s">
        <v>72</v>
      </c>
      <c r="B563" t="s">
        <v>73</v>
      </c>
      <c r="C563" t="s">
        <v>74</v>
      </c>
      <c r="E563" t="str">
        <f>"FES1162721502"</f>
        <v>FES1162721502</v>
      </c>
      <c r="F563" s="3">
        <v>43775</v>
      </c>
      <c r="G563">
        <v>202005</v>
      </c>
      <c r="H563" t="s">
        <v>75</v>
      </c>
      <c r="I563" t="s">
        <v>76</v>
      </c>
      <c r="J563" t="s">
        <v>77</v>
      </c>
      <c r="K563" t="s">
        <v>78</v>
      </c>
      <c r="L563" t="s">
        <v>202</v>
      </c>
      <c r="M563" t="s">
        <v>203</v>
      </c>
      <c r="N563" t="s">
        <v>204</v>
      </c>
      <c r="O563" t="s">
        <v>82</v>
      </c>
      <c r="P563" t="str">
        <f>"2170714104                    "</f>
        <v xml:space="preserve">2170714104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7.51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2.5</v>
      </c>
      <c r="BJ563">
        <v>0.7</v>
      </c>
      <c r="BK563">
        <v>2.5</v>
      </c>
      <c r="BL563" s="4">
        <v>44.14</v>
      </c>
      <c r="BM563" s="4">
        <v>6.62</v>
      </c>
      <c r="BN563" s="4">
        <v>50.76</v>
      </c>
      <c r="BO563" s="4">
        <v>50.76</v>
      </c>
      <c r="BQ563" t="s">
        <v>121</v>
      </c>
      <c r="BR563" t="s">
        <v>84</v>
      </c>
      <c r="BS563" s="3">
        <v>43776</v>
      </c>
      <c r="BT563" s="5">
        <v>0.39097222222222222</v>
      </c>
      <c r="BU563" t="s">
        <v>1062</v>
      </c>
      <c r="BV563" t="s">
        <v>86</v>
      </c>
      <c r="BY563">
        <v>3748.53</v>
      </c>
      <c r="CA563" t="s">
        <v>123</v>
      </c>
      <c r="CC563" t="s">
        <v>203</v>
      </c>
      <c r="CD563">
        <v>1422</v>
      </c>
      <c r="CE563" t="s">
        <v>88</v>
      </c>
      <c r="CF563" s="3">
        <v>43777</v>
      </c>
      <c r="CI563">
        <v>1</v>
      </c>
      <c r="CJ563">
        <v>1</v>
      </c>
      <c r="CK563">
        <v>22</v>
      </c>
      <c r="CL563" t="s">
        <v>89</v>
      </c>
    </row>
    <row r="564" spans="1:90">
      <c r="A564" t="s">
        <v>72</v>
      </c>
      <c r="B564" t="s">
        <v>73</v>
      </c>
      <c r="C564" t="s">
        <v>74</v>
      </c>
      <c r="E564" t="str">
        <f>"FES1162720543"</f>
        <v>FES1162720543</v>
      </c>
      <c r="F564" s="3">
        <v>43775</v>
      </c>
      <c r="G564">
        <v>202005</v>
      </c>
      <c r="H564" t="s">
        <v>75</v>
      </c>
      <c r="I564" t="s">
        <v>76</v>
      </c>
      <c r="J564" t="s">
        <v>77</v>
      </c>
      <c r="K564" t="s">
        <v>78</v>
      </c>
      <c r="L564" t="s">
        <v>1063</v>
      </c>
      <c r="M564" t="s">
        <v>1064</v>
      </c>
      <c r="N564" t="s">
        <v>1065</v>
      </c>
      <c r="O564" t="s">
        <v>82</v>
      </c>
      <c r="P564" t="str">
        <f>"2170713066                    "</f>
        <v xml:space="preserve">2170713066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12.07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 s="4">
        <v>70.95</v>
      </c>
      <c r="BM564" s="4">
        <v>10.64</v>
      </c>
      <c r="BN564" s="4">
        <v>81.59</v>
      </c>
      <c r="BO564" s="4">
        <v>81.59</v>
      </c>
      <c r="BR564" t="s">
        <v>84</v>
      </c>
      <c r="BS564" s="3">
        <v>43776</v>
      </c>
      <c r="BT564" s="5">
        <v>0.33611111111111108</v>
      </c>
      <c r="BU564" t="s">
        <v>1066</v>
      </c>
      <c r="BV564" t="s">
        <v>86</v>
      </c>
      <c r="BY564">
        <v>1200</v>
      </c>
      <c r="CA564" t="s">
        <v>1067</v>
      </c>
      <c r="CC564" t="s">
        <v>1064</v>
      </c>
      <c r="CD564">
        <v>1779</v>
      </c>
      <c r="CE564" t="s">
        <v>147</v>
      </c>
      <c r="CF564" s="3">
        <v>43777</v>
      </c>
      <c r="CI564">
        <v>1</v>
      </c>
      <c r="CJ564">
        <v>1</v>
      </c>
      <c r="CK564">
        <v>24</v>
      </c>
      <c r="CL564" t="s">
        <v>89</v>
      </c>
    </row>
    <row r="565" spans="1:90">
      <c r="A565" t="s">
        <v>72</v>
      </c>
      <c r="B565" t="s">
        <v>73</v>
      </c>
      <c r="C565" t="s">
        <v>74</v>
      </c>
      <c r="E565" t="str">
        <f>"FES1162721394"</f>
        <v>FES1162721394</v>
      </c>
      <c r="F565" s="3">
        <v>43775</v>
      </c>
      <c r="G565">
        <v>202005</v>
      </c>
      <c r="H565" t="s">
        <v>75</v>
      </c>
      <c r="I565" t="s">
        <v>76</v>
      </c>
      <c r="J565" t="s">
        <v>77</v>
      </c>
      <c r="K565" t="s">
        <v>78</v>
      </c>
      <c r="L565" t="s">
        <v>482</v>
      </c>
      <c r="M565" t="s">
        <v>483</v>
      </c>
      <c r="N565" t="s">
        <v>544</v>
      </c>
      <c r="O565" t="s">
        <v>82</v>
      </c>
      <c r="P565" t="str">
        <f>"2170715360                    "</f>
        <v xml:space="preserve">2170715360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6.71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 s="4">
        <v>39.42</v>
      </c>
      <c r="BM565" s="4">
        <v>5.91</v>
      </c>
      <c r="BN565" s="4">
        <v>45.33</v>
      </c>
      <c r="BO565" s="4">
        <v>45.33</v>
      </c>
      <c r="BQ565" t="s">
        <v>545</v>
      </c>
      <c r="BR565" t="s">
        <v>84</v>
      </c>
      <c r="BS565" s="3">
        <v>43776</v>
      </c>
      <c r="BT565" s="5">
        <v>0.40972222222222227</v>
      </c>
      <c r="BU565" t="s">
        <v>1068</v>
      </c>
      <c r="BV565" t="s">
        <v>86</v>
      </c>
      <c r="BY565">
        <v>1200</v>
      </c>
      <c r="CA565" t="s">
        <v>123</v>
      </c>
      <c r="CC565" t="s">
        <v>483</v>
      </c>
      <c r="CD565">
        <v>1459</v>
      </c>
      <c r="CE565" t="s">
        <v>147</v>
      </c>
      <c r="CF565" s="3">
        <v>43777</v>
      </c>
      <c r="CI565">
        <v>1</v>
      </c>
      <c r="CJ565">
        <v>1</v>
      </c>
      <c r="CK565">
        <v>22</v>
      </c>
      <c r="CL565" t="s">
        <v>89</v>
      </c>
    </row>
    <row r="566" spans="1:90">
      <c r="A566" t="s">
        <v>72</v>
      </c>
      <c r="B566" t="s">
        <v>73</v>
      </c>
      <c r="C566" t="s">
        <v>74</v>
      </c>
      <c r="E566" t="str">
        <f>"FES1162721466"</f>
        <v>FES1162721466</v>
      </c>
      <c r="F566" s="3">
        <v>43775</v>
      </c>
      <c r="G566">
        <v>202005</v>
      </c>
      <c r="H566" t="s">
        <v>75</v>
      </c>
      <c r="I566" t="s">
        <v>76</v>
      </c>
      <c r="J566" t="s">
        <v>77</v>
      </c>
      <c r="K566" t="s">
        <v>78</v>
      </c>
      <c r="L566" t="s">
        <v>112</v>
      </c>
      <c r="M566" t="s">
        <v>113</v>
      </c>
      <c r="N566" t="s">
        <v>620</v>
      </c>
      <c r="O566" t="s">
        <v>82</v>
      </c>
      <c r="P566" t="str">
        <f>"2170713710                    "</f>
        <v xml:space="preserve">2170713710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8.58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0.5</v>
      </c>
      <c r="BJ566">
        <v>0.9</v>
      </c>
      <c r="BK566">
        <v>1</v>
      </c>
      <c r="BL566" s="4">
        <v>50.45</v>
      </c>
      <c r="BM566" s="4">
        <v>7.57</v>
      </c>
      <c r="BN566" s="4">
        <v>58.02</v>
      </c>
      <c r="BO566" s="4">
        <v>58.02</v>
      </c>
      <c r="BQ566" t="s">
        <v>109</v>
      </c>
      <c r="BR566" t="s">
        <v>84</v>
      </c>
      <c r="BS566" s="3">
        <v>43776</v>
      </c>
      <c r="BT566" s="5">
        <v>0.33611111111111108</v>
      </c>
      <c r="BU566" t="s">
        <v>1069</v>
      </c>
      <c r="BV566" t="s">
        <v>86</v>
      </c>
      <c r="BY566">
        <v>4692</v>
      </c>
      <c r="CA566" t="s">
        <v>255</v>
      </c>
      <c r="CC566" t="s">
        <v>113</v>
      </c>
      <c r="CD566">
        <v>4302</v>
      </c>
      <c r="CE566" t="s">
        <v>88</v>
      </c>
      <c r="CF566" s="3">
        <v>43777</v>
      </c>
      <c r="CI566">
        <v>1</v>
      </c>
      <c r="CJ566">
        <v>1</v>
      </c>
      <c r="CK566">
        <v>21</v>
      </c>
      <c r="CL566" t="s">
        <v>89</v>
      </c>
    </row>
    <row r="567" spans="1:90">
      <c r="A567" t="s">
        <v>72</v>
      </c>
      <c r="B567" t="s">
        <v>73</v>
      </c>
      <c r="C567" t="s">
        <v>74</v>
      </c>
      <c r="E567" t="str">
        <f>"FES1162721595"</f>
        <v>FES1162721595</v>
      </c>
      <c r="F567" s="3">
        <v>43775</v>
      </c>
      <c r="G567">
        <v>202005</v>
      </c>
      <c r="H567" t="s">
        <v>75</v>
      </c>
      <c r="I567" t="s">
        <v>76</v>
      </c>
      <c r="J567" t="s">
        <v>77</v>
      </c>
      <c r="K567" t="s">
        <v>78</v>
      </c>
      <c r="L567" t="s">
        <v>251</v>
      </c>
      <c r="M567" t="s">
        <v>252</v>
      </c>
      <c r="N567" t="s">
        <v>1070</v>
      </c>
      <c r="O567" t="s">
        <v>82</v>
      </c>
      <c r="P567" t="str">
        <f>"2170715769                    "</f>
        <v xml:space="preserve">2170715769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8.58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 s="4">
        <v>50.45</v>
      </c>
      <c r="BM567" s="4">
        <v>7.57</v>
      </c>
      <c r="BN567" s="4">
        <v>58.02</v>
      </c>
      <c r="BO567" s="4">
        <v>58.02</v>
      </c>
      <c r="BQ567" t="s">
        <v>142</v>
      </c>
      <c r="BR567" t="s">
        <v>84</v>
      </c>
      <c r="BS567" s="3">
        <v>43776</v>
      </c>
      <c r="BT567" s="5">
        <v>0.41805555555555557</v>
      </c>
      <c r="BU567" t="s">
        <v>1071</v>
      </c>
      <c r="BV567" t="s">
        <v>86</v>
      </c>
      <c r="BY567">
        <v>1200</v>
      </c>
      <c r="CA567" t="s">
        <v>255</v>
      </c>
      <c r="CC567" t="s">
        <v>252</v>
      </c>
      <c r="CD567">
        <v>4133</v>
      </c>
      <c r="CE567" t="s">
        <v>147</v>
      </c>
      <c r="CF567" s="3">
        <v>43777</v>
      </c>
      <c r="CI567">
        <v>1</v>
      </c>
      <c r="CJ567">
        <v>1</v>
      </c>
      <c r="CK567">
        <v>21</v>
      </c>
      <c r="CL567" t="s">
        <v>89</v>
      </c>
    </row>
    <row r="568" spans="1:90">
      <c r="A568" t="s">
        <v>72</v>
      </c>
      <c r="B568" t="s">
        <v>73</v>
      </c>
      <c r="C568" t="s">
        <v>74</v>
      </c>
      <c r="E568" t="str">
        <f>"FES1162721623"</f>
        <v>FES1162721623</v>
      </c>
      <c r="F568" s="3">
        <v>43775</v>
      </c>
      <c r="G568">
        <v>202005</v>
      </c>
      <c r="H568" t="s">
        <v>75</v>
      </c>
      <c r="I568" t="s">
        <v>76</v>
      </c>
      <c r="J568" t="s">
        <v>77</v>
      </c>
      <c r="K568" t="s">
        <v>78</v>
      </c>
      <c r="L568" t="s">
        <v>75</v>
      </c>
      <c r="M568" t="s">
        <v>76</v>
      </c>
      <c r="N568" t="s">
        <v>199</v>
      </c>
      <c r="O568" t="s">
        <v>82</v>
      </c>
      <c r="P568" t="str">
        <f>"217071818                     "</f>
        <v xml:space="preserve">217071818 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6.71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 s="4">
        <v>39.42</v>
      </c>
      <c r="BM568" s="4">
        <v>5.91</v>
      </c>
      <c r="BN568" s="4">
        <v>45.33</v>
      </c>
      <c r="BO568" s="4">
        <v>45.33</v>
      </c>
      <c r="BQ568" t="s">
        <v>200</v>
      </c>
      <c r="BR568" t="s">
        <v>84</v>
      </c>
      <c r="BS568" s="3">
        <v>43776</v>
      </c>
      <c r="BT568" s="5">
        <v>0.32430555555555557</v>
      </c>
      <c r="BU568" t="s">
        <v>1072</v>
      </c>
      <c r="BV568" t="s">
        <v>86</v>
      </c>
      <c r="BY568">
        <v>1200</v>
      </c>
      <c r="CA568" t="s">
        <v>368</v>
      </c>
      <c r="CC568" t="s">
        <v>76</v>
      </c>
      <c r="CD568">
        <v>1600</v>
      </c>
      <c r="CE568" t="s">
        <v>147</v>
      </c>
      <c r="CF568" s="3">
        <v>43777</v>
      </c>
      <c r="CI568">
        <v>1</v>
      </c>
      <c r="CJ568">
        <v>1</v>
      </c>
      <c r="CK568">
        <v>22</v>
      </c>
      <c r="CL568" t="s">
        <v>89</v>
      </c>
    </row>
    <row r="569" spans="1:90">
      <c r="A569" t="s">
        <v>72</v>
      </c>
      <c r="B569" t="s">
        <v>73</v>
      </c>
      <c r="C569" t="s">
        <v>74</v>
      </c>
      <c r="E569" t="str">
        <f>"FES1162721668"</f>
        <v>FES1162721668</v>
      </c>
      <c r="F569" s="3">
        <v>43775</v>
      </c>
      <c r="G569">
        <v>202005</v>
      </c>
      <c r="H569" t="s">
        <v>75</v>
      </c>
      <c r="I569" t="s">
        <v>76</v>
      </c>
      <c r="J569" t="s">
        <v>77</v>
      </c>
      <c r="K569" t="s">
        <v>78</v>
      </c>
      <c r="L569" t="s">
        <v>90</v>
      </c>
      <c r="M569" t="s">
        <v>91</v>
      </c>
      <c r="N569" t="s">
        <v>527</v>
      </c>
      <c r="O569" t="s">
        <v>82</v>
      </c>
      <c r="P569" t="str">
        <f>"2170715885                    "</f>
        <v xml:space="preserve">2170715885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8.58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 s="4">
        <v>50.45</v>
      </c>
      <c r="BM569" s="4">
        <v>7.57</v>
      </c>
      <c r="BN569" s="4">
        <v>58.02</v>
      </c>
      <c r="BO569" s="4">
        <v>58.02</v>
      </c>
      <c r="BQ569" t="s">
        <v>109</v>
      </c>
      <c r="BR569" t="s">
        <v>84</v>
      </c>
      <c r="BS569" s="3">
        <v>43776</v>
      </c>
      <c r="BT569" s="5">
        <v>0.32083333333333336</v>
      </c>
      <c r="BU569" t="s">
        <v>1073</v>
      </c>
      <c r="BV569" t="s">
        <v>86</v>
      </c>
      <c r="BY569">
        <v>1200</v>
      </c>
      <c r="CA569" t="s">
        <v>221</v>
      </c>
      <c r="CC569" t="s">
        <v>91</v>
      </c>
      <c r="CD569">
        <v>7405</v>
      </c>
      <c r="CE569" t="s">
        <v>147</v>
      </c>
      <c r="CF569" s="3">
        <v>43777</v>
      </c>
      <c r="CI569">
        <v>1</v>
      </c>
      <c r="CJ569">
        <v>1</v>
      </c>
      <c r="CK569">
        <v>21</v>
      </c>
      <c r="CL569" t="s">
        <v>89</v>
      </c>
    </row>
    <row r="570" spans="1:90">
      <c r="A570" t="s">
        <v>72</v>
      </c>
      <c r="B570" t="s">
        <v>73</v>
      </c>
      <c r="C570" t="s">
        <v>74</v>
      </c>
      <c r="E570" t="str">
        <f>"FES1162721554"</f>
        <v>FES1162721554</v>
      </c>
      <c r="F570" s="3">
        <v>43775</v>
      </c>
      <c r="G570">
        <v>202005</v>
      </c>
      <c r="H570" t="s">
        <v>75</v>
      </c>
      <c r="I570" t="s">
        <v>76</v>
      </c>
      <c r="J570" t="s">
        <v>77</v>
      </c>
      <c r="K570" t="s">
        <v>78</v>
      </c>
      <c r="L570" t="s">
        <v>202</v>
      </c>
      <c r="M570" t="s">
        <v>203</v>
      </c>
      <c r="N570" t="s">
        <v>204</v>
      </c>
      <c r="O570" t="s">
        <v>82</v>
      </c>
      <c r="P570" t="str">
        <f>"2170714101                    "</f>
        <v xml:space="preserve">2170714101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6.71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 s="4">
        <v>39.42</v>
      </c>
      <c r="BM570" s="4">
        <v>5.91</v>
      </c>
      <c r="BN570" s="4">
        <v>45.33</v>
      </c>
      <c r="BO570" s="4">
        <v>45.33</v>
      </c>
      <c r="BQ570" t="s">
        <v>1074</v>
      </c>
      <c r="BR570" t="s">
        <v>84</v>
      </c>
      <c r="BS570" s="3">
        <v>43776</v>
      </c>
      <c r="BT570" s="5">
        <v>0.39097222222222222</v>
      </c>
      <c r="BU570" t="s">
        <v>1062</v>
      </c>
      <c r="BV570" t="s">
        <v>86</v>
      </c>
      <c r="BY570">
        <v>1200</v>
      </c>
      <c r="CA570" t="s">
        <v>123</v>
      </c>
      <c r="CC570" t="s">
        <v>203</v>
      </c>
      <c r="CD570">
        <v>1422</v>
      </c>
      <c r="CE570" t="s">
        <v>147</v>
      </c>
      <c r="CF570" s="3">
        <v>43777</v>
      </c>
      <c r="CI570">
        <v>1</v>
      </c>
      <c r="CJ570">
        <v>1</v>
      </c>
      <c r="CK570">
        <v>22</v>
      </c>
      <c r="CL570" t="s">
        <v>89</v>
      </c>
    </row>
    <row r="571" spans="1:90">
      <c r="A571" t="s">
        <v>72</v>
      </c>
      <c r="B571" t="s">
        <v>73</v>
      </c>
      <c r="C571" t="s">
        <v>74</v>
      </c>
      <c r="E571" t="str">
        <f>"FES1162721684"</f>
        <v>FES1162721684</v>
      </c>
      <c r="F571" s="3">
        <v>43775</v>
      </c>
      <c r="G571">
        <v>202005</v>
      </c>
      <c r="H571" t="s">
        <v>75</v>
      </c>
      <c r="I571" t="s">
        <v>76</v>
      </c>
      <c r="J571" t="s">
        <v>77</v>
      </c>
      <c r="K571" t="s">
        <v>78</v>
      </c>
      <c r="L571" t="s">
        <v>106</v>
      </c>
      <c r="M571" t="s">
        <v>107</v>
      </c>
      <c r="N571" t="s">
        <v>395</v>
      </c>
      <c r="O571" t="s">
        <v>82</v>
      </c>
      <c r="P571" t="str">
        <f>"2170715908                    "</f>
        <v xml:space="preserve">2170715908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8.58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 s="4">
        <v>50.45</v>
      </c>
      <c r="BM571" s="4">
        <v>7.57</v>
      </c>
      <c r="BN571" s="4">
        <v>58.02</v>
      </c>
      <c r="BO571" s="4">
        <v>58.02</v>
      </c>
      <c r="BQ571" t="s">
        <v>121</v>
      </c>
      <c r="BR571" t="s">
        <v>84</v>
      </c>
      <c r="BS571" s="3">
        <v>43776</v>
      </c>
      <c r="BT571" s="5">
        <v>0.39027777777777778</v>
      </c>
      <c r="BU571" t="s">
        <v>396</v>
      </c>
      <c r="BV571" t="s">
        <v>86</v>
      </c>
      <c r="BY571">
        <v>1200</v>
      </c>
      <c r="CA571" t="s">
        <v>244</v>
      </c>
      <c r="CC571" t="s">
        <v>107</v>
      </c>
      <c r="CD571">
        <v>6001</v>
      </c>
      <c r="CE571" t="s">
        <v>147</v>
      </c>
      <c r="CF571" s="3">
        <v>43777</v>
      </c>
      <c r="CI571">
        <v>1</v>
      </c>
      <c r="CJ571">
        <v>1</v>
      </c>
      <c r="CK571">
        <v>21</v>
      </c>
      <c r="CL571" t="s">
        <v>89</v>
      </c>
    </row>
    <row r="572" spans="1:90">
      <c r="A572" t="s">
        <v>72</v>
      </c>
      <c r="B572" t="s">
        <v>73</v>
      </c>
      <c r="C572" t="s">
        <v>74</v>
      </c>
      <c r="E572" t="str">
        <f>"FES1162721601"</f>
        <v>FES1162721601</v>
      </c>
      <c r="F572" s="3">
        <v>43775</v>
      </c>
      <c r="G572">
        <v>202005</v>
      </c>
      <c r="H572" t="s">
        <v>75</v>
      </c>
      <c r="I572" t="s">
        <v>76</v>
      </c>
      <c r="J572" t="s">
        <v>77</v>
      </c>
      <c r="K572" t="s">
        <v>78</v>
      </c>
      <c r="L572" t="s">
        <v>75</v>
      </c>
      <c r="M572" t="s">
        <v>76</v>
      </c>
      <c r="N572" t="s">
        <v>360</v>
      </c>
      <c r="O572" t="s">
        <v>82</v>
      </c>
      <c r="P572" t="str">
        <f>"2170715783                    "</f>
        <v xml:space="preserve">2170715783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6.71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 s="4">
        <v>39.42</v>
      </c>
      <c r="BM572" s="4">
        <v>5.91</v>
      </c>
      <c r="BN572" s="4">
        <v>45.33</v>
      </c>
      <c r="BO572" s="4">
        <v>45.33</v>
      </c>
      <c r="BQ572" t="s">
        <v>109</v>
      </c>
      <c r="BR572" t="s">
        <v>84</v>
      </c>
      <c r="BS572" s="3">
        <v>43776</v>
      </c>
      <c r="BT572" s="5">
        <v>0.4375</v>
      </c>
      <c r="BU572" t="s">
        <v>1075</v>
      </c>
      <c r="BV572" t="s">
        <v>86</v>
      </c>
      <c r="BY572">
        <v>1200</v>
      </c>
      <c r="CA572" t="s">
        <v>797</v>
      </c>
      <c r="CC572" t="s">
        <v>76</v>
      </c>
      <c r="CD572">
        <v>1645</v>
      </c>
      <c r="CE572" t="s">
        <v>147</v>
      </c>
      <c r="CF572" s="3">
        <v>43777</v>
      </c>
      <c r="CI572">
        <v>1</v>
      </c>
      <c r="CJ572">
        <v>1</v>
      </c>
      <c r="CK572">
        <v>22</v>
      </c>
      <c r="CL572" t="s">
        <v>89</v>
      </c>
    </row>
    <row r="573" spans="1:90">
      <c r="A573" t="s">
        <v>72</v>
      </c>
      <c r="B573" t="s">
        <v>73</v>
      </c>
      <c r="C573" t="s">
        <v>74</v>
      </c>
      <c r="E573" t="str">
        <f>"FES1162721604"</f>
        <v>FES1162721604</v>
      </c>
      <c r="F573" s="3">
        <v>43775</v>
      </c>
      <c r="G573">
        <v>202005</v>
      </c>
      <c r="H573" t="s">
        <v>75</v>
      </c>
      <c r="I573" t="s">
        <v>76</v>
      </c>
      <c r="J573" t="s">
        <v>77</v>
      </c>
      <c r="K573" t="s">
        <v>78</v>
      </c>
      <c r="L573" t="s">
        <v>112</v>
      </c>
      <c r="M573" t="s">
        <v>113</v>
      </c>
      <c r="N573" t="s">
        <v>397</v>
      </c>
      <c r="O573" t="s">
        <v>82</v>
      </c>
      <c r="P573" t="str">
        <f>"2170715787                    "</f>
        <v xml:space="preserve">2170715787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8.58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 s="4">
        <v>50.45</v>
      </c>
      <c r="BM573" s="4">
        <v>7.57</v>
      </c>
      <c r="BN573" s="4">
        <v>58.02</v>
      </c>
      <c r="BO573" s="4">
        <v>58.02</v>
      </c>
      <c r="BQ573" t="s">
        <v>1076</v>
      </c>
      <c r="BR573" t="s">
        <v>84</v>
      </c>
      <c r="BS573" s="3">
        <v>43776</v>
      </c>
      <c r="BT573" s="5">
        <v>0.36874999999999997</v>
      </c>
      <c r="BU573" t="s">
        <v>398</v>
      </c>
      <c r="BV573" t="s">
        <v>86</v>
      </c>
      <c r="BY573">
        <v>1200</v>
      </c>
      <c r="CA573" t="s">
        <v>163</v>
      </c>
      <c r="CC573" t="s">
        <v>113</v>
      </c>
      <c r="CD573">
        <v>4051</v>
      </c>
      <c r="CE573" t="s">
        <v>147</v>
      </c>
      <c r="CF573" s="3">
        <v>43777</v>
      </c>
      <c r="CI573">
        <v>1</v>
      </c>
      <c r="CJ573">
        <v>1</v>
      </c>
      <c r="CK573">
        <v>21</v>
      </c>
      <c r="CL573" t="s">
        <v>89</v>
      </c>
    </row>
    <row r="574" spans="1:90">
      <c r="A574" t="s">
        <v>72</v>
      </c>
      <c r="B574" t="s">
        <v>73</v>
      </c>
      <c r="C574" t="s">
        <v>74</v>
      </c>
      <c r="E574" t="str">
        <f>"FES1162721624"</f>
        <v>FES1162721624</v>
      </c>
      <c r="F574" s="3">
        <v>43775</v>
      </c>
      <c r="G574">
        <v>202005</v>
      </c>
      <c r="H574" t="s">
        <v>75</v>
      </c>
      <c r="I574" t="s">
        <v>76</v>
      </c>
      <c r="J574" t="s">
        <v>77</v>
      </c>
      <c r="K574" t="s">
        <v>78</v>
      </c>
      <c r="L574" t="s">
        <v>133</v>
      </c>
      <c r="M574" t="s">
        <v>134</v>
      </c>
      <c r="N574" t="s">
        <v>1077</v>
      </c>
      <c r="O574" t="s">
        <v>82</v>
      </c>
      <c r="P574" t="str">
        <f>"2170715819                    "</f>
        <v xml:space="preserve">2170715819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8.58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 s="4">
        <v>50.45</v>
      </c>
      <c r="BM574" s="4">
        <v>7.57</v>
      </c>
      <c r="BN574" s="4">
        <v>58.02</v>
      </c>
      <c r="BO574" s="4">
        <v>58.02</v>
      </c>
      <c r="BQ574" t="s">
        <v>109</v>
      </c>
      <c r="BR574" t="s">
        <v>84</v>
      </c>
      <c r="BS574" s="3">
        <v>43776</v>
      </c>
      <c r="BT574" s="5">
        <v>0.43333333333333335</v>
      </c>
      <c r="BU574" t="s">
        <v>1078</v>
      </c>
      <c r="BV574" t="s">
        <v>86</v>
      </c>
      <c r="BY574">
        <v>1200</v>
      </c>
      <c r="CA574" t="s">
        <v>137</v>
      </c>
      <c r="CC574" t="s">
        <v>134</v>
      </c>
      <c r="CD574">
        <v>5201</v>
      </c>
      <c r="CE574" t="s">
        <v>147</v>
      </c>
      <c r="CF574" s="3">
        <v>43780</v>
      </c>
      <c r="CI574">
        <v>1</v>
      </c>
      <c r="CJ574">
        <v>1</v>
      </c>
      <c r="CK574">
        <v>21</v>
      </c>
      <c r="CL574" t="s">
        <v>89</v>
      </c>
    </row>
    <row r="575" spans="1:90">
      <c r="A575" t="s">
        <v>72</v>
      </c>
      <c r="B575" t="s">
        <v>73</v>
      </c>
      <c r="C575" t="s">
        <v>74</v>
      </c>
      <c r="E575" t="str">
        <f>"FES1162721482"</f>
        <v>FES1162721482</v>
      </c>
      <c r="F575" s="3">
        <v>43775</v>
      </c>
      <c r="G575">
        <v>202005</v>
      </c>
      <c r="H575" t="s">
        <v>75</v>
      </c>
      <c r="I575" t="s">
        <v>76</v>
      </c>
      <c r="J575" t="s">
        <v>77</v>
      </c>
      <c r="K575" t="s">
        <v>78</v>
      </c>
      <c r="L575" t="s">
        <v>75</v>
      </c>
      <c r="M575" t="s">
        <v>76</v>
      </c>
      <c r="N575" t="s">
        <v>240</v>
      </c>
      <c r="O575" t="s">
        <v>82</v>
      </c>
      <c r="P575" t="str">
        <f>"2170713817                    "</f>
        <v xml:space="preserve">2170713817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6.71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 s="4">
        <v>39.42</v>
      </c>
      <c r="BM575" s="4">
        <v>5.91</v>
      </c>
      <c r="BN575" s="4">
        <v>45.33</v>
      </c>
      <c r="BO575" s="4">
        <v>45.33</v>
      </c>
      <c r="BQ575" t="s">
        <v>109</v>
      </c>
      <c r="BR575" t="s">
        <v>84</v>
      </c>
      <c r="BS575" s="3">
        <v>43776</v>
      </c>
      <c r="BT575" s="5">
        <v>0.33124999999999999</v>
      </c>
      <c r="BU575" t="s">
        <v>1079</v>
      </c>
      <c r="BV575" t="s">
        <v>86</v>
      </c>
      <c r="BY575">
        <v>1200</v>
      </c>
      <c r="CA575" t="s">
        <v>198</v>
      </c>
      <c r="CC575" t="s">
        <v>76</v>
      </c>
      <c r="CD575">
        <v>1601</v>
      </c>
      <c r="CE575" t="s">
        <v>147</v>
      </c>
      <c r="CF575" s="3">
        <v>43777</v>
      </c>
      <c r="CI575">
        <v>1</v>
      </c>
      <c r="CJ575">
        <v>1</v>
      </c>
      <c r="CK575">
        <v>22</v>
      </c>
      <c r="CL575" t="s">
        <v>89</v>
      </c>
    </row>
    <row r="576" spans="1:90">
      <c r="A576" t="s">
        <v>72</v>
      </c>
      <c r="B576" t="s">
        <v>73</v>
      </c>
      <c r="C576" t="s">
        <v>74</v>
      </c>
      <c r="E576" t="str">
        <f>"FES1162721598"</f>
        <v>FES1162721598</v>
      </c>
      <c r="F576" s="3">
        <v>43775</v>
      </c>
      <c r="G576">
        <v>202005</v>
      </c>
      <c r="H576" t="s">
        <v>75</v>
      </c>
      <c r="I576" t="s">
        <v>76</v>
      </c>
      <c r="J576" t="s">
        <v>77</v>
      </c>
      <c r="K576" t="s">
        <v>78</v>
      </c>
      <c r="L576" t="s">
        <v>112</v>
      </c>
      <c r="M576" t="s">
        <v>113</v>
      </c>
      <c r="N576" t="s">
        <v>1080</v>
      </c>
      <c r="O576" t="s">
        <v>82</v>
      </c>
      <c r="P576" t="str">
        <f>"2170715775                    "</f>
        <v xml:space="preserve">2170715775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8.58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 s="4">
        <v>50.45</v>
      </c>
      <c r="BM576" s="4">
        <v>7.57</v>
      </c>
      <c r="BN576" s="4">
        <v>58.02</v>
      </c>
      <c r="BO576" s="4">
        <v>58.02</v>
      </c>
      <c r="BQ576" t="s">
        <v>1081</v>
      </c>
      <c r="BR576" t="s">
        <v>84</v>
      </c>
      <c r="BS576" s="3">
        <v>43776</v>
      </c>
      <c r="BT576" s="5">
        <v>0.35694444444444445</v>
      </c>
      <c r="BU576" t="s">
        <v>1082</v>
      </c>
      <c r="BV576" t="s">
        <v>86</v>
      </c>
      <c r="BY576">
        <v>1200</v>
      </c>
      <c r="CA576" t="s">
        <v>229</v>
      </c>
      <c r="CC576" t="s">
        <v>113</v>
      </c>
      <c r="CD576">
        <v>4052</v>
      </c>
      <c r="CE576" t="s">
        <v>147</v>
      </c>
      <c r="CI576">
        <v>1</v>
      </c>
      <c r="CJ576">
        <v>1</v>
      </c>
      <c r="CK576">
        <v>21</v>
      </c>
      <c r="CL576" t="s">
        <v>89</v>
      </c>
    </row>
    <row r="577" spans="1:90">
      <c r="A577" t="s">
        <v>72</v>
      </c>
      <c r="B577" t="s">
        <v>73</v>
      </c>
      <c r="C577" t="s">
        <v>74</v>
      </c>
      <c r="E577" t="str">
        <f>"FES1162721475"</f>
        <v>FES1162721475</v>
      </c>
      <c r="F577" s="3">
        <v>43775</v>
      </c>
      <c r="G577">
        <v>202005</v>
      </c>
      <c r="H577" t="s">
        <v>75</v>
      </c>
      <c r="I577" t="s">
        <v>76</v>
      </c>
      <c r="J577" t="s">
        <v>77</v>
      </c>
      <c r="K577" t="s">
        <v>78</v>
      </c>
      <c r="L577" t="s">
        <v>112</v>
      </c>
      <c r="M577" t="s">
        <v>113</v>
      </c>
      <c r="N577" t="s">
        <v>1083</v>
      </c>
      <c r="O577" t="s">
        <v>82</v>
      </c>
      <c r="P577" t="str">
        <f>"2170713761                    "</f>
        <v xml:space="preserve">2170713761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8.58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1.3</v>
      </c>
      <c r="BJ577">
        <v>0.8</v>
      </c>
      <c r="BK577">
        <v>1.5</v>
      </c>
      <c r="BL577" s="4">
        <v>50.45</v>
      </c>
      <c r="BM577" s="4">
        <v>7.57</v>
      </c>
      <c r="BN577" s="4">
        <v>58.02</v>
      </c>
      <c r="BO577" s="4">
        <v>58.02</v>
      </c>
      <c r="BQ577" t="s">
        <v>121</v>
      </c>
      <c r="BR577" t="s">
        <v>84</v>
      </c>
      <c r="BS577" s="3">
        <v>43776</v>
      </c>
      <c r="BT577" s="5">
        <v>0.37083333333333335</v>
      </c>
      <c r="BU577" t="s">
        <v>1084</v>
      </c>
      <c r="BV577" t="s">
        <v>86</v>
      </c>
      <c r="BY577">
        <v>4209.32</v>
      </c>
      <c r="CA577" t="s">
        <v>117</v>
      </c>
      <c r="CC577" t="s">
        <v>113</v>
      </c>
      <c r="CD577">
        <v>4001</v>
      </c>
      <c r="CE577" t="s">
        <v>88</v>
      </c>
      <c r="CF577" s="3">
        <v>43777</v>
      </c>
      <c r="CI577">
        <v>1</v>
      </c>
      <c r="CJ577">
        <v>1</v>
      </c>
      <c r="CK577">
        <v>21</v>
      </c>
      <c r="CL577" t="s">
        <v>89</v>
      </c>
    </row>
    <row r="578" spans="1:90">
      <c r="A578" t="s">
        <v>72</v>
      </c>
      <c r="B578" t="s">
        <v>73</v>
      </c>
      <c r="C578" t="s">
        <v>74</v>
      </c>
      <c r="E578" t="str">
        <f>"FES1162721585"</f>
        <v>FES1162721585</v>
      </c>
      <c r="F578" s="3">
        <v>43775</v>
      </c>
      <c r="G578">
        <v>202005</v>
      </c>
      <c r="H578" t="s">
        <v>75</v>
      </c>
      <c r="I578" t="s">
        <v>76</v>
      </c>
      <c r="J578" t="s">
        <v>77</v>
      </c>
      <c r="K578" t="s">
        <v>78</v>
      </c>
      <c r="L578" t="s">
        <v>112</v>
      </c>
      <c r="M578" t="s">
        <v>113</v>
      </c>
      <c r="N578" t="s">
        <v>620</v>
      </c>
      <c r="O578" t="s">
        <v>82</v>
      </c>
      <c r="P578" t="str">
        <f>"2170715757                    "</f>
        <v xml:space="preserve">2170715757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8.58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 s="4">
        <v>50.45</v>
      </c>
      <c r="BM578" s="4">
        <v>7.57</v>
      </c>
      <c r="BN578" s="4">
        <v>58.02</v>
      </c>
      <c r="BO578" s="4">
        <v>58.02</v>
      </c>
      <c r="BQ578" t="s">
        <v>109</v>
      </c>
      <c r="BR578" t="s">
        <v>84</v>
      </c>
      <c r="BS578" s="3">
        <v>43776</v>
      </c>
      <c r="BT578" s="5">
        <v>0.4375</v>
      </c>
      <c r="BU578" t="s">
        <v>1085</v>
      </c>
      <c r="BV578" t="s">
        <v>86</v>
      </c>
      <c r="BY578">
        <v>1200</v>
      </c>
      <c r="CA578" t="s">
        <v>123</v>
      </c>
      <c r="CC578" t="s">
        <v>113</v>
      </c>
      <c r="CD578">
        <v>4302</v>
      </c>
      <c r="CE578" t="s">
        <v>147</v>
      </c>
      <c r="CF578" s="3">
        <v>43777</v>
      </c>
      <c r="CI578">
        <v>1</v>
      </c>
      <c r="CJ578">
        <v>1</v>
      </c>
      <c r="CK578">
        <v>21</v>
      </c>
      <c r="CL578" t="s">
        <v>89</v>
      </c>
    </row>
    <row r="579" spans="1:90">
      <c r="A579" t="s">
        <v>72</v>
      </c>
      <c r="B579" t="s">
        <v>73</v>
      </c>
      <c r="C579" t="s">
        <v>74</v>
      </c>
      <c r="E579" t="str">
        <f>"FES1162721569"</f>
        <v>FES1162721569</v>
      </c>
      <c r="F579" s="3">
        <v>43775</v>
      </c>
      <c r="G579">
        <v>202005</v>
      </c>
      <c r="H579" t="s">
        <v>75</v>
      </c>
      <c r="I579" t="s">
        <v>76</v>
      </c>
      <c r="J579" t="s">
        <v>77</v>
      </c>
      <c r="K579" t="s">
        <v>78</v>
      </c>
      <c r="L579" t="s">
        <v>701</v>
      </c>
      <c r="M579" t="s">
        <v>702</v>
      </c>
      <c r="N579" t="s">
        <v>1086</v>
      </c>
      <c r="O579" t="s">
        <v>82</v>
      </c>
      <c r="P579" t="str">
        <f>"2170715417                    "</f>
        <v xml:space="preserve">2170715417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12.07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 s="4">
        <v>70.95</v>
      </c>
      <c r="BM579" s="4">
        <v>10.64</v>
      </c>
      <c r="BN579" s="4">
        <v>81.59</v>
      </c>
      <c r="BO579" s="4">
        <v>81.59</v>
      </c>
      <c r="BQ579" t="s">
        <v>121</v>
      </c>
      <c r="BR579" t="s">
        <v>84</v>
      </c>
      <c r="BS579" s="3">
        <v>43776</v>
      </c>
      <c r="BT579" s="5">
        <v>0.40277777777777773</v>
      </c>
      <c r="BU579" t="s">
        <v>1087</v>
      </c>
      <c r="BV579" t="s">
        <v>86</v>
      </c>
      <c r="BY579">
        <v>1200</v>
      </c>
      <c r="CA579" t="s">
        <v>873</v>
      </c>
      <c r="CC579" t="s">
        <v>702</v>
      </c>
      <c r="CD579">
        <v>299</v>
      </c>
      <c r="CE579" t="s">
        <v>147</v>
      </c>
      <c r="CF579" s="3">
        <v>43780</v>
      </c>
      <c r="CI579">
        <v>1</v>
      </c>
      <c r="CJ579">
        <v>1</v>
      </c>
      <c r="CK579">
        <v>24</v>
      </c>
      <c r="CL579" t="s">
        <v>89</v>
      </c>
    </row>
    <row r="580" spans="1:90">
      <c r="A580" t="s">
        <v>72</v>
      </c>
      <c r="B580" t="s">
        <v>73</v>
      </c>
      <c r="C580" t="s">
        <v>74</v>
      </c>
      <c r="E580" t="str">
        <f>"FES1162721430"</f>
        <v>FES1162721430</v>
      </c>
      <c r="F580" s="3">
        <v>43775</v>
      </c>
      <c r="G580">
        <v>202005</v>
      </c>
      <c r="H580" t="s">
        <v>75</v>
      </c>
      <c r="I580" t="s">
        <v>76</v>
      </c>
      <c r="J580" t="s">
        <v>77</v>
      </c>
      <c r="K580" t="s">
        <v>78</v>
      </c>
      <c r="L580" t="s">
        <v>75</v>
      </c>
      <c r="M580" t="s">
        <v>76</v>
      </c>
      <c r="N580" t="s">
        <v>995</v>
      </c>
      <c r="O580" t="s">
        <v>82</v>
      </c>
      <c r="P580" t="str">
        <f>"2170713488                    "</f>
        <v xml:space="preserve">2170713488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6.71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 s="4">
        <v>39.42</v>
      </c>
      <c r="BM580" s="4">
        <v>5.91</v>
      </c>
      <c r="BN580" s="4">
        <v>45.33</v>
      </c>
      <c r="BO580" s="4">
        <v>45.33</v>
      </c>
      <c r="BQ580" t="s">
        <v>121</v>
      </c>
      <c r="BR580" t="s">
        <v>84</v>
      </c>
      <c r="BS580" s="3">
        <v>43776</v>
      </c>
      <c r="BT580" s="5">
        <v>0.33333333333333331</v>
      </c>
      <c r="BU580" t="s">
        <v>1088</v>
      </c>
      <c r="BV580" t="s">
        <v>86</v>
      </c>
      <c r="BY580">
        <v>1200</v>
      </c>
      <c r="CA580" t="s">
        <v>368</v>
      </c>
      <c r="CC580" t="s">
        <v>76</v>
      </c>
      <c r="CD580">
        <v>1600</v>
      </c>
      <c r="CE580" t="s">
        <v>147</v>
      </c>
      <c r="CF580" s="3">
        <v>43777</v>
      </c>
      <c r="CI580">
        <v>1</v>
      </c>
      <c r="CJ580">
        <v>1</v>
      </c>
      <c r="CK580">
        <v>22</v>
      </c>
      <c r="CL580" t="s">
        <v>89</v>
      </c>
    </row>
    <row r="581" spans="1:90">
      <c r="A581" t="s">
        <v>72</v>
      </c>
      <c r="B581" t="s">
        <v>73</v>
      </c>
      <c r="C581" t="s">
        <v>74</v>
      </c>
      <c r="E581" t="str">
        <f>"FES1162721607"</f>
        <v>FES1162721607</v>
      </c>
      <c r="F581" s="3">
        <v>43775</v>
      </c>
      <c r="G581">
        <v>202005</v>
      </c>
      <c r="H581" t="s">
        <v>75</v>
      </c>
      <c r="I581" t="s">
        <v>76</v>
      </c>
      <c r="J581" t="s">
        <v>77</v>
      </c>
      <c r="K581" t="s">
        <v>78</v>
      </c>
      <c r="L581" t="s">
        <v>101</v>
      </c>
      <c r="M581" t="s">
        <v>102</v>
      </c>
      <c r="N581" t="s">
        <v>330</v>
      </c>
      <c r="O581" t="s">
        <v>82</v>
      </c>
      <c r="P581" t="str">
        <f>"2170715792                    "</f>
        <v xml:space="preserve">2170715792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8.58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 s="4">
        <v>50.45</v>
      </c>
      <c r="BM581" s="4">
        <v>7.57</v>
      </c>
      <c r="BN581" s="4">
        <v>58.02</v>
      </c>
      <c r="BO581" s="4">
        <v>58.02</v>
      </c>
      <c r="BQ581" t="s">
        <v>109</v>
      </c>
      <c r="BR581" t="s">
        <v>84</v>
      </c>
      <c r="BS581" s="3">
        <v>43776</v>
      </c>
      <c r="BT581" s="5">
        <v>0.40972222222222227</v>
      </c>
      <c r="BU581" t="s">
        <v>1089</v>
      </c>
      <c r="BV581" t="s">
        <v>86</v>
      </c>
      <c r="BY581">
        <v>1200</v>
      </c>
      <c r="CA581" t="s">
        <v>183</v>
      </c>
      <c r="CC581" t="s">
        <v>102</v>
      </c>
      <c r="CD581">
        <v>200</v>
      </c>
      <c r="CE581" t="s">
        <v>147</v>
      </c>
      <c r="CF581" s="3">
        <v>43777</v>
      </c>
      <c r="CI581">
        <v>1</v>
      </c>
      <c r="CJ581">
        <v>1</v>
      </c>
      <c r="CK581">
        <v>21</v>
      </c>
      <c r="CL581" t="s">
        <v>89</v>
      </c>
    </row>
    <row r="582" spans="1:90">
      <c r="A582" t="s">
        <v>72</v>
      </c>
      <c r="B582" t="s">
        <v>73</v>
      </c>
      <c r="C582" t="s">
        <v>74</v>
      </c>
      <c r="E582" t="str">
        <f>"FES1162721673"</f>
        <v>FES1162721673</v>
      </c>
      <c r="F582" s="3">
        <v>43775</v>
      </c>
      <c r="G582">
        <v>202005</v>
      </c>
      <c r="H582" t="s">
        <v>75</v>
      </c>
      <c r="I582" t="s">
        <v>76</v>
      </c>
      <c r="J582" t="s">
        <v>77</v>
      </c>
      <c r="K582" t="s">
        <v>78</v>
      </c>
      <c r="L582" t="s">
        <v>176</v>
      </c>
      <c r="M582" t="s">
        <v>177</v>
      </c>
      <c r="N582" t="s">
        <v>1090</v>
      </c>
      <c r="O582" t="s">
        <v>82</v>
      </c>
      <c r="P582" t="str">
        <f>"2170715892                    "</f>
        <v xml:space="preserve">2170715892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25.74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3.5</v>
      </c>
      <c r="BJ582">
        <v>5.8</v>
      </c>
      <c r="BK582">
        <v>6</v>
      </c>
      <c r="BL582" s="4">
        <v>151.29</v>
      </c>
      <c r="BM582" s="4">
        <v>22.69</v>
      </c>
      <c r="BN582" s="4">
        <v>173.98</v>
      </c>
      <c r="BO582" s="4">
        <v>173.98</v>
      </c>
      <c r="BQ582" t="s">
        <v>121</v>
      </c>
      <c r="BR582" t="s">
        <v>84</v>
      </c>
      <c r="BS582" s="3">
        <v>43777</v>
      </c>
      <c r="BT582" s="5">
        <v>0.41666666666666669</v>
      </c>
      <c r="BU582" t="s">
        <v>1091</v>
      </c>
      <c r="BV582" t="s">
        <v>89</v>
      </c>
      <c r="BW582" t="s">
        <v>144</v>
      </c>
      <c r="BX582" t="s">
        <v>1092</v>
      </c>
      <c r="BY582">
        <v>28780.9</v>
      </c>
      <c r="CC582" t="s">
        <v>177</v>
      </c>
      <c r="CD582">
        <v>3610</v>
      </c>
      <c r="CE582" t="s">
        <v>88</v>
      </c>
      <c r="CF582" s="3">
        <v>43782</v>
      </c>
      <c r="CI582">
        <v>1</v>
      </c>
      <c r="CJ582">
        <v>2</v>
      </c>
      <c r="CK582">
        <v>21</v>
      </c>
      <c r="CL582" t="s">
        <v>89</v>
      </c>
    </row>
    <row r="583" spans="1:90">
      <c r="A583" t="s">
        <v>72</v>
      </c>
      <c r="B583" t="s">
        <v>73</v>
      </c>
      <c r="C583" t="s">
        <v>74</v>
      </c>
      <c r="E583" t="str">
        <f>"FES1162721448"</f>
        <v>FES1162721448</v>
      </c>
      <c r="F583" s="3">
        <v>43775</v>
      </c>
      <c r="G583">
        <v>202005</v>
      </c>
      <c r="H583" t="s">
        <v>75</v>
      </c>
      <c r="I583" t="s">
        <v>76</v>
      </c>
      <c r="J583" t="s">
        <v>77</v>
      </c>
      <c r="K583" t="s">
        <v>78</v>
      </c>
      <c r="L583" t="s">
        <v>482</v>
      </c>
      <c r="M583" t="s">
        <v>483</v>
      </c>
      <c r="N583" t="s">
        <v>1054</v>
      </c>
      <c r="O583" t="s">
        <v>82</v>
      </c>
      <c r="P583" t="str">
        <f>"2170713593                    "</f>
        <v xml:space="preserve">2170713593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6.71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 s="4">
        <v>39.42</v>
      </c>
      <c r="BM583" s="4">
        <v>5.91</v>
      </c>
      <c r="BN583" s="4">
        <v>45.33</v>
      </c>
      <c r="BO583" s="4">
        <v>45.33</v>
      </c>
      <c r="BQ583" t="s">
        <v>109</v>
      </c>
      <c r="BR583" t="s">
        <v>84</v>
      </c>
      <c r="BS583" s="3">
        <v>43776</v>
      </c>
      <c r="BT583" s="5">
        <v>0.36388888888888887</v>
      </c>
      <c r="BU583" t="s">
        <v>1093</v>
      </c>
      <c r="BV583" t="s">
        <v>86</v>
      </c>
      <c r="BY583">
        <v>1200</v>
      </c>
      <c r="CA583" t="s">
        <v>1094</v>
      </c>
      <c r="CC583" t="s">
        <v>483</v>
      </c>
      <c r="CD583">
        <v>1459</v>
      </c>
      <c r="CE583" t="s">
        <v>147</v>
      </c>
      <c r="CF583" s="3">
        <v>43777</v>
      </c>
      <c r="CI583">
        <v>1</v>
      </c>
      <c r="CJ583">
        <v>1</v>
      </c>
      <c r="CK583">
        <v>22</v>
      </c>
      <c r="CL583" t="s">
        <v>89</v>
      </c>
    </row>
    <row r="584" spans="1:90">
      <c r="A584" t="s">
        <v>72</v>
      </c>
      <c r="B584" t="s">
        <v>73</v>
      </c>
      <c r="C584" t="s">
        <v>74</v>
      </c>
      <c r="E584" t="str">
        <f>"FES1162721591"</f>
        <v>FES1162721591</v>
      </c>
      <c r="F584" s="3">
        <v>43775</v>
      </c>
      <c r="G584">
        <v>202005</v>
      </c>
      <c r="H584" t="s">
        <v>75</v>
      </c>
      <c r="I584" t="s">
        <v>76</v>
      </c>
      <c r="J584" t="s">
        <v>77</v>
      </c>
      <c r="K584" t="s">
        <v>78</v>
      </c>
      <c r="L584" t="s">
        <v>112</v>
      </c>
      <c r="M584" t="s">
        <v>113</v>
      </c>
      <c r="N584" t="s">
        <v>160</v>
      </c>
      <c r="O584" t="s">
        <v>82</v>
      </c>
      <c r="P584" t="str">
        <f>"217047863                     "</f>
        <v xml:space="preserve">217047863 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8.58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 s="4">
        <v>50.45</v>
      </c>
      <c r="BM584" s="4">
        <v>7.57</v>
      </c>
      <c r="BN584" s="4">
        <v>58.02</v>
      </c>
      <c r="BO584" s="4">
        <v>58.02</v>
      </c>
      <c r="BQ584" t="s">
        <v>161</v>
      </c>
      <c r="BR584" t="s">
        <v>84</v>
      </c>
      <c r="BS584" s="3">
        <v>43776</v>
      </c>
      <c r="BT584" s="5">
        <v>0.3527777777777778</v>
      </c>
      <c r="BU584" t="s">
        <v>162</v>
      </c>
      <c r="BV584" t="s">
        <v>86</v>
      </c>
      <c r="BY584">
        <v>1200</v>
      </c>
      <c r="CA584" t="s">
        <v>163</v>
      </c>
      <c r="CC584" t="s">
        <v>113</v>
      </c>
      <c r="CD584">
        <v>4000</v>
      </c>
      <c r="CE584" t="s">
        <v>147</v>
      </c>
      <c r="CF584" s="3">
        <v>43777</v>
      </c>
      <c r="CI584">
        <v>1</v>
      </c>
      <c r="CJ584">
        <v>1</v>
      </c>
      <c r="CK584">
        <v>21</v>
      </c>
      <c r="CL584" t="s">
        <v>89</v>
      </c>
    </row>
    <row r="585" spans="1:90">
      <c r="A585" t="s">
        <v>72</v>
      </c>
      <c r="B585" t="s">
        <v>73</v>
      </c>
      <c r="C585" t="s">
        <v>74</v>
      </c>
      <c r="E585" t="str">
        <f>"FES1162721426"</f>
        <v>FES1162721426</v>
      </c>
      <c r="F585" s="3">
        <v>43775</v>
      </c>
      <c r="G585">
        <v>202005</v>
      </c>
      <c r="H585" t="s">
        <v>75</v>
      </c>
      <c r="I585" t="s">
        <v>76</v>
      </c>
      <c r="J585" t="s">
        <v>77</v>
      </c>
      <c r="K585" t="s">
        <v>78</v>
      </c>
      <c r="L585" t="s">
        <v>101</v>
      </c>
      <c r="M585" t="s">
        <v>102</v>
      </c>
      <c r="N585" t="s">
        <v>1095</v>
      </c>
      <c r="O585" t="s">
        <v>82</v>
      </c>
      <c r="P585" t="str">
        <f>"2170713440                    "</f>
        <v xml:space="preserve">2170713440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8.58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 s="4">
        <v>50.45</v>
      </c>
      <c r="BM585" s="4">
        <v>7.57</v>
      </c>
      <c r="BN585" s="4">
        <v>58.02</v>
      </c>
      <c r="BO585" s="4">
        <v>58.02</v>
      </c>
      <c r="BR585" t="s">
        <v>84</v>
      </c>
      <c r="BS585" s="3">
        <v>43776</v>
      </c>
      <c r="BT585" s="5">
        <v>0.41666666666666669</v>
      </c>
      <c r="BU585" t="s">
        <v>555</v>
      </c>
      <c r="BV585" t="s">
        <v>86</v>
      </c>
      <c r="BY585">
        <v>1200</v>
      </c>
      <c r="CA585" t="s">
        <v>183</v>
      </c>
      <c r="CC585" t="s">
        <v>102</v>
      </c>
      <c r="CD585">
        <v>200</v>
      </c>
      <c r="CE585" t="s">
        <v>147</v>
      </c>
      <c r="CF585" s="3">
        <v>43777</v>
      </c>
      <c r="CI585">
        <v>1</v>
      </c>
      <c r="CJ585">
        <v>1</v>
      </c>
      <c r="CK585">
        <v>21</v>
      </c>
      <c r="CL585" t="s">
        <v>89</v>
      </c>
    </row>
    <row r="586" spans="1:90">
      <c r="A586" t="s">
        <v>72</v>
      </c>
      <c r="B586" t="s">
        <v>73</v>
      </c>
      <c r="C586" t="s">
        <v>74</v>
      </c>
      <c r="E586" t="str">
        <f>"FES1162721706"</f>
        <v>FES1162721706</v>
      </c>
      <c r="F586" s="3">
        <v>43775</v>
      </c>
      <c r="G586">
        <v>202005</v>
      </c>
      <c r="H586" t="s">
        <v>75</v>
      </c>
      <c r="I586" t="s">
        <v>76</v>
      </c>
      <c r="J586" t="s">
        <v>77</v>
      </c>
      <c r="K586" t="s">
        <v>78</v>
      </c>
      <c r="L586" t="s">
        <v>546</v>
      </c>
      <c r="M586" t="s">
        <v>547</v>
      </c>
      <c r="N586" t="s">
        <v>979</v>
      </c>
      <c r="O586" t="s">
        <v>82</v>
      </c>
      <c r="P586" t="str">
        <f>"2170715933                    "</f>
        <v xml:space="preserve">2170715933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6.71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 s="4">
        <v>39.42</v>
      </c>
      <c r="BM586" s="4">
        <v>5.91</v>
      </c>
      <c r="BN586" s="4">
        <v>45.33</v>
      </c>
      <c r="BO586" s="4">
        <v>45.33</v>
      </c>
      <c r="BQ586" t="s">
        <v>121</v>
      </c>
      <c r="BR586" t="s">
        <v>84</v>
      </c>
      <c r="BS586" s="3">
        <v>43776</v>
      </c>
      <c r="BT586" s="5">
        <v>0.34375</v>
      </c>
      <c r="BU586" t="s">
        <v>1096</v>
      </c>
      <c r="BV586" t="s">
        <v>86</v>
      </c>
      <c r="BY586">
        <v>1200</v>
      </c>
      <c r="CA586" t="s">
        <v>1097</v>
      </c>
      <c r="CC586" t="s">
        <v>547</v>
      </c>
      <c r="CD586">
        <v>1709</v>
      </c>
      <c r="CE586" t="s">
        <v>147</v>
      </c>
      <c r="CF586" s="3">
        <v>43777</v>
      </c>
      <c r="CI586">
        <v>1</v>
      </c>
      <c r="CJ586">
        <v>1</v>
      </c>
      <c r="CK586">
        <v>22</v>
      </c>
      <c r="CL586" t="s">
        <v>89</v>
      </c>
    </row>
    <row r="587" spans="1:90">
      <c r="A587" t="s">
        <v>72</v>
      </c>
      <c r="B587" t="s">
        <v>73</v>
      </c>
      <c r="C587" t="s">
        <v>74</v>
      </c>
      <c r="E587" t="str">
        <f>"FES1162721509"</f>
        <v>FES1162721509</v>
      </c>
      <c r="F587" s="3">
        <v>43775</v>
      </c>
      <c r="G587">
        <v>202005</v>
      </c>
      <c r="H587" t="s">
        <v>75</v>
      </c>
      <c r="I587" t="s">
        <v>76</v>
      </c>
      <c r="J587" t="s">
        <v>77</v>
      </c>
      <c r="K587" t="s">
        <v>78</v>
      </c>
      <c r="L587" t="s">
        <v>605</v>
      </c>
      <c r="M587" t="s">
        <v>606</v>
      </c>
      <c r="N587" t="s">
        <v>785</v>
      </c>
      <c r="O587" t="s">
        <v>82</v>
      </c>
      <c r="P587" t="str">
        <f>"2170714369                    "</f>
        <v xml:space="preserve">2170714369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12.07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 s="4">
        <v>70.95</v>
      </c>
      <c r="BM587" s="4">
        <v>10.64</v>
      </c>
      <c r="BN587" s="4">
        <v>81.59</v>
      </c>
      <c r="BO587" s="4">
        <v>81.59</v>
      </c>
      <c r="BQ587" t="s">
        <v>109</v>
      </c>
      <c r="BR587" t="s">
        <v>84</v>
      </c>
      <c r="BS587" s="3">
        <v>43776</v>
      </c>
      <c r="BT587" s="5">
        <v>0.5</v>
      </c>
      <c r="BU587" t="s">
        <v>921</v>
      </c>
      <c r="BV587" t="s">
        <v>86</v>
      </c>
      <c r="BY587">
        <v>1200</v>
      </c>
      <c r="CA587" t="s">
        <v>922</v>
      </c>
      <c r="CC587" t="s">
        <v>606</v>
      </c>
      <c r="CD587">
        <v>407</v>
      </c>
      <c r="CE587" t="s">
        <v>147</v>
      </c>
      <c r="CF587" s="3">
        <v>43777</v>
      </c>
      <c r="CI587">
        <v>1</v>
      </c>
      <c r="CJ587">
        <v>1</v>
      </c>
      <c r="CK587">
        <v>24</v>
      </c>
      <c r="CL587" t="s">
        <v>89</v>
      </c>
    </row>
    <row r="588" spans="1:90">
      <c r="A588" t="s">
        <v>72</v>
      </c>
      <c r="B588" t="s">
        <v>73</v>
      </c>
      <c r="C588" t="s">
        <v>74</v>
      </c>
      <c r="E588" t="str">
        <f>"FES1162721705"</f>
        <v>FES1162721705</v>
      </c>
      <c r="F588" s="3">
        <v>43775</v>
      </c>
      <c r="G588">
        <v>202005</v>
      </c>
      <c r="H588" t="s">
        <v>75</v>
      </c>
      <c r="I588" t="s">
        <v>76</v>
      </c>
      <c r="J588" t="s">
        <v>77</v>
      </c>
      <c r="K588" t="s">
        <v>78</v>
      </c>
      <c r="L588" t="s">
        <v>339</v>
      </c>
      <c r="M588" t="s">
        <v>340</v>
      </c>
      <c r="N588" t="s">
        <v>615</v>
      </c>
      <c r="O588" t="s">
        <v>82</v>
      </c>
      <c r="P588" t="str">
        <f>"2170715938                    "</f>
        <v xml:space="preserve">2170715938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10.73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2.2999999999999998</v>
      </c>
      <c r="BJ588">
        <v>1.7</v>
      </c>
      <c r="BK588">
        <v>2.5</v>
      </c>
      <c r="BL588" s="4">
        <v>63.06</v>
      </c>
      <c r="BM588" s="4">
        <v>9.4600000000000009</v>
      </c>
      <c r="BN588" s="4">
        <v>72.52</v>
      </c>
      <c r="BO588" s="4">
        <v>72.52</v>
      </c>
      <c r="BQ588" t="s">
        <v>109</v>
      </c>
      <c r="BR588" t="s">
        <v>84</v>
      </c>
      <c r="BS588" s="3">
        <v>43776</v>
      </c>
      <c r="BT588" s="5">
        <v>0.40486111111111112</v>
      </c>
      <c r="BU588" t="s">
        <v>1039</v>
      </c>
      <c r="BV588" t="s">
        <v>86</v>
      </c>
      <c r="BY588">
        <v>8485.56</v>
      </c>
      <c r="CA588" t="s">
        <v>123</v>
      </c>
      <c r="CC588" t="s">
        <v>340</v>
      </c>
      <c r="CD588">
        <v>157</v>
      </c>
      <c r="CE588" t="s">
        <v>88</v>
      </c>
      <c r="CF588" s="3">
        <v>43777</v>
      </c>
      <c r="CI588">
        <v>1</v>
      </c>
      <c r="CJ588">
        <v>1</v>
      </c>
      <c r="CK588">
        <v>21</v>
      </c>
      <c r="CL588" t="s">
        <v>89</v>
      </c>
    </row>
    <row r="589" spans="1:90">
      <c r="A589" t="s">
        <v>72</v>
      </c>
      <c r="B589" t="s">
        <v>73</v>
      </c>
      <c r="C589" t="s">
        <v>74</v>
      </c>
      <c r="E589" t="str">
        <f>"FES1162721514"</f>
        <v>FES1162721514</v>
      </c>
      <c r="F589" s="3">
        <v>43775</v>
      </c>
      <c r="G589">
        <v>202005</v>
      </c>
      <c r="H589" t="s">
        <v>75</v>
      </c>
      <c r="I589" t="s">
        <v>76</v>
      </c>
      <c r="J589" t="s">
        <v>77</v>
      </c>
      <c r="K589" t="s">
        <v>78</v>
      </c>
      <c r="L589" t="s">
        <v>184</v>
      </c>
      <c r="M589" t="s">
        <v>185</v>
      </c>
      <c r="N589" t="s">
        <v>1098</v>
      </c>
      <c r="O589" t="s">
        <v>82</v>
      </c>
      <c r="P589" t="str">
        <f>"2170714733                    "</f>
        <v xml:space="preserve">2170714733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8.31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2.6</v>
      </c>
      <c r="BJ589">
        <v>1.9</v>
      </c>
      <c r="BK589">
        <v>3</v>
      </c>
      <c r="BL589" s="4">
        <v>48.86</v>
      </c>
      <c r="BM589" s="4">
        <v>7.33</v>
      </c>
      <c r="BN589" s="4">
        <v>56.19</v>
      </c>
      <c r="BO589" s="4">
        <v>56.19</v>
      </c>
      <c r="BR589" t="s">
        <v>84</v>
      </c>
      <c r="BS589" s="3">
        <v>43776</v>
      </c>
      <c r="BT589" s="5">
        <v>0.33958333333333335</v>
      </c>
      <c r="BU589" t="s">
        <v>1099</v>
      </c>
      <c r="BV589" t="s">
        <v>86</v>
      </c>
      <c r="BY589">
        <v>9621.5400000000009</v>
      </c>
      <c r="CA589" t="s">
        <v>1032</v>
      </c>
      <c r="CC589" t="s">
        <v>185</v>
      </c>
      <c r="CD589">
        <v>1501</v>
      </c>
      <c r="CE589" t="s">
        <v>147</v>
      </c>
      <c r="CF589" s="3">
        <v>43777</v>
      </c>
      <c r="CI589">
        <v>1</v>
      </c>
      <c r="CJ589">
        <v>1</v>
      </c>
      <c r="CK589">
        <v>22</v>
      </c>
      <c r="CL589" t="s">
        <v>89</v>
      </c>
    </row>
    <row r="590" spans="1:90">
      <c r="A590" t="s">
        <v>72</v>
      </c>
      <c r="B590" t="s">
        <v>73</v>
      </c>
      <c r="C590" t="s">
        <v>74</v>
      </c>
      <c r="E590" t="str">
        <f>"FES1162721477"</f>
        <v>FES1162721477</v>
      </c>
      <c r="F590" s="3">
        <v>43775</v>
      </c>
      <c r="G590">
        <v>202005</v>
      </c>
      <c r="H590" t="s">
        <v>75</v>
      </c>
      <c r="I590" t="s">
        <v>76</v>
      </c>
      <c r="J590" t="s">
        <v>77</v>
      </c>
      <c r="K590" t="s">
        <v>78</v>
      </c>
      <c r="L590" t="s">
        <v>691</v>
      </c>
      <c r="M590" t="s">
        <v>692</v>
      </c>
      <c r="N590" t="s">
        <v>1100</v>
      </c>
      <c r="O590" t="s">
        <v>82</v>
      </c>
      <c r="P590" t="str">
        <f>"2170713768                    "</f>
        <v xml:space="preserve">2170713768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6.71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 s="4">
        <v>39.42</v>
      </c>
      <c r="BM590" s="4">
        <v>5.91</v>
      </c>
      <c r="BN590" s="4">
        <v>45.33</v>
      </c>
      <c r="BO590" s="4">
        <v>45.33</v>
      </c>
      <c r="BQ590" t="s">
        <v>1101</v>
      </c>
      <c r="BR590" t="s">
        <v>84</v>
      </c>
      <c r="BS590" s="3">
        <v>43776</v>
      </c>
      <c r="BT590" s="5">
        <v>0.33333333333333331</v>
      </c>
      <c r="BU590" t="s">
        <v>1102</v>
      </c>
      <c r="BV590" t="s">
        <v>86</v>
      </c>
      <c r="BY590">
        <v>1200</v>
      </c>
      <c r="CA590" t="s">
        <v>819</v>
      </c>
      <c r="CC590" t="s">
        <v>692</v>
      </c>
      <c r="CD590">
        <v>1559</v>
      </c>
      <c r="CE590" t="s">
        <v>147</v>
      </c>
      <c r="CF590" s="3">
        <v>43777</v>
      </c>
      <c r="CI590">
        <v>1</v>
      </c>
      <c r="CJ590">
        <v>1</v>
      </c>
      <c r="CK590">
        <v>22</v>
      </c>
      <c r="CL590" t="s">
        <v>89</v>
      </c>
    </row>
    <row r="591" spans="1:90">
      <c r="A591" t="s">
        <v>72</v>
      </c>
      <c r="B591" t="s">
        <v>73</v>
      </c>
      <c r="C591" t="s">
        <v>74</v>
      </c>
      <c r="E591" t="str">
        <f>"FES1162721520"</f>
        <v>FES1162721520</v>
      </c>
      <c r="F591" s="3">
        <v>43775</v>
      </c>
      <c r="G591">
        <v>202005</v>
      </c>
      <c r="H591" t="s">
        <v>75</v>
      </c>
      <c r="I591" t="s">
        <v>76</v>
      </c>
      <c r="J591" t="s">
        <v>77</v>
      </c>
      <c r="K591" t="s">
        <v>78</v>
      </c>
      <c r="L591" t="s">
        <v>176</v>
      </c>
      <c r="M591" t="s">
        <v>177</v>
      </c>
      <c r="N591" t="s">
        <v>598</v>
      </c>
      <c r="O591" t="s">
        <v>82</v>
      </c>
      <c r="P591" t="str">
        <f>"2170715287                    "</f>
        <v xml:space="preserve">2170715287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8.58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0.9</v>
      </c>
      <c r="BK591">
        <v>1</v>
      </c>
      <c r="BL591" s="4">
        <v>50.45</v>
      </c>
      <c r="BM591" s="4">
        <v>7.57</v>
      </c>
      <c r="BN591" s="4">
        <v>58.02</v>
      </c>
      <c r="BO591" s="4">
        <v>58.02</v>
      </c>
      <c r="BQ591" t="s">
        <v>121</v>
      </c>
      <c r="BR591" t="s">
        <v>84</v>
      </c>
      <c r="BS591" s="3">
        <v>43776</v>
      </c>
      <c r="BT591" s="5">
        <v>0.41805555555555557</v>
      </c>
      <c r="BU591" t="s">
        <v>599</v>
      </c>
      <c r="BV591" t="s">
        <v>86</v>
      </c>
      <c r="BY591">
        <v>4470.05</v>
      </c>
      <c r="CA591" t="s">
        <v>224</v>
      </c>
      <c r="CC591" t="s">
        <v>177</v>
      </c>
      <c r="CD591">
        <v>3610</v>
      </c>
      <c r="CE591" t="s">
        <v>88</v>
      </c>
      <c r="CF591" s="3">
        <v>43777</v>
      </c>
      <c r="CI591">
        <v>1</v>
      </c>
      <c r="CJ591">
        <v>1</v>
      </c>
      <c r="CK591">
        <v>21</v>
      </c>
      <c r="CL591" t="s">
        <v>89</v>
      </c>
    </row>
    <row r="592" spans="1:90">
      <c r="A592" t="s">
        <v>72</v>
      </c>
      <c r="B592" t="s">
        <v>73</v>
      </c>
      <c r="C592" t="s">
        <v>74</v>
      </c>
      <c r="E592" t="str">
        <f>"FES1162721707"</f>
        <v>FES1162721707</v>
      </c>
      <c r="F592" s="3">
        <v>43775</v>
      </c>
      <c r="G592">
        <v>202005</v>
      </c>
      <c r="H592" t="s">
        <v>75</v>
      </c>
      <c r="I592" t="s">
        <v>76</v>
      </c>
      <c r="J592" t="s">
        <v>77</v>
      </c>
      <c r="K592" t="s">
        <v>78</v>
      </c>
      <c r="L592" t="s">
        <v>75</v>
      </c>
      <c r="M592" t="s">
        <v>76</v>
      </c>
      <c r="N592" t="s">
        <v>245</v>
      </c>
      <c r="O592" t="s">
        <v>82</v>
      </c>
      <c r="P592" t="str">
        <f>"2170715935                    "</f>
        <v xml:space="preserve">2170715935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6.71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 s="4">
        <v>39.42</v>
      </c>
      <c r="BM592" s="4">
        <v>5.91</v>
      </c>
      <c r="BN592" s="4">
        <v>45.33</v>
      </c>
      <c r="BO592" s="4">
        <v>45.33</v>
      </c>
      <c r="BQ592" t="s">
        <v>246</v>
      </c>
      <c r="BR592" t="s">
        <v>84</v>
      </c>
      <c r="BS592" s="3">
        <v>43775</v>
      </c>
      <c r="BT592" s="5">
        <v>0.41666666666666669</v>
      </c>
      <c r="BU592" t="s">
        <v>1103</v>
      </c>
      <c r="BV592" t="s">
        <v>86</v>
      </c>
      <c r="BY592">
        <v>1200</v>
      </c>
      <c r="CA592" t="s">
        <v>1104</v>
      </c>
      <c r="CC592" t="s">
        <v>76</v>
      </c>
      <c r="CD592">
        <v>1682</v>
      </c>
      <c r="CE592" t="s">
        <v>147</v>
      </c>
      <c r="CF592" s="3">
        <v>43794</v>
      </c>
      <c r="CI592">
        <v>1</v>
      </c>
      <c r="CJ592">
        <v>0</v>
      </c>
      <c r="CK592">
        <v>22</v>
      </c>
      <c r="CL592" t="s">
        <v>89</v>
      </c>
    </row>
    <row r="593" spans="1:90">
      <c r="A593" t="s">
        <v>72</v>
      </c>
      <c r="B593" t="s">
        <v>73</v>
      </c>
      <c r="C593" t="s">
        <v>74</v>
      </c>
      <c r="E593" t="str">
        <f>"FES1162721488"</f>
        <v>FES1162721488</v>
      </c>
      <c r="F593" s="3">
        <v>43775</v>
      </c>
      <c r="G593">
        <v>202005</v>
      </c>
      <c r="H593" t="s">
        <v>75</v>
      </c>
      <c r="I593" t="s">
        <v>76</v>
      </c>
      <c r="J593" t="s">
        <v>77</v>
      </c>
      <c r="K593" t="s">
        <v>78</v>
      </c>
      <c r="L593" t="s">
        <v>176</v>
      </c>
      <c r="M593" t="s">
        <v>177</v>
      </c>
      <c r="N593" t="s">
        <v>334</v>
      </c>
      <c r="O593" t="s">
        <v>82</v>
      </c>
      <c r="P593" t="str">
        <f>"2170713882                    "</f>
        <v xml:space="preserve">2170713882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8.58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 s="4">
        <v>50.45</v>
      </c>
      <c r="BM593" s="4">
        <v>7.57</v>
      </c>
      <c r="BN593" s="4">
        <v>58.02</v>
      </c>
      <c r="BO593" s="4">
        <v>58.02</v>
      </c>
      <c r="BQ593" t="s">
        <v>121</v>
      </c>
      <c r="BR593" t="s">
        <v>84</v>
      </c>
      <c r="BS593" s="3">
        <v>43776</v>
      </c>
      <c r="BT593" s="5">
        <v>0.39374999999999999</v>
      </c>
      <c r="BU593" t="s">
        <v>335</v>
      </c>
      <c r="BV593" t="s">
        <v>86</v>
      </c>
      <c r="BY593">
        <v>1200</v>
      </c>
      <c r="CA593" t="s">
        <v>180</v>
      </c>
      <c r="CC593" t="s">
        <v>177</v>
      </c>
      <c r="CD593">
        <v>3610</v>
      </c>
      <c r="CE593" t="s">
        <v>147</v>
      </c>
      <c r="CF593" s="3">
        <v>43777</v>
      </c>
      <c r="CI593">
        <v>1</v>
      </c>
      <c r="CJ593">
        <v>1</v>
      </c>
      <c r="CK593">
        <v>21</v>
      </c>
      <c r="CL593" t="s">
        <v>89</v>
      </c>
    </row>
    <row r="594" spans="1:90">
      <c r="A594" t="s">
        <v>72</v>
      </c>
      <c r="B594" t="s">
        <v>73</v>
      </c>
      <c r="C594" t="s">
        <v>74</v>
      </c>
      <c r="E594" t="str">
        <f>"FES1162721709"</f>
        <v>FES1162721709</v>
      </c>
      <c r="F594" s="3">
        <v>43775</v>
      </c>
      <c r="G594">
        <v>202005</v>
      </c>
      <c r="H594" t="s">
        <v>75</v>
      </c>
      <c r="I594" t="s">
        <v>76</v>
      </c>
      <c r="J594" t="s">
        <v>77</v>
      </c>
      <c r="K594" t="s">
        <v>78</v>
      </c>
      <c r="L594" t="s">
        <v>75</v>
      </c>
      <c r="M594" t="s">
        <v>76</v>
      </c>
      <c r="N594" t="s">
        <v>1105</v>
      </c>
      <c r="O594" t="s">
        <v>82</v>
      </c>
      <c r="P594" t="str">
        <f>"217045937                     "</f>
        <v xml:space="preserve">217045937 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6.71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 s="4">
        <v>39.42</v>
      </c>
      <c r="BM594" s="4">
        <v>5.91</v>
      </c>
      <c r="BN594" s="4">
        <v>45.33</v>
      </c>
      <c r="BO594" s="4">
        <v>45.33</v>
      </c>
      <c r="BQ594" t="s">
        <v>1106</v>
      </c>
      <c r="BR594" t="s">
        <v>84</v>
      </c>
      <c r="BS594" s="3">
        <v>43776</v>
      </c>
      <c r="BT594" s="5">
        <v>0.40625</v>
      </c>
      <c r="BU594" t="s">
        <v>1107</v>
      </c>
      <c r="BV594" t="s">
        <v>86</v>
      </c>
      <c r="BY594">
        <v>1200</v>
      </c>
      <c r="CC594" t="s">
        <v>76</v>
      </c>
      <c r="CD594">
        <v>1609</v>
      </c>
      <c r="CE594" t="s">
        <v>147</v>
      </c>
      <c r="CF594" s="3">
        <v>43777</v>
      </c>
      <c r="CI594">
        <v>1</v>
      </c>
      <c r="CJ594">
        <v>1</v>
      </c>
      <c r="CK594">
        <v>22</v>
      </c>
      <c r="CL594" t="s">
        <v>89</v>
      </c>
    </row>
    <row r="595" spans="1:90">
      <c r="A595" t="s">
        <v>72</v>
      </c>
      <c r="B595" t="s">
        <v>73</v>
      </c>
      <c r="C595" t="s">
        <v>74</v>
      </c>
      <c r="E595" t="str">
        <f>"FES1162721417"</f>
        <v>FES1162721417</v>
      </c>
      <c r="F595" s="3">
        <v>43775</v>
      </c>
      <c r="G595">
        <v>202005</v>
      </c>
      <c r="H595" t="s">
        <v>75</v>
      </c>
      <c r="I595" t="s">
        <v>76</v>
      </c>
      <c r="J595" t="s">
        <v>77</v>
      </c>
      <c r="K595" t="s">
        <v>78</v>
      </c>
      <c r="L595" t="s">
        <v>133</v>
      </c>
      <c r="M595" t="s">
        <v>134</v>
      </c>
      <c r="N595" t="s">
        <v>310</v>
      </c>
      <c r="O595" t="s">
        <v>82</v>
      </c>
      <c r="P595" t="str">
        <f>"2170713007                    "</f>
        <v xml:space="preserve">2170713007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8.58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0.9</v>
      </c>
      <c r="BJ595">
        <v>0.8</v>
      </c>
      <c r="BK595">
        <v>1</v>
      </c>
      <c r="BL595" s="4">
        <v>50.45</v>
      </c>
      <c r="BM595" s="4">
        <v>7.57</v>
      </c>
      <c r="BN595" s="4">
        <v>58.02</v>
      </c>
      <c r="BO595" s="4">
        <v>58.02</v>
      </c>
      <c r="BQ595" t="s">
        <v>121</v>
      </c>
      <c r="BR595" t="s">
        <v>84</v>
      </c>
      <c r="BS595" s="3">
        <v>43776</v>
      </c>
      <c r="BT595" s="5">
        <v>0.40625</v>
      </c>
      <c r="BU595" t="s">
        <v>1108</v>
      </c>
      <c r="BV595" t="s">
        <v>86</v>
      </c>
      <c r="BY595">
        <v>3786.84</v>
      </c>
      <c r="CA595" t="s">
        <v>1109</v>
      </c>
      <c r="CC595" t="s">
        <v>134</v>
      </c>
      <c r="CD595">
        <v>5201</v>
      </c>
      <c r="CE595" t="s">
        <v>88</v>
      </c>
      <c r="CF595" s="3">
        <v>43777</v>
      </c>
      <c r="CI595">
        <v>1</v>
      </c>
      <c r="CJ595">
        <v>1</v>
      </c>
      <c r="CK595">
        <v>21</v>
      </c>
      <c r="CL595" t="s">
        <v>89</v>
      </c>
    </row>
    <row r="596" spans="1:90">
      <c r="A596" t="s">
        <v>72</v>
      </c>
      <c r="B596" t="s">
        <v>73</v>
      </c>
      <c r="C596" t="s">
        <v>74</v>
      </c>
      <c r="E596" t="str">
        <f>"FES1162721666"</f>
        <v>FES1162721666</v>
      </c>
      <c r="F596" s="3">
        <v>43775</v>
      </c>
      <c r="G596">
        <v>202005</v>
      </c>
      <c r="H596" t="s">
        <v>75</v>
      </c>
      <c r="I596" t="s">
        <v>76</v>
      </c>
      <c r="J596" t="s">
        <v>77</v>
      </c>
      <c r="K596" t="s">
        <v>78</v>
      </c>
      <c r="L596" t="s">
        <v>522</v>
      </c>
      <c r="M596" t="s">
        <v>523</v>
      </c>
      <c r="N596" t="s">
        <v>1080</v>
      </c>
      <c r="O596" t="s">
        <v>82</v>
      </c>
      <c r="P596" t="str">
        <f>"2170715873                    "</f>
        <v xml:space="preserve">2170715873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16.63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 s="4">
        <v>97.75</v>
      </c>
      <c r="BM596" s="4">
        <v>14.66</v>
      </c>
      <c r="BN596" s="4">
        <v>112.41</v>
      </c>
      <c r="BO596" s="4">
        <v>112.41</v>
      </c>
      <c r="BQ596" t="s">
        <v>121</v>
      </c>
      <c r="BR596" t="s">
        <v>84</v>
      </c>
      <c r="BS596" s="3">
        <v>43776</v>
      </c>
      <c r="BT596" s="5">
        <v>0.4375</v>
      </c>
      <c r="BU596" t="s">
        <v>1110</v>
      </c>
      <c r="BV596" t="s">
        <v>86</v>
      </c>
      <c r="BY596">
        <v>1200</v>
      </c>
      <c r="CA596" t="s">
        <v>526</v>
      </c>
      <c r="CC596" t="s">
        <v>523</v>
      </c>
      <c r="CD596">
        <v>1911</v>
      </c>
      <c r="CE596" t="s">
        <v>147</v>
      </c>
      <c r="CF596" s="3">
        <v>43777</v>
      </c>
      <c r="CI596">
        <v>1</v>
      </c>
      <c r="CJ596">
        <v>1</v>
      </c>
      <c r="CK596">
        <v>23</v>
      </c>
      <c r="CL596" t="s">
        <v>89</v>
      </c>
    </row>
    <row r="597" spans="1:90">
      <c r="A597" t="s">
        <v>72</v>
      </c>
      <c r="B597" t="s">
        <v>73</v>
      </c>
      <c r="C597" t="s">
        <v>74</v>
      </c>
      <c r="E597" t="str">
        <f>"FES1162721527"</f>
        <v>FES1162721527</v>
      </c>
      <c r="F597" s="3">
        <v>43775</v>
      </c>
      <c r="G597">
        <v>202005</v>
      </c>
      <c r="H597" t="s">
        <v>75</v>
      </c>
      <c r="I597" t="s">
        <v>76</v>
      </c>
      <c r="J597" t="s">
        <v>77</v>
      </c>
      <c r="K597" t="s">
        <v>78</v>
      </c>
      <c r="L597" t="s">
        <v>482</v>
      </c>
      <c r="M597" t="s">
        <v>483</v>
      </c>
      <c r="N597" t="s">
        <v>449</v>
      </c>
      <c r="O597" t="s">
        <v>82</v>
      </c>
      <c r="P597" t="str">
        <f>"2170715704                    "</f>
        <v xml:space="preserve">2170715704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6.71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 s="4">
        <v>39.42</v>
      </c>
      <c r="BM597" s="4">
        <v>5.91</v>
      </c>
      <c r="BN597" s="4">
        <v>45.33</v>
      </c>
      <c r="BO597" s="4">
        <v>45.33</v>
      </c>
      <c r="BQ597" t="s">
        <v>109</v>
      </c>
      <c r="BR597" t="s">
        <v>84</v>
      </c>
      <c r="BS597" s="3">
        <v>43776</v>
      </c>
      <c r="BT597" s="5">
        <v>0.375</v>
      </c>
      <c r="BU597" t="s">
        <v>1111</v>
      </c>
      <c r="BV597" t="s">
        <v>86</v>
      </c>
      <c r="BY597">
        <v>1200</v>
      </c>
      <c r="CC597" t="s">
        <v>483</v>
      </c>
      <c r="CD597">
        <v>1459</v>
      </c>
      <c r="CE597" t="s">
        <v>147</v>
      </c>
      <c r="CF597" s="3">
        <v>43777</v>
      </c>
      <c r="CI597">
        <v>1</v>
      </c>
      <c r="CJ597">
        <v>1</v>
      </c>
      <c r="CK597">
        <v>22</v>
      </c>
      <c r="CL597" t="s">
        <v>89</v>
      </c>
    </row>
    <row r="598" spans="1:90">
      <c r="A598" t="s">
        <v>72</v>
      </c>
      <c r="B598" t="s">
        <v>73</v>
      </c>
      <c r="C598" t="s">
        <v>74</v>
      </c>
      <c r="E598" t="str">
        <f>"FES1162721657"</f>
        <v>FES1162721657</v>
      </c>
      <c r="F598" s="3">
        <v>43775</v>
      </c>
      <c r="G598">
        <v>202005</v>
      </c>
      <c r="H598" t="s">
        <v>75</v>
      </c>
      <c r="I598" t="s">
        <v>76</v>
      </c>
      <c r="J598" t="s">
        <v>77</v>
      </c>
      <c r="K598" t="s">
        <v>78</v>
      </c>
      <c r="L598" t="s">
        <v>124</v>
      </c>
      <c r="M598" t="s">
        <v>125</v>
      </c>
      <c r="N598" t="s">
        <v>1112</v>
      </c>
      <c r="O598" t="s">
        <v>82</v>
      </c>
      <c r="P598" t="str">
        <f>"2170715869                    "</f>
        <v xml:space="preserve">2170715869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6.71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 s="4">
        <v>39.42</v>
      </c>
      <c r="BM598" s="4">
        <v>5.91</v>
      </c>
      <c r="BN598" s="4">
        <v>45.33</v>
      </c>
      <c r="BO598" s="4">
        <v>45.33</v>
      </c>
      <c r="BR598" t="s">
        <v>84</v>
      </c>
      <c r="BS598" s="3">
        <v>43776</v>
      </c>
      <c r="BT598" s="5">
        <v>0.4375</v>
      </c>
      <c r="BU598" t="s">
        <v>1113</v>
      </c>
      <c r="BV598" t="s">
        <v>86</v>
      </c>
      <c r="BY598">
        <v>1200</v>
      </c>
      <c r="CA598" t="s">
        <v>797</v>
      </c>
      <c r="CC598" t="s">
        <v>125</v>
      </c>
      <c r="CD598">
        <v>2065</v>
      </c>
      <c r="CE598" t="s">
        <v>147</v>
      </c>
      <c r="CF598" s="3">
        <v>43777</v>
      </c>
      <c r="CI598">
        <v>1</v>
      </c>
      <c r="CJ598">
        <v>1</v>
      </c>
      <c r="CK598">
        <v>22</v>
      </c>
      <c r="CL598" t="s">
        <v>89</v>
      </c>
    </row>
    <row r="599" spans="1:90">
      <c r="A599" t="s">
        <v>72</v>
      </c>
      <c r="B599" t="s">
        <v>73</v>
      </c>
      <c r="C599" t="s">
        <v>74</v>
      </c>
      <c r="E599" t="str">
        <f>"FES1162721593"</f>
        <v>FES1162721593</v>
      </c>
      <c r="F599" s="3">
        <v>43775</v>
      </c>
      <c r="G599">
        <v>202005</v>
      </c>
      <c r="H599" t="s">
        <v>75</v>
      </c>
      <c r="I599" t="s">
        <v>76</v>
      </c>
      <c r="J599" t="s">
        <v>77</v>
      </c>
      <c r="K599" t="s">
        <v>78</v>
      </c>
      <c r="L599" t="s">
        <v>482</v>
      </c>
      <c r="M599" t="s">
        <v>483</v>
      </c>
      <c r="N599" t="s">
        <v>1114</v>
      </c>
      <c r="O599" t="s">
        <v>82</v>
      </c>
      <c r="P599" t="str">
        <f>"2170715590                    "</f>
        <v xml:space="preserve">2170715590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6.71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 s="4">
        <v>39.42</v>
      </c>
      <c r="BM599" s="4">
        <v>5.91</v>
      </c>
      <c r="BN599" s="4">
        <v>45.33</v>
      </c>
      <c r="BO599" s="4">
        <v>45.33</v>
      </c>
      <c r="BQ599" t="s">
        <v>142</v>
      </c>
      <c r="BR599" t="s">
        <v>84</v>
      </c>
      <c r="BS599" s="3">
        <v>43776</v>
      </c>
      <c r="BT599" s="5">
        <v>0.3743055555555555</v>
      </c>
      <c r="BU599" t="s">
        <v>1115</v>
      </c>
      <c r="BV599" t="s">
        <v>86</v>
      </c>
      <c r="BY599">
        <v>1200</v>
      </c>
      <c r="CA599" t="s">
        <v>1094</v>
      </c>
      <c r="CC599" t="s">
        <v>483</v>
      </c>
      <c r="CD599">
        <v>1459</v>
      </c>
      <c r="CE599" t="s">
        <v>147</v>
      </c>
      <c r="CF599" s="3">
        <v>43777</v>
      </c>
      <c r="CI599">
        <v>1</v>
      </c>
      <c r="CJ599">
        <v>1</v>
      </c>
      <c r="CK599">
        <v>22</v>
      </c>
      <c r="CL599" t="s">
        <v>89</v>
      </c>
    </row>
    <row r="600" spans="1:90">
      <c r="A600" t="s">
        <v>72</v>
      </c>
      <c r="B600" t="s">
        <v>73</v>
      </c>
      <c r="C600" t="s">
        <v>74</v>
      </c>
      <c r="E600" t="str">
        <f>"FES1162721653"</f>
        <v>FES1162721653</v>
      </c>
      <c r="F600" s="3">
        <v>43775</v>
      </c>
      <c r="G600">
        <v>202005</v>
      </c>
      <c r="H600" t="s">
        <v>75</v>
      </c>
      <c r="I600" t="s">
        <v>76</v>
      </c>
      <c r="J600" t="s">
        <v>77</v>
      </c>
      <c r="K600" t="s">
        <v>78</v>
      </c>
      <c r="L600" t="s">
        <v>75</v>
      </c>
      <c r="M600" t="s">
        <v>76</v>
      </c>
      <c r="N600" t="s">
        <v>1116</v>
      </c>
      <c r="O600" t="s">
        <v>82</v>
      </c>
      <c r="P600" t="str">
        <f>"2170715860                    "</f>
        <v xml:space="preserve">2170715860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9.92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3.7</v>
      </c>
      <c r="BJ600">
        <v>1.5</v>
      </c>
      <c r="BK600">
        <v>4</v>
      </c>
      <c r="BL600" s="4">
        <v>58.31</v>
      </c>
      <c r="BM600" s="4">
        <v>8.75</v>
      </c>
      <c r="BN600" s="4">
        <v>67.06</v>
      </c>
      <c r="BO600" s="4">
        <v>67.06</v>
      </c>
      <c r="BQ600" t="s">
        <v>121</v>
      </c>
      <c r="BR600" t="s">
        <v>84</v>
      </c>
      <c r="BS600" s="3">
        <v>43776</v>
      </c>
      <c r="BT600" s="5">
        <v>0.33680555555555558</v>
      </c>
      <c r="BU600" t="s">
        <v>1039</v>
      </c>
      <c r="BV600" t="s">
        <v>86</v>
      </c>
      <c r="BY600">
        <v>7744.46</v>
      </c>
      <c r="CA600" t="s">
        <v>123</v>
      </c>
      <c r="CC600" t="s">
        <v>76</v>
      </c>
      <c r="CD600">
        <v>1666</v>
      </c>
      <c r="CE600" t="s">
        <v>88</v>
      </c>
      <c r="CF600" s="3">
        <v>43777</v>
      </c>
      <c r="CI600">
        <v>1</v>
      </c>
      <c r="CJ600">
        <v>1</v>
      </c>
      <c r="CK600">
        <v>22</v>
      </c>
      <c r="CL600" t="s">
        <v>89</v>
      </c>
    </row>
    <row r="601" spans="1:90">
      <c r="A601" t="s">
        <v>72</v>
      </c>
      <c r="B601" t="s">
        <v>73</v>
      </c>
      <c r="C601" t="s">
        <v>74</v>
      </c>
      <c r="E601" t="str">
        <f>"FES1162721621"</f>
        <v>FES1162721621</v>
      </c>
      <c r="F601" s="3">
        <v>43775</v>
      </c>
      <c r="G601">
        <v>202005</v>
      </c>
      <c r="H601" t="s">
        <v>75</v>
      </c>
      <c r="I601" t="s">
        <v>76</v>
      </c>
      <c r="J601" t="s">
        <v>77</v>
      </c>
      <c r="K601" t="s">
        <v>78</v>
      </c>
      <c r="L601" t="s">
        <v>90</v>
      </c>
      <c r="M601" t="s">
        <v>91</v>
      </c>
      <c r="N601" t="s">
        <v>401</v>
      </c>
      <c r="O601" t="s">
        <v>82</v>
      </c>
      <c r="P601" t="str">
        <f>"2170715813                    "</f>
        <v xml:space="preserve">2170715813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8.58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 s="4">
        <v>50.45</v>
      </c>
      <c r="BM601" s="4">
        <v>7.57</v>
      </c>
      <c r="BN601" s="4">
        <v>58.02</v>
      </c>
      <c r="BO601" s="4">
        <v>58.02</v>
      </c>
      <c r="BQ601" t="s">
        <v>109</v>
      </c>
      <c r="BR601" t="s">
        <v>84</v>
      </c>
      <c r="BS601" s="3">
        <v>43776</v>
      </c>
      <c r="BT601" s="5">
        <v>0.33749999999999997</v>
      </c>
      <c r="BU601" t="s">
        <v>1019</v>
      </c>
      <c r="BV601" t="s">
        <v>86</v>
      </c>
      <c r="BY601">
        <v>1200</v>
      </c>
      <c r="CA601" t="s">
        <v>221</v>
      </c>
      <c r="CC601" t="s">
        <v>91</v>
      </c>
      <c r="CD601">
        <v>7441</v>
      </c>
      <c r="CE601" t="s">
        <v>147</v>
      </c>
      <c r="CF601" s="3">
        <v>43777</v>
      </c>
      <c r="CI601">
        <v>1</v>
      </c>
      <c r="CJ601">
        <v>1</v>
      </c>
      <c r="CK601">
        <v>21</v>
      </c>
      <c r="CL601" t="s">
        <v>89</v>
      </c>
    </row>
    <row r="602" spans="1:90">
      <c r="A602" t="s">
        <v>72</v>
      </c>
      <c r="B602" t="s">
        <v>73</v>
      </c>
      <c r="C602" t="s">
        <v>74</v>
      </c>
      <c r="E602" t="str">
        <f>"FES1162721616"</f>
        <v>FES1162721616</v>
      </c>
      <c r="F602" s="3">
        <v>43775</v>
      </c>
      <c r="G602">
        <v>202005</v>
      </c>
      <c r="H602" t="s">
        <v>75</v>
      </c>
      <c r="I602" t="s">
        <v>76</v>
      </c>
      <c r="J602" t="s">
        <v>77</v>
      </c>
      <c r="K602" t="s">
        <v>78</v>
      </c>
      <c r="L602" t="s">
        <v>783</v>
      </c>
      <c r="M602" t="s">
        <v>784</v>
      </c>
      <c r="N602" t="s">
        <v>1117</v>
      </c>
      <c r="O602" t="s">
        <v>82</v>
      </c>
      <c r="P602" t="str">
        <f>"2170715803                    "</f>
        <v xml:space="preserve">2170715803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24.14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1.9</v>
      </c>
      <c r="BJ602">
        <v>3</v>
      </c>
      <c r="BK602">
        <v>3</v>
      </c>
      <c r="BL602" s="4">
        <v>141.9</v>
      </c>
      <c r="BM602" s="4">
        <v>21.29</v>
      </c>
      <c r="BN602" s="4">
        <v>163.19</v>
      </c>
      <c r="BO602" s="4">
        <v>163.19</v>
      </c>
      <c r="BQ602" t="s">
        <v>121</v>
      </c>
      <c r="BR602" t="s">
        <v>84</v>
      </c>
      <c r="BS602" s="3">
        <v>43776</v>
      </c>
      <c r="BT602" s="5">
        <v>0.39583333333333331</v>
      </c>
      <c r="BU602" t="s">
        <v>1118</v>
      </c>
      <c r="BV602" t="s">
        <v>86</v>
      </c>
      <c r="BY602">
        <v>14954.02</v>
      </c>
      <c r="CA602" t="s">
        <v>1119</v>
      </c>
      <c r="CC602" t="s">
        <v>784</v>
      </c>
      <c r="CD602">
        <v>9880</v>
      </c>
      <c r="CE602" t="s">
        <v>88</v>
      </c>
      <c r="CF602" s="3">
        <v>43780</v>
      </c>
      <c r="CI602">
        <v>1</v>
      </c>
      <c r="CJ602">
        <v>1</v>
      </c>
      <c r="CK602">
        <v>23</v>
      </c>
      <c r="CL602" t="s">
        <v>89</v>
      </c>
    </row>
    <row r="603" spans="1:90">
      <c r="A603" t="s">
        <v>72</v>
      </c>
      <c r="B603" t="s">
        <v>73</v>
      </c>
      <c r="C603" t="s">
        <v>74</v>
      </c>
      <c r="E603" t="str">
        <f>"FES1162721628"</f>
        <v>FES1162721628</v>
      </c>
      <c r="F603" s="3">
        <v>43775</v>
      </c>
      <c r="G603">
        <v>202005</v>
      </c>
      <c r="H603" t="s">
        <v>75</v>
      </c>
      <c r="I603" t="s">
        <v>76</v>
      </c>
      <c r="J603" t="s">
        <v>77</v>
      </c>
      <c r="K603" t="s">
        <v>78</v>
      </c>
      <c r="L603" t="s">
        <v>90</v>
      </c>
      <c r="M603" t="s">
        <v>91</v>
      </c>
      <c r="N603" t="s">
        <v>505</v>
      </c>
      <c r="O603" t="s">
        <v>82</v>
      </c>
      <c r="P603" t="str">
        <f>"217071589                     "</f>
        <v xml:space="preserve">217071589 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8.58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 s="4">
        <v>50.45</v>
      </c>
      <c r="BM603" s="4">
        <v>7.57</v>
      </c>
      <c r="BN603" s="4">
        <v>58.02</v>
      </c>
      <c r="BO603" s="4">
        <v>58.02</v>
      </c>
      <c r="BQ603" t="s">
        <v>121</v>
      </c>
      <c r="BR603" t="s">
        <v>84</v>
      </c>
      <c r="BS603" s="3">
        <v>43776</v>
      </c>
      <c r="BT603" s="5">
        <v>0.3430555555555555</v>
      </c>
      <c r="BU603" t="s">
        <v>1120</v>
      </c>
      <c r="BV603" t="s">
        <v>86</v>
      </c>
      <c r="BY603">
        <v>1200</v>
      </c>
      <c r="CA603" t="s">
        <v>1121</v>
      </c>
      <c r="CC603" t="s">
        <v>91</v>
      </c>
      <c r="CD603">
        <v>7764</v>
      </c>
      <c r="CE603" t="s">
        <v>147</v>
      </c>
      <c r="CF603" s="3">
        <v>43777</v>
      </c>
      <c r="CI603">
        <v>1</v>
      </c>
      <c r="CJ603">
        <v>1</v>
      </c>
      <c r="CK603">
        <v>21</v>
      </c>
      <c r="CL603" t="s">
        <v>89</v>
      </c>
    </row>
    <row r="604" spans="1:90">
      <c r="A604" t="s">
        <v>72</v>
      </c>
      <c r="B604" t="s">
        <v>73</v>
      </c>
      <c r="C604" t="s">
        <v>74</v>
      </c>
      <c r="E604" t="str">
        <f>"FES1162721603"</f>
        <v>FES1162721603</v>
      </c>
      <c r="F604" s="3">
        <v>43775</v>
      </c>
      <c r="G604">
        <v>202005</v>
      </c>
      <c r="H604" t="s">
        <v>75</v>
      </c>
      <c r="I604" t="s">
        <v>76</v>
      </c>
      <c r="J604" t="s">
        <v>77</v>
      </c>
      <c r="K604" t="s">
        <v>78</v>
      </c>
      <c r="L604" t="s">
        <v>75</v>
      </c>
      <c r="M604" t="s">
        <v>76</v>
      </c>
      <c r="N604" t="s">
        <v>391</v>
      </c>
      <c r="O604" t="s">
        <v>82</v>
      </c>
      <c r="P604" t="str">
        <f>"2170715785                    "</f>
        <v xml:space="preserve">2170715785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6.71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 s="4">
        <v>39.42</v>
      </c>
      <c r="BM604" s="4">
        <v>5.91</v>
      </c>
      <c r="BN604" s="4">
        <v>45.33</v>
      </c>
      <c r="BO604" s="4">
        <v>45.33</v>
      </c>
      <c r="BQ604" t="s">
        <v>109</v>
      </c>
      <c r="BR604" t="s">
        <v>84</v>
      </c>
      <c r="BS604" s="3">
        <v>43776</v>
      </c>
      <c r="BT604" s="5">
        <v>0.2951388888888889</v>
      </c>
      <c r="BU604" t="s">
        <v>1122</v>
      </c>
      <c r="BV604" t="s">
        <v>86</v>
      </c>
      <c r="BY604">
        <v>1200</v>
      </c>
      <c r="CA604" t="s">
        <v>368</v>
      </c>
      <c r="CC604" t="s">
        <v>76</v>
      </c>
      <c r="CD604">
        <v>1600</v>
      </c>
      <c r="CE604" t="s">
        <v>147</v>
      </c>
      <c r="CF604" s="3">
        <v>43777</v>
      </c>
      <c r="CI604">
        <v>1</v>
      </c>
      <c r="CJ604">
        <v>1</v>
      </c>
      <c r="CK604">
        <v>22</v>
      </c>
      <c r="CL604" t="s">
        <v>89</v>
      </c>
    </row>
    <row r="605" spans="1:90">
      <c r="A605" t="s">
        <v>72</v>
      </c>
      <c r="B605" t="s">
        <v>73</v>
      </c>
      <c r="C605" t="s">
        <v>74</v>
      </c>
      <c r="E605" t="str">
        <f>"FES1162721469"</f>
        <v>FES1162721469</v>
      </c>
      <c r="F605" s="3">
        <v>43775</v>
      </c>
      <c r="G605">
        <v>202005</v>
      </c>
      <c r="H605" t="s">
        <v>75</v>
      </c>
      <c r="I605" t="s">
        <v>76</v>
      </c>
      <c r="J605" t="s">
        <v>77</v>
      </c>
      <c r="K605" t="s">
        <v>78</v>
      </c>
      <c r="L605" t="s">
        <v>118</v>
      </c>
      <c r="M605" t="s">
        <v>119</v>
      </c>
      <c r="N605" t="s">
        <v>1123</v>
      </c>
      <c r="O605" t="s">
        <v>82</v>
      </c>
      <c r="P605" t="str">
        <f>"2170713732                    "</f>
        <v xml:space="preserve">2170713732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8.58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 s="4">
        <v>50.45</v>
      </c>
      <c r="BM605" s="4">
        <v>7.57</v>
      </c>
      <c r="BN605" s="4">
        <v>58.02</v>
      </c>
      <c r="BO605" s="4">
        <v>58.02</v>
      </c>
      <c r="BQ605" t="s">
        <v>1124</v>
      </c>
      <c r="BR605" t="s">
        <v>84</v>
      </c>
      <c r="BS605" s="3">
        <v>43776</v>
      </c>
      <c r="BT605" s="5">
        <v>0.40902777777777777</v>
      </c>
      <c r="BU605" t="s">
        <v>1125</v>
      </c>
      <c r="BV605" t="s">
        <v>86</v>
      </c>
      <c r="BY605">
        <v>1200</v>
      </c>
      <c r="CA605" t="s">
        <v>171</v>
      </c>
      <c r="CC605" t="s">
        <v>119</v>
      </c>
      <c r="CD605">
        <v>3201</v>
      </c>
      <c r="CE605" t="s">
        <v>147</v>
      </c>
      <c r="CF605" s="3">
        <v>43777</v>
      </c>
      <c r="CI605">
        <v>1</v>
      </c>
      <c r="CJ605">
        <v>1</v>
      </c>
      <c r="CK605">
        <v>21</v>
      </c>
      <c r="CL605" t="s">
        <v>89</v>
      </c>
    </row>
    <row r="606" spans="1:90">
      <c r="A606" t="s">
        <v>72</v>
      </c>
      <c r="B606" t="s">
        <v>73</v>
      </c>
      <c r="C606" t="s">
        <v>74</v>
      </c>
      <c r="E606" t="str">
        <f>"FES1162721691"</f>
        <v>FES1162721691</v>
      </c>
      <c r="F606" s="3">
        <v>43775</v>
      </c>
      <c r="G606">
        <v>202005</v>
      </c>
      <c r="H606" t="s">
        <v>75</v>
      </c>
      <c r="I606" t="s">
        <v>76</v>
      </c>
      <c r="J606" t="s">
        <v>77</v>
      </c>
      <c r="K606" t="s">
        <v>78</v>
      </c>
      <c r="L606" t="s">
        <v>133</v>
      </c>
      <c r="M606" t="s">
        <v>134</v>
      </c>
      <c r="N606" t="s">
        <v>310</v>
      </c>
      <c r="O606" t="s">
        <v>82</v>
      </c>
      <c r="P606" t="str">
        <f>"2170715910                    "</f>
        <v xml:space="preserve">2170715910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8.58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 s="4">
        <v>50.45</v>
      </c>
      <c r="BM606" s="4">
        <v>7.57</v>
      </c>
      <c r="BN606" s="4">
        <v>58.02</v>
      </c>
      <c r="BO606" s="4">
        <v>58.02</v>
      </c>
      <c r="BQ606" t="s">
        <v>121</v>
      </c>
      <c r="BR606" t="s">
        <v>84</v>
      </c>
      <c r="BS606" s="3">
        <v>43776</v>
      </c>
      <c r="BT606" s="5">
        <v>0.4236111111111111</v>
      </c>
      <c r="BU606" t="s">
        <v>1126</v>
      </c>
      <c r="BV606" t="s">
        <v>86</v>
      </c>
      <c r="BY606">
        <v>1200</v>
      </c>
      <c r="CA606" t="s">
        <v>137</v>
      </c>
      <c r="CC606" t="s">
        <v>134</v>
      </c>
      <c r="CD606">
        <v>5201</v>
      </c>
      <c r="CE606" t="s">
        <v>147</v>
      </c>
      <c r="CF606" s="3">
        <v>43780</v>
      </c>
      <c r="CI606">
        <v>1</v>
      </c>
      <c r="CJ606">
        <v>1</v>
      </c>
      <c r="CK606">
        <v>21</v>
      </c>
      <c r="CL606" t="s">
        <v>89</v>
      </c>
    </row>
    <row r="607" spans="1:90">
      <c r="A607" t="s">
        <v>72</v>
      </c>
      <c r="B607" t="s">
        <v>73</v>
      </c>
      <c r="C607" t="s">
        <v>74</v>
      </c>
      <c r="E607" t="str">
        <f>"FES1162721399"</f>
        <v>FES1162721399</v>
      </c>
      <c r="F607" s="3">
        <v>43775</v>
      </c>
      <c r="G607">
        <v>202005</v>
      </c>
      <c r="H607" t="s">
        <v>75</v>
      </c>
      <c r="I607" t="s">
        <v>76</v>
      </c>
      <c r="J607" t="s">
        <v>77</v>
      </c>
      <c r="K607" t="s">
        <v>78</v>
      </c>
      <c r="L607" t="s">
        <v>124</v>
      </c>
      <c r="M607" t="s">
        <v>125</v>
      </c>
      <c r="N607" t="s">
        <v>218</v>
      </c>
      <c r="O607" t="s">
        <v>82</v>
      </c>
      <c r="P607" t="str">
        <f>"2170715703                    "</f>
        <v xml:space="preserve">2170715703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20.37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10.4</v>
      </c>
      <c r="BJ607">
        <v>3.4</v>
      </c>
      <c r="BK607">
        <v>10.5</v>
      </c>
      <c r="BL607" s="4">
        <v>119.72</v>
      </c>
      <c r="BM607" s="4">
        <v>17.96</v>
      </c>
      <c r="BN607" s="4">
        <v>137.68</v>
      </c>
      <c r="BO607" s="4">
        <v>137.68</v>
      </c>
      <c r="BQ607" t="s">
        <v>121</v>
      </c>
      <c r="BR607" t="s">
        <v>84</v>
      </c>
      <c r="BS607" s="3">
        <v>43776</v>
      </c>
      <c r="BT607" s="5">
        <v>0.41805555555555557</v>
      </c>
      <c r="BU607" t="s">
        <v>1023</v>
      </c>
      <c r="BV607" t="s">
        <v>86</v>
      </c>
      <c r="BY607">
        <v>17205.509999999998</v>
      </c>
      <c r="CA607" t="s">
        <v>123</v>
      </c>
      <c r="CC607" t="s">
        <v>125</v>
      </c>
      <c r="CD607">
        <v>2094</v>
      </c>
      <c r="CE607" t="s">
        <v>88</v>
      </c>
      <c r="CF607" s="3">
        <v>43777</v>
      </c>
      <c r="CI607">
        <v>1</v>
      </c>
      <c r="CJ607">
        <v>1</v>
      </c>
      <c r="CK607">
        <v>22</v>
      </c>
      <c r="CL607" t="s">
        <v>89</v>
      </c>
    </row>
    <row r="608" spans="1:90">
      <c r="A608" t="s">
        <v>72</v>
      </c>
      <c r="B608" t="s">
        <v>73</v>
      </c>
      <c r="C608" t="s">
        <v>74</v>
      </c>
      <c r="E608" t="str">
        <f>"FES1162721693"</f>
        <v>FES1162721693</v>
      </c>
      <c r="F608" s="3">
        <v>43775</v>
      </c>
      <c r="G608">
        <v>202005</v>
      </c>
      <c r="H608" t="s">
        <v>75</v>
      </c>
      <c r="I608" t="s">
        <v>76</v>
      </c>
      <c r="J608" t="s">
        <v>77</v>
      </c>
      <c r="K608" t="s">
        <v>78</v>
      </c>
      <c r="L608" t="s">
        <v>90</v>
      </c>
      <c r="M608" t="s">
        <v>91</v>
      </c>
      <c r="N608" t="s">
        <v>230</v>
      </c>
      <c r="O608" t="s">
        <v>82</v>
      </c>
      <c r="P608" t="str">
        <f>"2170715917                    "</f>
        <v xml:space="preserve">2170715917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36.46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5.3</v>
      </c>
      <c r="BJ608">
        <v>8.1</v>
      </c>
      <c r="BK608">
        <v>8.5</v>
      </c>
      <c r="BL608" s="4">
        <v>214.31</v>
      </c>
      <c r="BM608" s="4">
        <v>32.15</v>
      </c>
      <c r="BN608" s="4">
        <v>246.46</v>
      </c>
      <c r="BO608" s="4">
        <v>246.46</v>
      </c>
      <c r="BQ608" t="s">
        <v>121</v>
      </c>
      <c r="BR608" t="s">
        <v>84</v>
      </c>
      <c r="BS608" s="3">
        <v>43776</v>
      </c>
      <c r="BT608" s="5">
        <v>0.41180555555555554</v>
      </c>
      <c r="BU608" t="s">
        <v>1127</v>
      </c>
      <c r="BV608" t="s">
        <v>86</v>
      </c>
      <c r="BY608">
        <v>40676.18</v>
      </c>
      <c r="CA608" t="s">
        <v>515</v>
      </c>
      <c r="CC608" t="s">
        <v>91</v>
      </c>
      <c r="CD608">
        <v>7490</v>
      </c>
      <c r="CE608" t="s">
        <v>88</v>
      </c>
      <c r="CF608" s="3">
        <v>43777</v>
      </c>
      <c r="CI608">
        <v>1</v>
      </c>
      <c r="CJ608">
        <v>1</v>
      </c>
      <c r="CK608">
        <v>21</v>
      </c>
      <c r="CL608" t="s">
        <v>89</v>
      </c>
    </row>
    <row r="609" spans="1:90">
      <c r="A609" t="s">
        <v>72</v>
      </c>
      <c r="B609" t="s">
        <v>73</v>
      </c>
      <c r="C609" t="s">
        <v>74</v>
      </c>
      <c r="E609" t="str">
        <f>"FES1162721518"</f>
        <v>FES1162721518</v>
      </c>
      <c r="F609" s="3">
        <v>43775</v>
      </c>
      <c r="G609">
        <v>202005</v>
      </c>
      <c r="H609" t="s">
        <v>75</v>
      </c>
      <c r="I609" t="s">
        <v>76</v>
      </c>
      <c r="J609" t="s">
        <v>77</v>
      </c>
      <c r="K609" t="s">
        <v>78</v>
      </c>
      <c r="L609" t="s">
        <v>101</v>
      </c>
      <c r="M609" t="s">
        <v>102</v>
      </c>
      <c r="N609" t="s">
        <v>103</v>
      </c>
      <c r="O609" t="s">
        <v>82</v>
      </c>
      <c r="P609" t="str">
        <f>"2170715079                    "</f>
        <v xml:space="preserve">2170715079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8.58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 s="4">
        <v>50.45</v>
      </c>
      <c r="BM609" s="4">
        <v>7.57</v>
      </c>
      <c r="BN609" s="4">
        <v>58.02</v>
      </c>
      <c r="BO609" s="4">
        <v>58.02</v>
      </c>
      <c r="BR609" t="s">
        <v>84</v>
      </c>
      <c r="BS609" s="3">
        <v>43776</v>
      </c>
      <c r="BT609" s="5">
        <v>0.53125</v>
      </c>
      <c r="BU609" t="s">
        <v>1128</v>
      </c>
      <c r="BV609" t="s">
        <v>86</v>
      </c>
      <c r="BY609">
        <v>1200</v>
      </c>
      <c r="CC609" t="s">
        <v>102</v>
      </c>
      <c r="CD609">
        <v>183</v>
      </c>
      <c r="CE609" t="s">
        <v>147</v>
      </c>
      <c r="CF609" s="3">
        <v>43777</v>
      </c>
      <c r="CI609">
        <v>1</v>
      </c>
      <c r="CJ609">
        <v>1</v>
      </c>
      <c r="CK609">
        <v>21</v>
      </c>
      <c r="CL609" t="s">
        <v>89</v>
      </c>
    </row>
    <row r="610" spans="1:90">
      <c r="A610" t="s">
        <v>72</v>
      </c>
      <c r="B610" t="s">
        <v>73</v>
      </c>
      <c r="C610" t="s">
        <v>74</v>
      </c>
      <c r="E610" t="str">
        <f>"FES1162721678"</f>
        <v>FES1162721678</v>
      </c>
      <c r="F610" s="3">
        <v>43775</v>
      </c>
      <c r="G610">
        <v>202005</v>
      </c>
      <c r="H610" t="s">
        <v>75</v>
      </c>
      <c r="I610" t="s">
        <v>76</v>
      </c>
      <c r="J610" t="s">
        <v>77</v>
      </c>
      <c r="K610" t="s">
        <v>78</v>
      </c>
      <c r="L610" t="s">
        <v>133</v>
      </c>
      <c r="M610" t="s">
        <v>134</v>
      </c>
      <c r="N610" t="s">
        <v>735</v>
      </c>
      <c r="O610" t="s">
        <v>82</v>
      </c>
      <c r="P610" t="str">
        <f>"2170715907                    "</f>
        <v xml:space="preserve">2170715907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8.58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 s="4">
        <v>50.45</v>
      </c>
      <c r="BM610" s="4">
        <v>7.57</v>
      </c>
      <c r="BN610" s="4">
        <v>58.02</v>
      </c>
      <c r="BO610" s="4">
        <v>58.02</v>
      </c>
      <c r="BR610" t="s">
        <v>84</v>
      </c>
      <c r="BS610" s="3">
        <v>43776</v>
      </c>
      <c r="BT610" s="5">
        <v>0.3611111111111111</v>
      </c>
      <c r="BU610" t="s">
        <v>1129</v>
      </c>
      <c r="BV610" t="s">
        <v>86</v>
      </c>
      <c r="BY610">
        <v>1200</v>
      </c>
      <c r="CA610" t="s">
        <v>698</v>
      </c>
      <c r="CC610" t="s">
        <v>134</v>
      </c>
      <c r="CD610">
        <v>5200</v>
      </c>
      <c r="CE610" t="s">
        <v>147</v>
      </c>
      <c r="CF610" s="3">
        <v>43777</v>
      </c>
      <c r="CI610">
        <v>1</v>
      </c>
      <c r="CJ610">
        <v>1</v>
      </c>
      <c r="CK610">
        <v>21</v>
      </c>
      <c r="CL610" t="s">
        <v>89</v>
      </c>
    </row>
    <row r="611" spans="1:90">
      <c r="A611" t="s">
        <v>72</v>
      </c>
      <c r="B611" t="s">
        <v>73</v>
      </c>
      <c r="C611" t="s">
        <v>74</v>
      </c>
      <c r="E611" t="str">
        <f>"FES1162721494"</f>
        <v>FES1162721494</v>
      </c>
      <c r="F611" s="3">
        <v>43775</v>
      </c>
      <c r="G611">
        <v>202005</v>
      </c>
      <c r="H611" t="s">
        <v>75</v>
      </c>
      <c r="I611" t="s">
        <v>76</v>
      </c>
      <c r="J611" t="s">
        <v>77</v>
      </c>
      <c r="K611" t="s">
        <v>78</v>
      </c>
      <c r="L611" t="s">
        <v>101</v>
      </c>
      <c r="M611" t="s">
        <v>102</v>
      </c>
      <c r="N611" t="s">
        <v>862</v>
      </c>
      <c r="O611" t="s">
        <v>82</v>
      </c>
      <c r="P611" t="str">
        <f>"2170714002                    "</f>
        <v xml:space="preserve">2170714002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8.58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 s="4">
        <v>50.45</v>
      </c>
      <c r="BM611" s="4">
        <v>7.57</v>
      </c>
      <c r="BN611" s="4">
        <v>58.02</v>
      </c>
      <c r="BO611" s="4">
        <v>58.02</v>
      </c>
      <c r="BQ611" t="s">
        <v>863</v>
      </c>
      <c r="BR611" t="s">
        <v>84</v>
      </c>
      <c r="BS611" s="3">
        <v>43776</v>
      </c>
      <c r="BT611" s="5">
        <v>0.38194444444444442</v>
      </c>
      <c r="BU611" t="s">
        <v>1130</v>
      </c>
      <c r="BV611" t="s">
        <v>86</v>
      </c>
      <c r="BY611">
        <v>1200</v>
      </c>
      <c r="CA611" t="s">
        <v>1131</v>
      </c>
      <c r="CC611" t="s">
        <v>102</v>
      </c>
      <c r="CD611">
        <v>182</v>
      </c>
      <c r="CE611" t="s">
        <v>147</v>
      </c>
      <c r="CF611" s="3">
        <v>43777</v>
      </c>
      <c r="CI611">
        <v>1</v>
      </c>
      <c r="CJ611">
        <v>1</v>
      </c>
      <c r="CK611">
        <v>21</v>
      </c>
      <c r="CL611" t="s">
        <v>89</v>
      </c>
    </row>
    <row r="612" spans="1:90">
      <c r="A612" t="s">
        <v>72</v>
      </c>
      <c r="B612" t="s">
        <v>73</v>
      </c>
      <c r="C612" t="s">
        <v>74</v>
      </c>
      <c r="E612" t="str">
        <f>"FES1162721462"</f>
        <v>FES1162721462</v>
      </c>
      <c r="F612" s="3">
        <v>43775</v>
      </c>
      <c r="G612">
        <v>202005</v>
      </c>
      <c r="H612" t="s">
        <v>75</v>
      </c>
      <c r="I612" t="s">
        <v>76</v>
      </c>
      <c r="J612" t="s">
        <v>77</v>
      </c>
      <c r="K612" t="s">
        <v>78</v>
      </c>
      <c r="L612" t="s">
        <v>691</v>
      </c>
      <c r="M612" t="s">
        <v>692</v>
      </c>
      <c r="N612" t="s">
        <v>521</v>
      </c>
      <c r="O612" t="s">
        <v>82</v>
      </c>
      <c r="P612" t="str">
        <f>"2170713964                    "</f>
        <v xml:space="preserve">2170713964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6.71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 s="4">
        <v>39.42</v>
      </c>
      <c r="BM612" s="4">
        <v>5.91</v>
      </c>
      <c r="BN612" s="4">
        <v>45.33</v>
      </c>
      <c r="BO612" s="4">
        <v>45.33</v>
      </c>
      <c r="BQ612" t="s">
        <v>109</v>
      </c>
      <c r="BR612" t="s">
        <v>84</v>
      </c>
      <c r="BS612" s="3">
        <v>43776</v>
      </c>
      <c r="BT612" s="5">
        <v>0.375</v>
      </c>
      <c r="BU612" t="s">
        <v>694</v>
      </c>
      <c r="BV612" t="s">
        <v>86</v>
      </c>
      <c r="BY612">
        <v>1200</v>
      </c>
      <c r="CC612" t="s">
        <v>692</v>
      </c>
      <c r="CD612">
        <v>1559</v>
      </c>
      <c r="CE612" t="s">
        <v>147</v>
      </c>
      <c r="CF612" s="3">
        <v>43777</v>
      </c>
      <c r="CI612">
        <v>1</v>
      </c>
      <c r="CJ612">
        <v>1</v>
      </c>
      <c r="CK612">
        <v>22</v>
      </c>
      <c r="CL612" t="s">
        <v>89</v>
      </c>
    </row>
    <row r="613" spans="1:90">
      <c r="A613" t="s">
        <v>72</v>
      </c>
      <c r="B613" t="s">
        <v>73</v>
      </c>
      <c r="C613" t="s">
        <v>74</v>
      </c>
      <c r="E613" t="str">
        <f>"FES1162721582"</f>
        <v>FES1162721582</v>
      </c>
      <c r="F613" s="3">
        <v>43775</v>
      </c>
      <c r="G613">
        <v>202005</v>
      </c>
      <c r="H613" t="s">
        <v>75</v>
      </c>
      <c r="I613" t="s">
        <v>76</v>
      </c>
      <c r="J613" t="s">
        <v>77</v>
      </c>
      <c r="K613" t="s">
        <v>78</v>
      </c>
      <c r="L613" t="s">
        <v>339</v>
      </c>
      <c r="M613" t="s">
        <v>340</v>
      </c>
      <c r="N613" t="s">
        <v>718</v>
      </c>
      <c r="O613" t="s">
        <v>82</v>
      </c>
      <c r="P613" t="str">
        <f>"2170715754                    "</f>
        <v xml:space="preserve">2170715754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8.58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 s="4">
        <v>50.45</v>
      </c>
      <c r="BM613" s="4">
        <v>7.57</v>
      </c>
      <c r="BN613" s="4">
        <v>58.02</v>
      </c>
      <c r="BO613" s="4">
        <v>58.02</v>
      </c>
      <c r="BR613" t="s">
        <v>84</v>
      </c>
      <c r="BS613" s="3">
        <v>43776</v>
      </c>
      <c r="BT613" s="5">
        <v>0.42777777777777781</v>
      </c>
      <c r="BU613" t="s">
        <v>1132</v>
      </c>
      <c r="BV613" t="s">
        <v>86</v>
      </c>
      <c r="BY613">
        <v>1200</v>
      </c>
      <c r="CA613" t="s">
        <v>720</v>
      </c>
      <c r="CC613" t="s">
        <v>340</v>
      </c>
      <c r="CD613">
        <v>157</v>
      </c>
      <c r="CE613" t="s">
        <v>147</v>
      </c>
      <c r="CF613" s="3">
        <v>43777</v>
      </c>
      <c r="CI613">
        <v>1</v>
      </c>
      <c r="CJ613">
        <v>1</v>
      </c>
      <c r="CK613">
        <v>21</v>
      </c>
      <c r="CL613" t="s">
        <v>89</v>
      </c>
    </row>
    <row r="614" spans="1:90">
      <c r="A614" t="s">
        <v>72</v>
      </c>
      <c r="B614" t="s">
        <v>73</v>
      </c>
      <c r="C614" t="s">
        <v>74</v>
      </c>
      <c r="E614" t="str">
        <f>"FES1162721727"</f>
        <v>FES1162721727</v>
      </c>
      <c r="F614" s="3">
        <v>43775</v>
      </c>
      <c r="G614">
        <v>202005</v>
      </c>
      <c r="H614" t="s">
        <v>75</v>
      </c>
      <c r="I614" t="s">
        <v>76</v>
      </c>
      <c r="J614" t="s">
        <v>77</v>
      </c>
      <c r="K614" t="s">
        <v>78</v>
      </c>
      <c r="L614" t="s">
        <v>270</v>
      </c>
      <c r="M614" t="s">
        <v>271</v>
      </c>
      <c r="N614" t="s">
        <v>618</v>
      </c>
      <c r="O614" t="s">
        <v>82</v>
      </c>
      <c r="P614" t="str">
        <f>"2170715956                    "</f>
        <v xml:space="preserve">2170715956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12.87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2.9</v>
      </c>
      <c r="BJ614">
        <v>1.6</v>
      </c>
      <c r="BK614">
        <v>3</v>
      </c>
      <c r="BL614" s="4">
        <v>75.66</v>
      </c>
      <c r="BM614" s="4">
        <v>11.35</v>
      </c>
      <c r="BN614" s="4">
        <v>87.01</v>
      </c>
      <c r="BO614" s="4">
        <v>87.01</v>
      </c>
      <c r="BQ614" t="s">
        <v>121</v>
      </c>
      <c r="BR614" t="s">
        <v>84</v>
      </c>
      <c r="BS614" s="3">
        <v>43776</v>
      </c>
      <c r="BT614" s="5">
        <v>0.4236111111111111</v>
      </c>
      <c r="BU614" t="s">
        <v>619</v>
      </c>
      <c r="BV614" t="s">
        <v>86</v>
      </c>
      <c r="BY614">
        <v>7828.97</v>
      </c>
      <c r="CA614" t="s">
        <v>773</v>
      </c>
      <c r="CC614" t="s">
        <v>271</v>
      </c>
      <c r="CD614">
        <v>6220</v>
      </c>
      <c r="CE614" t="s">
        <v>88</v>
      </c>
      <c r="CF614" s="3">
        <v>43777</v>
      </c>
      <c r="CI614">
        <v>1</v>
      </c>
      <c r="CJ614">
        <v>1</v>
      </c>
      <c r="CK614">
        <v>21</v>
      </c>
      <c r="CL614" t="s">
        <v>89</v>
      </c>
    </row>
    <row r="615" spans="1:90">
      <c r="A615" t="s">
        <v>72</v>
      </c>
      <c r="B615" t="s">
        <v>73</v>
      </c>
      <c r="C615" t="s">
        <v>74</v>
      </c>
      <c r="E615" t="str">
        <f>"FES1162721542"</f>
        <v>FES1162721542</v>
      </c>
      <c r="F615" s="3">
        <v>43775</v>
      </c>
      <c r="G615">
        <v>202005</v>
      </c>
      <c r="H615" t="s">
        <v>75</v>
      </c>
      <c r="I615" t="s">
        <v>76</v>
      </c>
      <c r="J615" t="s">
        <v>77</v>
      </c>
      <c r="K615" t="s">
        <v>78</v>
      </c>
      <c r="L615" t="s">
        <v>90</v>
      </c>
      <c r="M615" t="s">
        <v>91</v>
      </c>
      <c r="N615" t="s">
        <v>505</v>
      </c>
      <c r="O615" t="s">
        <v>82</v>
      </c>
      <c r="P615" t="str">
        <f>"                              "</f>
        <v xml:space="preserve">          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8.58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1.9</v>
      </c>
      <c r="BJ615">
        <v>0.8</v>
      </c>
      <c r="BK615">
        <v>2</v>
      </c>
      <c r="BL615" s="4">
        <v>50.45</v>
      </c>
      <c r="BM615" s="4">
        <v>7.57</v>
      </c>
      <c r="BN615" s="4">
        <v>58.02</v>
      </c>
      <c r="BO615" s="4">
        <v>58.02</v>
      </c>
      <c r="BP615">
        <v>2170712728</v>
      </c>
      <c r="BQ615" t="s">
        <v>121</v>
      </c>
      <c r="BR615" t="s">
        <v>84</v>
      </c>
      <c r="BS615" s="3">
        <v>43776</v>
      </c>
      <c r="BT615" s="5">
        <v>0.34236111111111112</v>
      </c>
      <c r="BU615" t="s">
        <v>1120</v>
      </c>
      <c r="BV615" t="s">
        <v>86</v>
      </c>
      <c r="BY615">
        <v>3830.67</v>
      </c>
      <c r="CA615" t="s">
        <v>1121</v>
      </c>
      <c r="CC615" t="s">
        <v>91</v>
      </c>
      <c r="CD615">
        <v>7764</v>
      </c>
      <c r="CE615" t="s">
        <v>88</v>
      </c>
      <c r="CF615" s="3">
        <v>43777</v>
      </c>
      <c r="CI615">
        <v>1</v>
      </c>
      <c r="CJ615">
        <v>1</v>
      </c>
      <c r="CK615">
        <v>21</v>
      </c>
      <c r="CL615" t="s">
        <v>89</v>
      </c>
    </row>
    <row r="616" spans="1:90">
      <c r="A616" t="s">
        <v>72</v>
      </c>
      <c r="B616" t="s">
        <v>73</v>
      </c>
      <c r="C616" t="s">
        <v>74</v>
      </c>
      <c r="E616" t="str">
        <f>"FES1162721712"</f>
        <v>FES1162721712</v>
      </c>
      <c r="F616" s="3">
        <v>43775</v>
      </c>
      <c r="G616">
        <v>202005</v>
      </c>
      <c r="H616" t="s">
        <v>75</v>
      </c>
      <c r="I616" t="s">
        <v>76</v>
      </c>
      <c r="J616" t="s">
        <v>77</v>
      </c>
      <c r="K616" t="s">
        <v>78</v>
      </c>
      <c r="L616" t="s">
        <v>304</v>
      </c>
      <c r="M616" t="s">
        <v>305</v>
      </c>
      <c r="N616" t="s">
        <v>306</v>
      </c>
      <c r="O616" t="s">
        <v>82</v>
      </c>
      <c r="P616" t="str">
        <f>"2170715940                    "</f>
        <v xml:space="preserve">2170715940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65.45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5.0999999999999996</v>
      </c>
      <c r="BJ616">
        <v>8.1999999999999993</v>
      </c>
      <c r="BK616">
        <v>8.5</v>
      </c>
      <c r="BL616" s="4">
        <v>384.73</v>
      </c>
      <c r="BM616" s="4">
        <v>57.71</v>
      </c>
      <c r="BN616" s="4">
        <v>442.44</v>
      </c>
      <c r="BO616" s="4">
        <v>442.44</v>
      </c>
      <c r="BQ616" t="s">
        <v>121</v>
      </c>
      <c r="BR616" t="s">
        <v>84</v>
      </c>
      <c r="BS616" s="3">
        <v>43776</v>
      </c>
      <c r="BT616" s="5">
        <v>0.41666666666666669</v>
      </c>
      <c r="BU616" t="s">
        <v>1133</v>
      </c>
      <c r="BV616" t="s">
        <v>86</v>
      </c>
      <c r="BY616">
        <v>41175.97</v>
      </c>
      <c r="CC616" t="s">
        <v>305</v>
      </c>
      <c r="CD616">
        <v>5605</v>
      </c>
      <c r="CE616" t="s">
        <v>88</v>
      </c>
      <c r="CF616" s="3">
        <v>43781</v>
      </c>
      <c r="CI616">
        <v>4</v>
      </c>
      <c r="CJ616">
        <v>1</v>
      </c>
      <c r="CK616">
        <v>23</v>
      </c>
      <c r="CL616" t="s">
        <v>89</v>
      </c>
    </row>
    <row r="617" spans="1:90">
      <c r="A617" t="s">
        <v>72</v>
      </c>
      <c r="B617" t="s">
        <v>73</v>
      </c>
      <c r="C617" t="s">
        <v>74</v>
      </c>
      <c r="E617" t="str">
        <f>"FES1162721586"</f>
        <v>FES1162721586</v>
      </c>
      <c r="F617" s="3">
        <v>43775</v>
      </c>
      <c r="G617">
        <v>202005</v>
      </c>
      <c r="H617" t="s">
        <v>75</v>
      </c>
      <c r="I617" t="s">
        <v>76</v>
      </c>
      <c r="J617" t="s">
        <v>77</v>
      </c>
      <c r="K617" t="s">
        <v>78</v>
      </c>
      <c r="L617" t="s">
        <v>339</v>
      </c>
      <c r="M617" t="s">
        <v>340</v>
      </c>
      <c r="N617" t="s">
        <v>718</v>
      </c>
      <c r="O617" t="s">
        <v>82</v>
      </c>
      <c r="P617" t="str">
        <f>"2170715758                    "</f>
        <v xml:space="preserve">2170715758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8.58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 s="4">
        <v>50.45</v>
      </c>
      <c r="BM617" s="4">
        <v>7.57</v>
      </c>
      <c r="BN617" s="4">
        <v>58.02</v>
      </c>
      <c r="BO617" s="4">
        <v>58.02</v>
      </c>
      <c r="BR617" t="s">
        <v>84</v>
      </c>
      <c r="BS617" s="3">
        <v>43776</v>
      </c>
      <c r="BT617" s="5">
        <v>0.42777777777777781</v>
      </c>
      <c r="BU617" t="s">
        <v>1132</v>
      </c>
      <c r="BV617" t="s">
        <v>86</v>
      </c>
      <c r="BY617">
        <v>1200</v>
      </c>
      <c r="CA617" t="s">
        <v>720</v>
      </c>
      <c r="CC617" t="s">
        <v>340</v>
      </c>
      <c r="CD617">
        <v>157</v>
      </c>
      <c r="CE617" t="s">
        <v>147</v>
      </c>
      <c r="CF617" s="3">
        <v>43777</v>
      </c>
      <c r="CI617">
        <v>1</v>
      </c>
      <c r="CJ617">
        <v>1</v>
      </c>
      <c r="CK617">
        <v>21</v>
      </c>
      <c r="CL617" t="s">
        <v>89</v>
      </c>
    </row>
    <row r="618" spans="1:90">
      <c r="A618" t="s">
        <v>72</v>
      </c>
      <c r="B618" t="s">
        <v>73</v>
      </c>
      <c r="C618" t="s">
        <v>74</v>
      </c>
      <c r="E618" t="str">
        <f>"FES1162721446"</f>
        <v>FES1162721446</v>
      </c>
      <c r="F618" s="3">
        <v>43775</v>
      </c>
      <c r="G618">
        <v>202005</v>
      </c>
      <c r="H618" t="s">
        <v>75</v>
      </c>
      <c r="I618" t="s">
        <v>76</v>
      </c>
      <c r="J618" t="s">
        <v>77</v>
      </c>
      <c r="K618" t="s">
        <v>78</v>
      </c>
      <c r="L618" t="s">
        <v>202</v>
      </c>
      <c r="M618" t="s">
        <v>203</v>
      </c>
      <c r="N618" t="s">
        <v>1134</v>
      </c>
      <c r="O618" t="s">
        <v>82</v>
      </c>
      <c r="P618" t="str">
        <f>"2170713582                    "</f>
        <v xml:space="preserve">2170713582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6.71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 s="4">
        <v>39.42</v>
      </c>
      <c r="BM618" s="4">
        <v>5.91</v>
      </c>
      <c r="BN618" s="4">
        <v>45.33</v>
      </c>
      <c r="BO618" s="4">
        <v>45.33</v>
      </c>
      <c r="BR618" t="s">
        <v>84</v>
      </c>
      <c r="BS618" s="3">
        <v>43776</v>
      </c>
      <c r="BT618" s="5">
        <v>0.40625</v>
      </c>
      <c r="BU618" t="s">
        <v>1135</v>
      </c>
      <c r="BV618" t="s">
        <v>86</v>
      </c>
      <c r="BY618">
        <v>1200</v>
      </c>
      <c r="CA618" t="s">
        <v>123</v>
      </c>
      <c r="CC618" t="s">
        <v>203</v>
      </c>
      <c r="CD618">
        <v>1422</v>
      </c>
      <c r="CE618" t="s">
        <v>147</v>
      </c>
      <c r="CF618" s="3">
        <v>43777</v>
      </c>
      <c r="CI618">
        <v>1</v>
      </c>
      <c r="CJ618">
        <v>1</v>
      </c>
      <c r="CK618">
        <v>22</v>
      </c>
      <c r="CL618" t="s">
        <v>89</v>
      </c>
    </row>
    <row r="619" spans="1:90">
      <c r="A619" t="s">
        <v>72</v>
      </c>
      <c r="B619" t="s">
        <v>73</v>
      </c>
      <c r="C619" t="s">
        <v>74</v>
      </c>
      <c r="E619" t="str">
        <f>"FES1162721452"</f>
        <v>FES1162721452</v>
      </c>
      <c r="F619" s="3">
        <v>43775</v>
      </c>
      <c r="G619">
        <v>202005</v>
      </c>
      <c r="H619" t="s">
        <v>75</v>
      </c>
      <c r="I619" t="s">
        <v>76</v>
      </c>
      <c r="J619" t="s">
        <v>77</v>
      </c>
      <c r="K619" t="s">
        <v>78</v>
      </c>
      <c r="L619" t="s">
        <v>653</v>
      </c>
      <c r="M619" t="s">
        <v>654</v>
      </c>
      <c r="N619" t="s">
        <v>655</v>
      </c>
      <c r="O619" t="s">
        <v>82</v>
      </c>
      <c r="P619" t="str">
        <f>"2170713615                    "</f>
        <v xml:space="preserve">2170713615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12.87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1.9</v>
      </c>
      <c r="BJ619">
        <v>3</v>
      </c>
      <c r="BK619">
        <v>3</v>
      </c>
      <c r="BL619" s="4">
        <v>75.66</v>
      </c>
      <c r="BM619" s="4">
        <v>11.35</v>
      </c>
      <c r="BN619" s="4">
        <v>87.01</v>
      </c>
      <c r="BO619" s="4">
        <v>87.01</v>
      </c>
      <c r="BQ619" t="s">
        <v>109</v>
      </c>
      <c r="BR619" t="s">
        <v>84</v>
      </c>
      <c r="BS619" s="3">
        <v>43776</v>
      </c>
      <c r="BT619" s="5">
        <v>0.35069444444444442</v>
      </c>
      <c r="BU619" t="s">
        <v>656</v>
      </c>
      <c r="BV619" t="s">
        <v>86</v>
      </c>
      <c r="BY619">
        <v>15199.54</v>
      </c>
      <c r="CA619" t="s">
        <v>255</v>
      </c>
      <c r="CC619" t="s">
        <v>654</v>
      </c>
      <c r="CD619">
        <v>4300</v>
      </c>
      <c r="CE619" t="s">
        <v>88</v>
      </c>
      <c r="CF619" s="3">
        <v>43777</v>
      </c>
      <c r="CI619">
        <v>1</v>
      </c>
      <c r="CJ619">
        <v>1</v>
      </c>
      <c r="CK619">
        <v>21</v>
      </c>
      <c r="CL619" t="s">
        <v>89</v>
      </c>
    </row>
    <row r="620" spans="1:90">
      <c r="A620" t="s">
        <v>72</v>
      </c>
      <c r="B620" t="s">
        <v>73</v>
      </c>
      <c r="C620" t="s">
        <v>74</v>
      </c>
      <c r="E620" t="str">
        <f>"FES1162721583"</f>
        <v>FES1162721583</v>
      </c>
      <c r="F620" s="3">
        <v>43775</v>
      </c>
      <c r="G620">
        <v>202005</v>
      </c>
      <c r="H620" t="s">
        <v>75</v>
      </c>
      <c r="I620" t="s">
        <v>76</v>
      </c>
      <c r="J620" t="s">
        <v>77</v>
      </c>
      <c r="K620" t="s">
        <v>78</v>
      </c>
      <c r="L620" t="s">
        <v>176</v>
      </c>
      <c r="M620" t="s">
        <v>177</v>
      </c>
      <c r="N620" t="s">
        <v>1136</v>
      </c>
      <c r="O620" t="s">
        <v>82</v>
      </c>
      <c r="P620" t="str">
        <f>"2170715747                    "</f>
        <v xml:space="preserve">2170715747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12.87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1.8</v>
      </c>
      <c r="BJ620">
        <v>2.9</v>
      </c>
      <c r="BK620">
        <v>3</v>
      </c>
      <c r="BL620" s="4">
        <v>75.66</v>
      </c>
      <c r="BM620" s="4">
        <v>11.35</v>
      </c>
      <c r="BN620" s="4">
        <v>87.01</v>
      </c>
      <c r="BO620" s="4">
        <v>87.01</v>
      </c>
      <c r="BQ620" t="s">
        <v>121</v>
      </c>
      <c r="BR620" t="s">
        <v>84</v>
      </c>
      <c r="BS620" s="3">
        <v>43776</v>
      </c>
      <c r="BT620" s="5">
        <v>0.3888888888888889</v>
      </c>
      <c r="BU620" t="s">
        <v>1137</v>
      </c>
      <c r="BV620" t="s">
        <v>86</v>
      </c>
      <c r="BY620">
        <v>14662.83</v>
      </c>
      <c r="CA620" t="s">
        <v>180</v>
      </c>
      <c r="CC620" t="s">
        <v>177</v>
      </c>
      <c r="CD620">
        <v>3610</v>
      </c>
      <c r="CE620" t="s">
        <v>88</v>
      </c>
      <c r="CF620" s="3">
        <v>43777</v>
      </c>
      <c r="CI620">
        <v>1</v>
      </c>
      <c r="CJ620">
        <v>1</v>
      </c>
      <c r="CK620">
        <v>21</v>
      </c>
      <c r="CL620" t="s">
        <v>89</v>
      </c>
    </row>
    <row r="621" spans="1:90">
      <c r="A621" t="s">
        <v>72</v>
      </c>
      <c r="B621" t="s">
        <v>73</v>
      </c>
      <c r="C621" t="s">
        <v>74</v>
      </c>
      <c r="E621" t="str">
        <f>"FES1162721421"</f>
        <v>FES1162721421</v>
      </c>
      <c r="F621" s="3">
        <v>43775</v>
      </c>
      <c r="G621">
        <v>202005</v>
      </c>
      <c r="H621" t="s">
        <v>75</v>
      </c>
      <c r="I621" t="s">
        <v>76</v>
      </c>
      <c r="J621" t="s">
        <v>77</v>
      </c>
      <c r="K621" t="s">
        <v>78</v>
      </c>
      <c r="L621" t="s">
        <v>176</v>
      </c>
      <c r="M621" t="s">
        <v>177</v>
      </c>
      <c r="N621" t="s">
        <v>792</v>
      </c>
      <c r="O621" t="s">
        <v>82</v>
      </c>
      <c r="P621" t="str">
        <f>"2170713232                    "</f>
        <v xml:space="preserve">2170713232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8.58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2</v>
      </c>
      <c r="BJ621">
        <v>0.9</v>
      </c>
      <c r="BK621">
        <v>2</v>
      </c>
      <c r="BL621" s="4">
        <v>50.45</v>
      </c>
      <c r="BM621" s="4">
        <v>7.57</v>
      </c>
      <c r="BN621" s="4">
        <v>58.02</v>
      </c>
      <c r="BO621" s="4">
        <v>58.02</v>
      </c>
      <c r="BQ621" t="s">
        <v>121</v>
      </c>
      <c r="BR621" t="s">
        <v>84</v>
      </c>
      <c r="BS621" s="3">
        <v>43776</v>
      </c>
      <c r="BT621" s="5">
        <v>0.41805555555555557</v>
      </c>
      <c r="BU621" t="s">
        <v>599</v>
      </c>
      <c r="BV621" t="s">
        <v>86</v>
      </c>
      <c r="BY621">
        <v>4500</v>
      </c>
      <c r="CA621" t="s">
        <v>224</v>
      </c>
      <c r="CC621" t="s">
        <v>177</v>
      </c>
      <c r="CD621">
        <v>3610</v>
      </c>
      <c r="CE621" t="s">
        <v>88</v>
      </c>
      <c r="CF621" s="3">
        <v>43777</v>
      </c>
      <c r="CI621">
        <v>1</v>
      </c>
      <c r="CJ621">
        <v>1</v>
      </c>
      <c r="CK621">
        <v>21</v>
      </c>
      <c r="CL621" t="s">
        <v>89</v>
      </c>
    </row>
    <row r="622" spans="1:90">
      <c r="A622" t="s">
        <v>72</v>
      </c>
      <c r="B622" t="s">
        <v>73</v>
      </c>
      <c r="C622" t="s">
        <v>74</v>
      </c>
      <c r="E622" t="str">
        <f>"FES1162721679"</f>
        <v>FES1162721679</v>
      </c>
      <c r="F622" s="3">
        <v>43775</v>
      </c>
      <c r="G622">
        <v>202005</v>
      </c>
      <c r="H622" t="s">
        <v>75</v>
      </c>
      <c r="I622" t="s">
        <v>76</v>
      </c>
      <c r="J622" t="s">
        <v>77</v>
      </c>
      <c r="K622" t="s">
        <v>78</v>
      </c>
      <c r="L622" t="s">
        <v>124</v>
      </c>
      <c r="M622" t="s">
        <v>125</v>
      </c>
      <c r="N622" t="s">
        <v>1138</v>
      </c>
      <c r="O622" t="s">
        <v>82</v>
      </c>
      <c r="P622" t="str">
        <f>"2170715898                    "</f>
        <v xml:space="preserve">2170715898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19.559999999999999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9.6999999999999993</v>
      </c>
      <c r="BJ622">
        <v>5</v>
      </c>
      <c r="BK622">
        <v>10</v>
      </c>
      <c r="BL622" s="4">
        <v>114.99</v>
      </c>
      <c r="BM622" s="4">
        <v>17.25</v>
      </c>
      <c r="BN622" s="4">
        <v>132.24</v>
      </c>
      <c r="BO622" s="4">
        <v>132.24</v>
      </c>
      <c r="BQ622" t="s">
        <v>109</v>
      </c>
      <c r="BR622" t="s">
        <v>84</v>
      </c>
      <c r="BS622" s="3">
        <v>43776</v>
      </c>
      <c r="BT622" s="5">
        <v>0.38750000000000001</v>
      </c>
      <c r="BU622" t="s">
        <v>1139</v>
      </c>
      <c r="BV622" t="s">
        <v>86</v>
      </c>
      <c r="BY622">
        <v>25105.08</v>
      </c>
      <c r="CA622" t="s">
        <v>1140</v>
      </c>
      <c r="CC622" t="s">
        <v>125</v>
      </c>
      <c r="CD622">
        <v>2000</v>
      </c>
      <c r="CE622" t="s">
        <v>88</v>
      </c>
      <c r="CF622" s="3">
        <v>43777</v>
      </c>
      <c r="CI622">
        <v>1</v>
      </c>
      <c r="CJ622">
        <v>1</v>
      </c>
      <c r="CK622">
        <v>22</v>
      </c>
      <c r="CL622" t="s">
        <v>89</v>
      </c>
    </row>
    <row r="623" spans="1:90">
      <c r="A623" t="s">
        <v>72</v>
      </c>
      <c r="B623" t="s">
        <v>73</v>
      </c>
      <c r="C623" t="s">
        <v>74</v>
      </c>
      <c r="E623" t="str">
        <f>"FES1162721478"</f>
        <v>FES1162721478</v>
      </c>
      <c r="F623" s="3">
        <v>43775</v>
      </c>
      <c r="G623">
        <v>202005</v>
      </c>
      <c r="H623" t="s">
        <v>75</v>
      </c>
      <c r="I623" t="s">
        <v>76</v>
      </c>
      <c r="J623" t="s">
        <v>77</v>
      </c>
      <c r="K623" t="s">
        <v>78</v>
      </c>
      <c r="L623" t="s">
        <v>75</v>
      </c>
      <c r="M623" t="s">
        <v>76</v>
      </c>
      <c r="N623" t="s">
        <v>1141</v>
      </c>
      <c r="O623" t="s">
        <v>82</v>
      </c>
      <c r="P623" t="str">
        <f>"2170713787                    "</f>
        <v xml:space="preserve">2170713787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6.71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1.1000000000000001</v>
      </c>
      <c r="BJ623">
        <v>0.7</v>
      </c>
      <c r="BK623">
        <v>1.5</v>
      </c>
      <c r="BL623" s="4">
        <v>39.42</v>
      </c>
      <c r="BM623" s="4">
        <v>5.91</v>
      </c>
      <c r="BN623" s="4">
        <v>45.33</v>
      </c>
      <c r="BO623" s="4">
        <v>45.33</v>
      </c>
      <c r="BQ623" t="s">
        <v>121</v>
      </c>
      <c r="BR623" t="s">
        <v>84</v>
      </c>
      <c r="BS623" s="3">
        <v>43776</v>
      </c>
      <c r="BT623" s="5">
        <v>0.25347222222222221</v>
      </c>
      <c r="BU623" t="s">
        <v>1142</v>
      </c>
      <c r="BV623" t="s">
        <v>86</v>
      </c>
      <c r="BY623">
        <v>3548.58</v>
      </c>
      <c r="CA623" t="s">
        <v>368</v>
      </c>
      <c r="CC623" t="s">
        <v>76</v>
      </c>
      <c r="CD623">
        <v>1600</v>
      </c>
      <c r="CE623" t="s">
        <v>88</v>
      </c>
      <c r="CF623" s="3">
        <v>43777</v>
      </c>
      <c r="CI623">
        <v>1</v>
      </c>
      <c r="CJ623">
        <v>1</v>
      </c>
      <c r="CK623">
        <v>22</v>
      </c>
      <c r="CL623" t="s">
        <v>89</v>
      </c>
    </row>
    <row r="624" spans="1:90">
      <c r="A624" t="s">
        <v>72</v>
      </c>
      <c r="B624" t="s">
        <v>73</v>
      </c>
      <c r="C624" t="s">
        <v>74</v>
      </c>
      <c r="E624" t="str">
        <f>"FES1162721433"</f>
        <v>FES1162721433</v>
      </c>
      <c r="F624" s="3">
        <v>43775</v>
      </c>
      <c r="G624">
        <v>202005</v>
      </c>
      <c r="H624" t="s">
        <v>75</v>
      </c>
      <c r="I624" t="s">
        <v>76</v>
      </c>
      <c r="J624" t="s">
        <v>77</v>
      </c>
      <c r="K624" t="s">
        <v>78</v>
      </c>
      <c r="L624" t="s">
        <v>344</v>
      </c>
      <c r="M624" t="s">
        <v>345</v>
      </c>
      <c r="N624" t="s">
        <v>1143</v>
      </c>
      <c r="O624" t="s">
        <v>82</v>
      </c>
      <c r="P624" t="str">
        <f>"2170713495                    "</f>
        <v xml:space="preserve">2170713495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6.71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0.8</v>
      </c>
      <c r="BJ624">
        <v>0.8</v>
      </c>
      <c r="BK624">
        <v>1</v>
      </c>
      <c r="BL624" s="4">
        <v>39.42</v>
      </c>
      <c r="BM624" s="4">
        <v>5.91</v>
      </c>
      <c r="BN624" s="4">
        <v>45.33</v>
      </c>
      <c r="BO624" s="4">
        <v>45.33</v>
      </c>
      <c r="BQ624" t="s">
        <v>121</v>
      </c>
      <c r="BR624" t="s">
        <v>84</v>
      </c>
      <c r="BS624" s="3">
        <v>43776</v>
      </c>
      <c r="BT624" s="5">
        <v>0.43472222222222223</v>
      </c>
      <c r="BU624" t="s">
        <v>1144</v>
      </c>
      <c r="BV624" t="s">
        <v>86</v>
      </c>
      <c r="BY624">
        <v>3974.12</v>
      </c>
      <c r="CA624" t="s">
        <v>348</v>
      </c>
      <c r="CC624" t="s">
        <v>345</v>
      </c>
      <c r="CD624">
        <v>2163</v>
      </c>
      <c r="CE624" t="s">
        <v>88</v>
      </c>
      <c r="CF624" s="3">
        <v>43777</v>
      </c>
      <c r="CI624">
        <v>1</v>
      </c>
      <c r="CJ624">
        <v>1</v>
      </c>
      <c r="CK624">
        <v>22</v>
      </c>
      <c r="CL624" t="s">
        <v>89</v>
      </c>
    </row>
    <row r="625" spans="1:90">
      <c r="A625" t="s">
        <v>72</v>
      </c>
      <c r="B625" t="s">
        <v>73</v>
      </c>
      <c r="C625" t="s">
        <v>74</v>
      </c>
      <c r="E625" t="str">
        <f>"FES1162721680"</f>
        <v>FES1162721680</v>
      </c>
      <c r="F625" s="3">
        <v>43775</v>
      </c>
      <c r="G625">
        <v>202005</v>
      </c>
      <c r="H625" t="s">
        <v>75</v>
      </c>
      <c r="I625" t="s">
        <v>76</v>
      </c>
      <c r="J625" t="s">
        <v>77</v>
      </c>
      <c r="K625" t="s">
        <v>78</v>
      </c>
      <c r="L625" t="s">
        <v>90</v>
      </c>
      <c r="M625" t="s">
        <v>91</v>
      </c>
      <c r="N625" t="s">
        <v>576</v>
      </c>
      <c r="O625" t="s">
        <v>82</v>
      </c>
      <c r="P625" t="str">
        <f>"2170715899                    "</f>
        <v xml:space="preserve">2170715899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8.58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 s="4">
        <v>50.45</v>
      </c>
      <c r="BM625" s="4">
        <v>7.57</v>
      </c>
      <c r="BN625" s="4">
        <v>58.02</v>
      </c>
      <c r="BO625" s="4">
        <v>58.02</v>
      </c>
      <c r="BQ625" t="s">
        <v>109</v>
      </c>
      <c r="BR625" t="s">
        <v>84</v>
      </c>
      <c r="BS625" s="3">
        <v>43776</v>
      </c>
      <c r="BT625" s="5">
        <v>0.35416666666666669</v>
      </c>
      <c r="BU625" t="s">
        <v>1145</v>
      </c>
      <c r="BV625" t="s">
        <v>86</v>
      </c>
      <c r="BY625">
        <v>1200</v>
      </c>
      <c r="CA625" t="s">
        <v>1146</v>
      </c>
      <c r="CC625" t="s">
        <v>91</v>
      </c>
      <c r="CD625">
        <v>7441</v>
      </c>
      <c r="CE625" t="s">
        <v>147</v>
      </c>
      <c r="CF625" s="3">
        <v>43777</v>
      </c>
      <c r="CI625">
        <v>1</v>
      </c>
      <c r="CJ625">
        <v>1</v>
      </c>
      <c r="CK625">
        <v>21</v>
      </c>
      <c r="CL625" t="s">
        <v>89</v>
      </c>
    </row>
    <row r="626" spans="1:90">
      <c r="A626" t="s">
        <v>72</v>
      </c>
      <c r="B626" t="s">
        <v>73</v>
      </c>
      <c r="C626" t="s">
        <v>74</v>
      </c>
      <c r="E626" t="str">
        <f>"FES1162721540"</f>
        <v>FES1162721540</v>
      </c>
      <c r="F626" s="3">
        <v>43775</v>
      </c>
      <c r="G626">
        <v>202005</v>
      </c>
      <c r="H626" t="s">
        <v>75</v>
      </c>
      <c r="I626" t="s">
        <v>76</v>
      </c>
      <c r="J626" t="s">
        <v>77</v>
      </c>
      <c r="K626" t="s">
        <v>78</v>
      </c>
      <c r="L626" t="s">
        <v>112</v>
      </c>
      <c r="M626" t="s">
        <v>113</v>
      </c>
      <c r="N626" t="s">
        <v>637</v>
      </c>
      <c r="O626" t="s">
        <v>82</v>
      </c>
      <c r="P626" t="str">
        <f>"2170715727                    "</f>
        <v xml:space="preserve">2170715727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12.87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1.8</v>
      </c>
      <c r="BJ626">
        <v>2.9</v>
      </c>
      <c r="BK626">
        <v>3</v>
      </c>
      <c r="BL626" s="4">
        <v>75.66</v>
      </c>
      <c r="BM626" s="4">
        <v>11.35</v>
      </c>
      <c r="BN626" s="4">
        <v>87.01</v>
      </c>
      <c r="BO626" s="4">
        <v>87.01</v>
      </c>
      <c r="BQ626" t="s">
        <v>121</v>
      </c>
      <c r="BR626" t="s">
        <v>84</v>
      </c>
      <c r="BS626" s="3">
        <v>43776</v>
      </c>
      <c r="BT626" s="5">
        <v>0.42499999999999999</v>
      </c>
      <c r="BU626" t="s">
        <v>1147</v>
      </c>
      <c r="BV626" t="s">
        <v>86</v>
      </c>
      <c r="BY626">
        <v>14735.64</v>
      </c>
      <c r="CA626" t="s">
        <v>428</v>
      </c>
      <c r="CC626" t="s">
        <v>113</v>
      </c>
      <c r="CD626">
        <v>4052</v>
      </c>
      <c r="CE626" t="s">
        <v>88</v>
      </c>
      <c r="CF626" s="3">
        <v>43777</v>
      </c>
      <c r="CI626">
        <v>1</v>
      </c>
      <c r="CJ626">
        <v>1</v>
      </c>
      <c r="CK626">
        <v>21</v>
      </c>
      <c r="CL626" t="s">
        <v>89</v>
      </c>
    </row>
    <row r="627" spans="1:90">
      <c r="A627" t="s">
        <v>72</v>
      </c>
      <c r="B627" t="s">
        <v>73</v>
      </c>
      <c r="C627" t="s">
        <v>74</v>
      </c>
      <c r="E627" t="str">
        <f>"FES1162721685"</f>
        <v>FES1162721685</v>
      </c>
      <c r="F627" s="3">
        <v>43775</v>
      </c>
      <c r="G627">
        <v>202005</v>
      </c>
      <c r="H627" t="s">
        <v>75</v>
      </c>
      <c r="I627" t="s">
        <v>76</v>
      </c>
      <c r="J627" t="s">
        <v>77</v>
      </c>
      <c r="K627" t="s">
        <v>78</v>
      </c>
      <c r="L627" t="s">
        <v>90</v>
      </c>
      <c r="M627" t="s">
        <v>91</v>
      </c>
      <c r="N627" t="s">
        <v>1148</v>
      </c>
      <c r="O627" t="s">
        <v>82</v>
      </c>
      <c r="P627" t="str">
        <f>"2170715909                    "</f>
        <v xml:space="preserve">2170715909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8.58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 s="4">
        <v>50.45</v>
      </c>
      <c r="BM627" s="4">
        <v>7.57</v>
      </c>
      <c r="BN627" s="4">
        <v>58.02</v>
      </c>
      <c r="BO627" s="4">
        <v>58.02</v>
      </c>
      <c r="BQ627" t="s">
        <v>246</v>
      </c>
      <c r="BR627" t="s">
        <v>84</v>
      </c>
      <c r="BS627" s="3">
        <v>43776</v>
      </c>
      <c r="BT627" s="5">
        <v>0.42152777777777778</v>
      </c>
      <c r="BU627" t="s">
        <v>1149</v>
      </c>
      <c r="BV627" t="s">
        <v>86</v>
      </c>
      <c r="BY627">
        <v>1200</v>
      </c>
      <c r="CA627" t="s">
        <v>515</v>
      </c>
      <c r="CC627" t="s">
        <v>91</v>
      </c>
      <c r="CD627">
        <v>7525</v>
      </c>
      <c r="CE627" t="s">
        <v>147</v>
      </c>
      <c r="CF627" s="3">
        <v>43777</v>
      </c>
      <c r="CI627">
        <v>1</v>
      </c>
      <c r="CJ627">
        <v>1</v>
      </c>
      <c r="CK627">
        <v>21</v>
      </c>
      <c r="CL627" t="s">
        <v>89</v>
      </c>
    </row>
    <row r="628" spans="1:90">
      <c r="A628" t="s">
        <v>72</v>
      </c>
      <c r="B628" t="s">
        <v>73</v>
      </c>
      <c r="C628" t="s">
        <v>74</v>
      </c>
      <c r="E628" t="str">
        <f>"FES1162721342"</f>
        <v>FES1162721342</v>
      </c>
      <c r="F628" s="3">
        <v>43775</v>
      </c>
      <c r="G628">
        <v>202005</v>
      </c>
      <c r="H628" t="s">
        <v>75</v>
      </c>
      <c r="I628" t="s">
        <v>76</v>
      </c>
      <c r="J628" t="s">
        <v>77</v>
      </c>
      <c r="K628" t="s">
        <v>78</v>
      </c>
      <c r="L628" t="s">
        <v>482</v>
      </c>
      <c r="M628" t="s">
        <v>483</v>
      </c>
      <c r="N628" t="s">
        <v>1054</v>
      </c>
      <c r="O628" t="s">
        <v>82</v>
      </c>
      <c r="P628" t="str">
        <f>"2170715639                    "</f>
        <v xml:space="preserve">2170715639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6.71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 s="4">
        <v>39.42</v>
      </c>
      <c r="BM628" s="4">
        <v>5.91</v>
      </c>
      <c r="BN628" s="4">
        <v>45.33</v>
      </c>
      <c r="BO628" s="4">
        <v>45.33</v>
      </c>
      <c r="BQ628" t="s">
        <v>109</v>
      </c>
      <c r="BR628" t="s">
        <v>84</v>
      </c>
      <c r="BS628" s="3">
        <v>43776</v>
      </c>
      <c r="BT628" s="5">
        <v>0.36388888888888887</v>
      </c>
      <c r="BU628" t="s">
        <v>1055</v>
      </c>
      <c r="BV628" t="s">
        <v>86</v>
      </c>
      <c r="BY628">
        <v>1200</v>
      </c>
      <c r="CA628" t="s">
        <v>486</v>
      </c>
      <c r="CC628" t="s">
        <v>483</v>
      </c>
      <c r="CD628">
        <v>1459</v>
      </c>
      <c r="CE628" t="s">
        <v>147</v>
      </c>
      <c r="CF628" s="3">
        <v>43777</v>
      </c>
      <c r="CI628">
        <v>1</v>
      </c>
      <c r="CJ628">
        <v>1</v>
      </c>
      <c r="CK628">
        <v>22</v>
      </c>
      <c r="CL628" t="s">
        <v>89</v>
      </c>
    </row>
    <row r="629" spans="1:90">
      <c r="A629" t="s">
        <v>72</v>
      </c>
      <c r="B629" t="s">
        <v>73</v>
      </c>
      <c r="C629" t="s">
        <v>74</v>
      </c>
      <c r="E629" t="str">
        <f>"FES1162721677"</f>
        <v>FES1162721677</v>
      </c>
      <c r="F629" s="3">
        <v>43775</v>
      </c>
      <c r="G629">
        <v>202005</v>
      </c>
      <c r="H629" t="s">
        <v>75</v>
      </c>
      <c r="I629" t="s">
        <v>76</v>
      </c>
      <c r="J629" t="s">
        <v>77</v>
      </c>
      <c r="K629" t="s">
        <v>78</v>
      </c>
      <c r="L629" t="s">
        <v>214</v>
      </c>
      <c r="M629" t="s">
        <v>214</v>
      </c>
      <c r="N629" t="s">
        <v>403</v>
      </c>
      <c r="O629" t="s">
        <v>82</v>
      </c>
      <c r="P629" t="str">
        <f>"2170715896                    "</f>
        <v xml:space="preserve">2170715896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16.63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 s="4">
        <v>97.75</v>
      </c>
      <c r="BM629" s="4">
        <v>14.66</v>
      </c>
      <c r="BN629" s="4">
        <v>112.41</v>
      </c>
      <c r="BO629" s="4">
        <v>112.41</v>
      </c>
      <c r="BQ629" t="s">
        <v>121</v>
      </c>
      <c r="BR629" t="s">
        <v>84</v>
      </c>
      <c r="BS629" s="3">
        <v>43776</v>
      </c>
      <c r="BT629" s="5">
        <v>0.46111111111111108</v>
      </c>
      <c r="BU629" t="s">
        <v>1150</v>
      </c>
      <c r="BV629" t="s">
        <v>86</v>
      </c>
      <c r="BY629">
        <v>1200</v>
      </c>
      <c r="CA629" t="s">
        <v>217</v>
      </c>
      <c r="CC629" t="s">
        <v>214</v>
      </c>
      <c r="CD629">
        <v>7646</v>
      </c>
      <c r="CE629" t="s">
        <v>147</v>
      </c>
      <c r="CF629" s="3">
        <v>43777</v>
      </c>
      <c r="CI629">
        <v>1</v>
      </c>
      <c r="CJ629">
        <v>1</v>
      </c>
      <c r="CK629">
        <v>23</v>
      </c>
      <c r="CL629" t="s">
        <v>89</v>
      </c>
    </row>
    <row r="630" spans="1:90">
      <c r="A630" t="s">
        <v>72</v>
      </c>
      <c r="B630" t="s">
        <v>73</v>
      </c>
      <c r="C630" t="s">
        <v>74</v>
      </c>
      <c r="E630" t="str">
        <f>"FES1162721538"</f>
        <v>FES1162721538</v>
      </c>
      <c r="F630" s="3">
        <v>43775</v>
      </c>
      <c r="G630">
        <v>202005</v>
      </c>
      <c r="H630" t="s">
        <v>75</v>
      </c>
      <c r="I630" t="s">
        <v>76</v>
      </c>
      <c r="J630" t="s">
        <v>77</v>
      </c>
      <c r="K630" t="s">
        <v>78</v>
      </c>
      <c r="L630" t="s">
        <v>118</v>
      </c>
      <c r="M630" t="s">
        <v>119</v>
      </c>
      <c r="N630" t="s">
        <v>169</v>
      </c>
      <c r="O630" t="s">
        <v>82</v>
      </c>
      <c r="P630" t="str">
        <f>"2170715725                    "</f>
        <v xml:space="preserve">2170715725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10.73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1.4</v>
      </c>
      <c r="BJ630">
        <v>2.2999999999999998</v>
      </c>
      <c r="BK630">
        <v>2.5</v>
      </c>
      <c r="BL630" s="4">
        <v>63.06</v>
      </c>
      <c r="BM630" s="4">
        <v>9.4600000000000009</v>
      </c>
      <c r="BN630" s="4">
        <v>72.52</v>
      </c>
      <c r="BO630" s="4">
        <v>72.52</v>
      </c>
      <c r="BQ630" t="s">
        <v>121</v>
      </c>
      <c r="BR630" t="s">
        <v>84</v>
      </c>
      <c r="BS630" s="3">
        <v>43776</v>
      </c>
      <c r="BT630" s="5">
        <v>0.42986111111111108</v>
      </c>
      <c r="BU630" t="s">
        <v>1151</v>
      </c>
      <c r="BV630" t="s">
        <v>86</v>
      </c>
      <c r="BY630">
        <v>11338.67</v>
      </c>
      <c r="CA630" t="s">
        <v>171</v>
      </c>
      <c r="CC630" t="s">
        <v>119</v>
      </c>
      <c r="CD630">
        <v>3200</v>
      </c>
      <c r="CE630" t="s">
        <v>88</v>
      </c>
      <c r="CF630" s="3">
        <v>43777</v>
      </c>
      <c r="CI630">
        <v>1</v>
      </c>
      <c r="CJ630">
        <v>1</v>
      </c>
      <c r="CK630">
        <v>21</v>
      </c>
      <c r="CL630" t="s">
        <v>89</v>
      </c>
    </row>
    <row r="631" spans="1:90">
      <c r="A631" t="s">
        <v>72</v>
      </c>
      <c r="B631" t="s">
        <v>73</v>
      </c>
      <c r="C631" t="s">
        <v>74</v>
      </c>
      <c r="E631" t="str">
        <f>"FES1162721643"</f>
        <v>FES1162721643</v>
      </c>
      <c r="F631" s="3">
        <v>43775</v>
      </c>
      <c r="G631">
        <v>202005</v>
      </c>
      <c r="H631" t="s">
        <v>75</v>
      </c>
      <c r="I631" t="s">
        <v>76</v>
      </c>
      <c r="J631" t="s">
        <v>77</v>
      </c>
      <c r="K631" t="s">
        <v>78</v>
      </c>
      <c r="L631" t="s">
        <v>176</v>
      </c>
      <c r="M631" t="s">
        <v>177</v>
      </c>
      <c r="N631" t="s">
        <v>587</v>
      </c>
      <c r="O631" t="s">
        <v>82</v>
      </c>
      <c r="P631" t="str">
        <f>"2170715848                    "</f>
        <v xml:space="preserve">2170715848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8.58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 s="4">
        <v>50.45</v>
      </c>
      <c r="BM631" s="4">
        <v>7.57</v>
      </c>
      <c r="BN631" s="4">
        <v>58.02</v>
      </c>
      <c r="BO631" s="4">
        <v>58.02</v>
      </c>
      <c r="BQ631" t="s">
        <v>142</v>
      </c>
      <c r="BR631" t="s">
        <v>84</v>
      </c>
      <c r="BS631" s="3">
        <v>43776</v>
      </c>
      <c r="BT631" s="5">
        <v>0.42430555555555555</v>
      </c>
      <c r="BU631" t="s">
        <v>1152</v>
      </c>
      <c r="BV631" t="s">
        <v>86</v>
      </c>
      <c r="BY631">
        <v>1200</v>
      </c>
      <c r="CA631" t="s">
        <v>224</v>
      </c>
      <c r="CC631" t="s">
        <v>177</v>
      </c>
      <c r="CD631">
        <v>3610</v>
      </c>
      <c r="CE631" t="s">
        <v>147</v>
      </c>
      <c r="CF631" s="3">
        <v>43777</v>
      </c>
      <c r="CI631">
        <v>1</v>
      </c>
      <c r="CJ631">
        <v>1</v>
      </c>
      <c r="CK631">
        <v>21</v>
      </c>
      <c r="CL631" t="s">
        <v>89</v>
      </c>
    </row>
    <row r="632" spans="1:90">
      <c r="A632" t="s">
        <v>72</v>
      </c>
      <c r="B632" t="s">
        <v>73</v>
      </c>
      <c r="C632" t="s">
        <v>74</v>
      </c>
      <c r="E632" t="str">
        <f>"FES1162721671"</f>
        <v>FES1162721671</v>
      </c>
      <c r="F632" s="3">
        <v>43775</v>
      </c>
      <c r="G632">
        <v>202005</v>
      </c>
      <c r="H632" t="s">
        <v>75</v>
      </c>
      <c r="I632" t="s">
        <v>76</v>
      </c>
      <c r="J632" t="s">
        <v>77</v>
      </c>
      <c r="K632" t="s">
        <v>78</v>
      </c>
      <c r="L632" t="s">
        <v>482</v>
      </c>
      <c r="M632" t="s">
        <v>483</v>
      </c>
      <c r="N632" t="s">
        <v>1153</v>
      </c>
      <c r="O632" t="s">
        <v>82</v>
      </c>
      <c r="P632" t="str">
        <f>"217071588                     "</f>
        <v xml:space="preserve">217071588 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6.71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 s="4">
        <v>39.42</v>
      </c>
      <c r="BM632" s="4">
        <v>5.91</v>
      </c>
      <c r="BN632" s="4">
        <v>45.33</v>
      </c>
      <c r="BO632" s="4">
        <v>45.33</v>
      </c>
      <c r="BQ632" t="s">
        <v>109</v>
      </c>
      <c r="BR632" t="s">
        <v>84</v>
      </c>
      <c r="BS632" s="3">
        <v>43776</v>
      </c>
      <c r="BT632" s="5">
        <v>0.36388888888888887</v>
      </c>
      <c r="BU632" t="s">
        <v>1154</v>
      </c>
      <c r="BV632" t="s">
        <v>86</v>
      </c>
      <c r="BY632">
        <v>1200</v>
      </c>
      <c r="CC632" t="s">
        <v>483</v>
      </c>
      <c r="CD632">
        <v>1459</v>
      </c>
      <c r="CE632" t="s">
        <v>147</v>
      </c>
      <c r="CF632" s="3">
        <v>43777</v>
      </c>
      <c r="CI632">
        <v>1</v>
      </c>
      <c r="CJ632">
        <v>1</v>
      </c>
      <c r="CK632">
        <v>22</v>
      </c>
      <c r="CL632" t="s">
        <v>89</v>
      </c>
    </row>
    <row r="633" spans="1:90">
      <c r="A633" t="s">
        <v>72</v>
      </c>
      <c r="B633" t="s">
        <v>73</v>
      </c>
      <c r="C633" t="s">
        <v>74</v>
      </c>
      <c r="E633" t="str">
        <f>"FES1162721620"</f>
        <v>FES1162721620</v>
      </c>
      <c r="F633" s="3">
        <v>43775</v>
      </c>
      <c r="G633">
        <v>202005</v>
      </c>
      <c r="H633" t="s">
        <v>75</v>
      </c>
      <c r="I633" t="s">
        <v>76</v>
      </c>
      <c r="J633" t="s">
        <v>77</v>
      </c>
      <c r="K633" t="s">
        <v>78</v>
      </c>
      <c r="L633" t="s">
        <v>1155</v>
      </c>
      <c r="M633" t="s">
        <v>1156</v>
      </c>
      <c r="N633" t="s">
        <v>1157</v>
      </c>
      <c r="O633" t="s">
        <v>82</v>
      </c>
      <c r="P633" t="str">
        <f>"2170715807                    "</f>
        <v xml:space="preserve">2170715807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16.63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1.3</v>
      </c>
      <c r="BJ633">
        <v>1.9</v>
      </c>
      <c r="BK633">
        <v>2</v>
      </c>
      <c r="BL633" s="4">
        <v>97.75</v>
      </c>
      <c r="BM633" s="4">
        <v>14.66</v>
      </c>
      <c r="BN633" s="4">
        <v>112.41</v>
      </c>
      <c r="BO633" s="4">
        <v>112.41</v>
      </c>
      <c r="BQ633" t="s">
        <v>121</v>
      </c>
      <c r="BR633" t="s">
        <v>84</v>
      </c>
      <c r="BS633" s="3">
        <v>43776</v>
      </c>
      <c r="BT633" s="5">
        <v>0.45833333333333331</v>
      </c>
      <c r="BU633" t="s">
        <v>1158</v>
      </c>
      <c r="BV633" t="s">
        <v>86</v>
      </c>
      <c r="BY633">
        <v>9620.82</v>
      </c>
      <c r="CA633" t="s">
        <v>1159</v>
      </c>
      <c r="CC633" t="s">
        <v>1156</v>
      </c>
      <c r="CD633">
        <v>2380</v>
      </c>
      <c r="CE633" t="s">
        <v>1160</v>
      </c>
      <c r="CF633" s="3">
        <v>43780</v>
      </c>
      <c r="CI633">
        <v>1</v>
      </c>
      <c r="CJ633">
        <v>1</v>
      </c>
      <c r="CK633">
        <v>23</v>
      </c>
      <c r="CL633" t="s">
        <v>89</v>
      </c>
    </row>
    <row r="634" spans="1:90">
      <c r="A634" t="s">
        <v>72</v>
      </c>
      <c r="B634" t="s">
        <v>73</v>
      </c>
      <c r="C634" t="s">
        <v>74</v>
      </c>
      <c r="E634" t="str">
        <f>"FES1162721640"</f>
        <v>FES1162721640</v>
      </c>
      <c r="F634" s="3">
        <v>43775</v>
      </c>
      <c r="G634">
        <v>202005</v>
      </c>
      <c r="H634" t="s">
        <v>75</v>
      </c>
      <c r="I634" t="s">
        <v>76</v>
      </c>
      <c r="J634" t="s">
        <v>77</v>
      </c>
      <c r="K634" t="s">
        <v>78</v>
      </c>
      <c r="L634" t="s">
        <v>112</v>
      </c>
      <c r="M634" t="s">
        <v>113</v>
      </c>
      <c r="N634" t="s">
        <v>160</v>
      </c>
      <c r="O634" t="s">
        <v>82</v>
      </c>
      <c r="P634" t="str">
        <f>"2170715839                    "</f>
        <v xml:space="preserve">2170715839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8.58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 s="4">
        <v>50.45</v>
      </c>
      <c r="BM634" s="4">
        <v>7.57</v>
      </c>
      <c r="BN634" s="4">
        <v>58.02</v>
      </c>
      <c r="BO634" s="4">
        <v>58.02</v>
      </c>
      <c r="BQ634" t="s">
        <v>161</v>
      </c>
      <c r="BR634" t="s">
        <v>84</v>
      </c>
      <c r="BS634" s="3">
        <v>43776</v>
      </c>
      <c r="BT634" s="5">
        <v>0.3527777777777778</v>
      </c>
      <c r="BU634" t="s">
        <v>162</v>
      </c>
      <c r="BV634" t="s">
        <v>86</v>
      </c>
      <c r="BY634">
        <v>1200</v>
      </c>
      <c r="CA634" t="s">
        <v>163</v>
      </c>
      <c r="CC634" t="s">
        <v>113</v>
      </c>
      <c r="CD634">
        <v>4000</v>
      </c>
      <c r="CE634" t="s">
        <v>147</v>
      </c>
      <c r="CF634" s="3">
        <v>43777</v>
      </c>
      <c r="CI634">
        <v>1</v>
      </c>
      <c r="CJ634">
        <v>1</v>
      </c>
      <c r="CK634">
        <v>21</v>
      </c>
      <c r="CL634" t="s">
        <v>89</v>
      </c>
    </row>
    <row r="635" spans="1:90">
      <c r="A635" t="s">
        <v>72</v>
      </c>
      <c r="B635" t="s">
        <v>73</v>
      </c>
      <c r="C635" t="s">
        <v>74</v>
      </c>
      <c r="E635" t="str">
        <f>"FES1162721647"</f>
        <v>FES1162721647</v>
      </c>
      <c r="F635" s="3">
        <v>43775</v>
      </c>
      <c r="G635">
        <v>202005</v>
      </c>
      <c r="H635" t="s">
        <v>75</v>
      </c>
      <c r="I635" t="s">
        <v>76</v>
      </c>
      <c r="J635" t="s">
        <v>77</v>
      </c>
      <c r="K635" t="s">
        <v>78</v>
      </c>
      <c r="L635" t="s">
        <v>112</v>
      </c>
      <c r="M635" t="s">
        <v>113</v>
      </c>
      <c r="N635" t="s">
        <v>160</v>
      </c>
      <c r="O635" t="s">
        <v>82</v>
      </c>
      <c r="P635" t="str">
        <f>"2170715853                    "</f>
        <v xml:space="preserve">2170715853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8.58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 s="4">
        <v>50.45</v>
      </c>
      <c r="BM635" s="4">
        <v>7.57</v>
      </c>
      <c r="BN635" s="4">
        <v>58.02</v>
      </c>
      <c r="BO635" s="4">
        <v>58.02</v>
      </c>
      <c r="BQ635" t="s">
        <v>161</v>
      </c>
      <c r="BR635" t="s">
        <v>84</v>
      </c>
      <c r="BS635" s="3">
        <v>43776</v>
      </c>
      <c r="BT635" s="5">
        <v>0.3527777777777778</v>
      </c>
      <c r="BU635" t="s">
        <v>162</v>
      </c>
      <c r="BV635" t="s">
        <v>86</v>
      </c>
      <c r="BY635">
        <v>1200</v>
      </c>
      <c r="CA635" t="s">
        <v>163</v>
      </c>
      <c r="CC635" t="s">
        <v>113</v>
      </c>
      <c r="CD635">
        <v>4000</v>
      </c>
      <c r="CE635" t="s">
        <v>147</v>
      </c>
      <c r="CF635" s="3">
        <v>43777</v>
      </c>
      <c r="CI635">
        <v>1</v>
      </c>
      <c r="CJ635">
        <v>1</v>
      </c>
      <c r="CK635">
        <v>21</v>
      </c>
      <c r="CL635" t="s">
        <v>89</v>
      </c>
    </row>
    <row r="636" spans="1:90">
      <c r="A636" t="s">
        <v>72</v>
      </c>
      <c r="B636" t="s">
        <v>73</v>
      </c>
      <c r="C636" t="s">
        <v>74</v>
      </c>
      <c r="E636" t="str">
        <f>"FES1162721385"</f>
        <v>FES1162721385</v>
      </c>
      <c r="F636" s="3">
        <v>43775</v>
      </c>
      <c r="G636">
        <v>202005</v>
      </c>
      <c r="H636" t="s">
        <v>75</v>
      </c>
      <c r="I636" t="s">
        <v>76</v>
      </c>
      <c r="J636" t="s">
        <v>77</v>
      </c>
      <c r="K636" t="s">
        <v>78</v>
      </c>
      <c r="L636" t="s">
        <v>176</v>
      </c>
      <c r="M636" t="s">
        <v>177</v>
      </c>
      <c r="N636" t="s">
        <v>334</v>
      </c>
      <c r="O636" t="s">
        <v>82</v>
      </c>
      <c r="P636" t="str">
        <f>"2170714000                    "</f>
        <v xml:space="preserve">2170714000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79.349999999999994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3</v>
      </c>
      <c r="BI636">
        <v>18.3</v>
      </c>
      <c r="BJ636">
        <v>14.2</v>
      </c>
      <c r="BK636">
        <v>18.5</v>
      </c>
      <c r="BL636" s="4">
        <v>466.4</v>
      </c>
      <c r="BM636" s="4">
        <v>69.959999999999994</v>
      </c>
      <c r="BN636" s="4">
        <v>536.36</v>
      </c>
      <c r="BO636" s="4">
        <v>536.36</v>
      </c>
      <c r="BQ636" t="s">
        <v>121</v>
      </c>
      <c r="BR636" t="s">
        <v>84</v>
      </c>
      <c r="BS636" s="3">
        <v>43776</v>
      </c>
      <c r="BT636" s="5">
        <v>0.39374999999999999</v>
      </c>
      <c r="BU636" t="s">
        <v>335</v>
      </c>
      <c r="BV636" t="s">
        <v>86</v>
      </c>
      <c r="BY636">
        <v>70892.600000000006</v>
      </c>
      <c r="CA636" t="s">
        <v>180</v>
      </c>
      <c r="CC636" t="s">
        <v>177</v>
      </c>
      <c r="CD636">
        <v>3610</v>
      </c>
      <c r="CE636" t="s">
        <v>88</v>
      </c>
      <c r="CF636" s="3">
        <v>43777</v>
      </c>
      <c r="CI636">
        <v>1</v>
      </c>
      <c r="CJ636">
        <v>1</v>
      </c>
      <c r="CK636">
        <v>21</v>
      </c>
      <c r="CL636" t="s">
        <v>89</v>
      </c>
    </row>
    <row r="637" spans="1:90">
      <c r="A637" t="s">
        <v>72</v>
      </c>
      <c r="B637" t="s">
        <v>73</v>
      </c>
      <c r="C637" t="s">
        <v>74</v>
      </c>
      <c r="E637" t="str">
        <f>"FES1162721683"</f>
        <v>FES1162721683</v>
      </c>
      <c r="F637" s="3">
        <v>43775</v>
      </c>
      <c r="G637">
        <v>202005</v>
      </c>
      <c r="H637" t="s">
        <v>75</v>
      </c>
      <c r="I637" t="s">
        <v>76</v>
      </c>
      <c r="J637" t="s">
        <v>77</v>
      </c>
      <c r="K637" t="s">
        <v>78</v>
      </c>
      <c r="L637" t="s">
        <v>164</v>
      </c>
      <c r="M637" t="s">
        <v>165</v>
      </c>
      <c r="N637" t="s">
        <v>166</v>
      </c>
      <c r="O637" t="s">
        <v>82</v>
      </c>
      <c r="P637" t="str">
        <f>"2170715903                    "</f>
        <v xml:space="preserve">2170715903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16.63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 s="4">
        <v>97.75</v>
      </c>
      <c r="BM637" s="4">
        <v>14.66</v>
      </c>
      <c r="BN637" s="4">
        <v>112.41</v>
      </c>
      <c r="BO637" s="4">
        <v>112.41</v>
      </c>
      <c r="BQ637" t="s">
        <v>121</v>
      </c>
      <c r="BR637" t="s">
        <v>84</v>
      </c>
      <c r="BS637" s="3">
        <v>43776</v>
      </c>
      <c r="BT637" s="5">
        <v>0.45833333333333331</v>
      </c>
      <c r="BU637" t="s">
        <v>1161</v>
      </c>
      <c r="BV637" t="s">
        <v>86</v>
      </c>
      <c r="BY637">
        <v>1200</v>
      </c>
      <c r="CA637" t="s">
        <v>1162</v>
      </c>
      <c r="CC637" t="s">
        <v>165</v>
      </c>
      <c r="CD637">
        <v>3370</v>
      </c>
      <c r="CE637" t="s">
        <v>147</v>
      </c>
      <c r="CF637" s="3">
        <v>43780</v>
      </c>
      <c r="CI637">
        <v>3</v>
      </c>
      <c r="CJ637">
        <v>1</v>
      </c>
      <c r="CK637">
        <v>23</v>
      </c>
      <c r="CL637" t="s">
        <v>89</v>
      </c>
    </row>
    <row r="638" spans="1:90">
      <c r="A638" t="s">
        <v>72</v>
      </c>
      <c r="B638" t="s">
        <v>73</v>
      </c>
      <c r="C638" t="s">
        <v>74</v>
      </c>
      <c r="E638" t="str">
        <f>"FES1162721511"</f>
        <v>FES1162721511</v>
      </c>
      <c r="F638" s="3">
        <v>43775</v>
      </c>
      <c r="G638">
        <v>202005</v>
      </c>
      <c r="H638" t="s">
        <v>75</v>
      </c>
      <c r="I638" t="s">
        <v>76</v>
      </c>
      <c r="J638" t="s">
        <v>77</v>
      </c>
      <c r="K638" t="s">
        <v>78</v>
      </c>
      <c r="L638" t="s">
        <v>344</v>
      </c>
      <c r="M638" t="s">
        <v>345</v>
      </c>
      <c r="N638" t="s">
        <v>550</v>
      </c>
      <c r="O638" t="s">
        <v>82</v>
      </c>
      <c r="P638" t="str">
        <f>"2170714464                    "</f>
        <v xml:space="preserve">2170714464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6.71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1.3</v>
      </c>
      <c r="BJ638">
        <v>1.2</v>
      </c>
      <c r="BK638">
        <v>1.5</v>
      </c>
      <c r="BL638" s="4">
        <v>39.42</v>
      </c>
      <c r="BM638" s="4">
        <v>5.91</v>
      </c>
      <c r="BN638" s="4">
        <v>45.33</v>
      </c>
      <c r="BO638" s="4">
        <v>45.33</v>
      </c>
      <c r="BQ638" t="s">
        <v>109</v>
      </c>
      <c r="BR638" t="s">
        <v>84</v>
      </c>
      <c r="BS638" s="3">
        <v>43776</v>
      </c>
      <c r="BT638" s="5">
        <v>0.42222222222222222</v>
      </c>
      <c r="BU638" t="s">
        <v>1163</v>
      </c>
      <c r="BV638" t="s">
        <v>86</v>
      </c>
      <c r="BY638">
        <v>6206</v>
      </c>
      <c r="CA638" t="s">
        <v>348</v>
      </c>
      <c r="CC638" t="s">
        <v>345</v>
      </c>
      <c r="CD638">
        <v>2163</v>
      </c>
      <c r="CE638" t="s">
        <v>88</v>
      </c>
      <c r="CF638" s="3">
        <v>43777</v>
      </c>
      <c r="CI638">
        <v>1</v>
      </c>
      <c r="CJ638">
        <v>1</v>
      </c>
      <c r="CK638">
        <v>22</v>
      </c>
      <c r="CL638" t="s">
        <v>89</v>
      </c>
    </row>
    <row r="639" spans="1:90">
      <c r="A639" t="s">
        <v>72</v>
      </c>
      <c r="B639" t="s">
        <v>73</v>
      </c>
      <c r="C639" t="s">
        <v>74</v>
      </c>
      <c r="E639" t="str">
        <f>"FES1162721635"</f>
        <v>FES1162721635</v>
      </c>
      <c r="F639" s="3">
        <v>43775</v>
      </c>
      <c r="G639">
        <v>202005</v>
      </c>
      <c r="H639" t="s">
        <v>75</v>
      </c>
      <c r="I639" t="s">
        <v>76</v>
      </c>
      <c r="J639" t="s">
        <v>77</v>
      </c>
      <c r="K639" t="s">
        <v>78</v>
      </c>
      <c r="L639" t="s">
        <v>202</v>
      </c>
      <c r="M639" t="s">
        <v>203</v>
      </c>
      <c r="N639" t="s">
        <v>389</v>
      </c>
      <c r="O639" t="s">
        <v>82</v>
      </c>
      <c r="P639" t="str">
        <f>"21707135451                   "</f>
        <v xml:space="preserve">21707135451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8.31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1.3</v>
      </c>
      <c r="BJ639">
        <v>2.9</v>
      </c>
      <c r="BK639">
        <v>3</v>
      </c>
      <c r="BL639" s="4">
        <v>48.86</v>
      </c>
      <c r="BM639" s="4">
        <v>7.33</v>
      </c>
      <c r="BN639" s="4">
        <v>56.19</v>
      </c>
      <c r="BO639" s="4">
        <v>56.19</v>
      </c>
      <c r="BQ639" t="s">
        <v>121</v>
      </c>
      <c r="BR639" t="s">
        <v>84</v>
      </c>
      <c r="BS639" s="3">
        <v>43776</v>
      </c>
      <c r="BT639" s="5">
        <v>0.4375</v>
      </c>
      <c r="BU639" t="s">
        <v>1158</v>
      </c>
      <c r="BV639" t="s">
        <v>86</v>
      </c>
      <c r="BY639">
        <v>14327.66</v>
      </c>
      <c r="CC639" t="s">
        <v>203</v>
      </c>
      <c r="CD639">
        <v>1401</v>
      </c>
      <c r="CE639" t="s">
        <v>88</v>
      </c>
      <c r="CF639" s="3">
        <v>43777</v>
      </c>
      <c r="CI639">
        <v>1</v>
      </c>
      <c r="CJ639">
        <v>1</v>
      </c>
      <c r="CK639">
        <v>22</v>
      </c>
      <c r="CL639" t="s">
        <v>89</v>
      </c>
    </row>
    <row r="640" spans="1:90">
      <c r="A640" t="s">
        <v>72</v>
      </c>
      <c r="B640" t="s">
        <v>73</v>
      </c>
      <c r="C640" t="s">
        <v>74</v>
      </c>
      <c r="E640" t="str">
        <f>"FES1162721589"</f>
        <v>FES1162721589</v>
      </c>
      <c r="F640" s="3">
        <v>43775</v>
      </c>
      <c r="G640">
        <v>202005</v>
      </c>
      <c r="H640" t="s">
        <v>75</v>
      </c>
      <c r="I640" t="s">
        <v>76</v>
      </c>
      <c r="J640" t="s">
        <v>77</v>
      </c>
      <c r="K640" t="s">
        <v>78</v>
      </c>
      <c r="L640" t="s">
        <v>112</v>
      </c>
      <c r="M640" t="s">
        <v>113</v>
      </c>
      <c r="N640" t="s">
        <v>160</v>
      </c>
      <c r="O640" t="s">
        <v>82</v>
      </c>
      <c r="P640" t="str">
        <f>"2170715761                    "</f>
        <v xml:space="preserve">2170715761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8.58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1.6</v>
      </c>
      <c r="BJ640">
        <v>0.9</v>
      </c>
      <c r="BK640">
        <v>2</v>
      </c>
      <c r="BL640" s="4">
        <v>50.45</v>
      </c>
      <c r="BM640" s="4">
        <v>7.57</v>
      </c>
      <c r="BN640" s="4">
        <v>58.02</v>
      </c>
      <c r="BO640" s="4">
        <v>58.02</v>
      </c>
      <c r="BQ640" t="s">
        <v>161</v>
      </c>
      <c r="BR640" t="s">
        <v>84</v>
      </c>
      <c r="BS640" s="3">
        <v>43776</v>
      </c>
      <c r="BT640" s="5">
        <v>0.3527777777777778</v>
      </c>
      <c r="BU640" t="s">
        <v>162</v>
      </c>
      <c r="BV640" t="s">
        <v>86</v>
      </c>
      <c r="BY640">
        <v>4444.1499999999996</v>
      </c>
      <c r="CA640" t="s">
        <v>163</v>
      </c>
      <c r="CC640" t="s">
        <v>113</v>
      </c>
      <c r="CD640">
        <v>4000</v>
      </c>
      <c r="CE640" t="s">
        <v>88</v>
      </c>
      <c r="CF640" s="3">
        <v>43777</v>
      </c>
      <c r="CI640">
        <v>1</v>
      </c>
      <c r="CJ640">
        <v>1</v>
      </c>
      <c r="CK640">
        <v>21</v>
      </c>
      <c r="CL640" t="s">
        <v>89</v>
      </c>
    </row>
    <row r="641" spans="1:90">
      <c r="A641" t="s">
        <v>72</v>
      </c>
      <c r="B641" t="s">
        <v>73</v>
      </c>
      <c r="C641" t="s">
        <v>74</v>
      </c>
      <c r="E641" t="str">
        <f>"FES1162711120"</f>
        <v>FES1162711120</v>
      </c>
      <c r="F641" s="3">
        <v>43775</v>
      </c>
      <c r="G641">
        <v>202005</v>
      </c>
      <c r="H641" t="s">
        <v>75</v>
      </c>
      <c r="I641" t="s">
        <v>76</v>
      </c>
      <c r="J641" t="s">
        <v>77</v>
      </c>
      <c r="K641" t="s">
        <v>78</v>
      </c>
      <c r="L641" t="s">
        <v>482</v>
      </c>
      <c r="M641" t="s">
        <v>483</v>
      </c>
      <c r="N641" t="s">
        <v>1164</v>
      </c>
      <c r="O641" t="s">
        <v>82</v>
      </c>
      <c r="P641" t="str">
        <f>"2170704795                    "</f>
        <v xml:space="preserve">2170704795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6.71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 s="4">
        <v>39.42</v>
      </c>
      <c r="BM641" s="4">
        <v>5.91</v>
      </c>
      <c r="BN641" s="4">
        <v>45.33</v>
      </c>
      <c r="BO641" s="4">
        <v>45.33</v>
      </c>
      <c r="BQ641" t="s">
        <v>109</v>
      </c>
      <c r="BR641" t="s">
        <v>84</v>
      </c>
      <c r="BS641" s="3">
        <v>43776</v>
      </c>
      <c r="BT641" s="5">
        <v>0.35416666666666669</v>
      </c>
      <c r="BU641" t="s">
        <v>231</v>
      </c>
      <c r="BV641" t="s">
        <v>86</v>
      </c>
      <c r="BY641">
        <v>1200</v>
      </c>
      <c r="CC641" t="s">
        <v>483</v>
      </c>
      <c r="CD641">
        <v>1459</v>
      </c>
      <c r="CE641" t="s">
        <v>147</v>
      </c>
      <c r="CF641" s="3">
        <v>43777</v>
      </c>
      <c r="CI641">
        <v>1</v>
      </c>
      <c r="CJ641">
        <v>1</v>
      </c>
      <c r="CK641">
        <v>22</v>
      </c>
      <c r="CL641" t="s">
        <v>89</v>
      </c>
    </row>
    <row r="642" spans="1:90">
      <c r="A642" t="s">
        <v>72</v>
      </c>
      <c r="B642" t="s">
        <v>73</v>
      </c>
      <c r="C642" t="s">
        <v>74</v>
      </c>
      <c r="E642" t="str">
        <f>"FES1162721699"</f>
        <v>FES1162721699</v>
      </c>
      <c r="F642" s="3">
        <v>43775</v>
      </c>
      <c r="G642">
        <v>202005</v>
      </c>
      <c r="H642" t="s">
        <v>75</v>
      </c>
      <c r="I642" t="s">
        <v>76</v>
      </c>
      <c r="J642" t="s">
        <v>77</v>
      </c>
      <c r="K642" t="s">
        <v>78</v>
      </c>
      <c r="L642" t="s">
        <v>90</v>
      </c>
      <c r="M642" t="s">
        <v>91</v>
      </c>
      <c r="N642" t="s">
        <v>538</v>
      </c>
      <c r="O642" t="s">
        <v>82</v>
      </c>
      <c r="P642" t="str">
        <f>"2170714395                    "</f>
        <v xml:space="preserve">2170714395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15.02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3.2</v>
      </c>
      <c r="BJ642">
        <v>1.5</v>
      </c>
      <c r="BK642">
        <v>3.5</v>
      </c>
      <c r="BL642" s="4">
        <v>88.27</v>
      </c>
      <c r="BM642" s="4">
        <v>13.24</v>
      </c>
      <c r="BN642" s="4">
        <v>101.51</v>
      </c>
      <c r="BO642" s="4">
        <v>101.51</v>
      </c>
      <c r="BQ642" t="s">
        <v>109</v>
      </c>
      <c r="BR642" t="s">
        <v>84</v>
      </c>
      <c r="BS642" s="3">
        <v>43776</v>
      </c>
      <c r="BT642" s="5">
        <v>0.3298611111111111</v>
      </c>
      <c r="BU642" t="s">
        <v>1024</v>
      </c>
      <c r="BV642" t="s">
        <v>86</v>
      </c>
      <c r="BY642">
        <v>7701.01</v>
      </c>
      <c r="CA642" t="s">
        <v>540</v>
      </c>
      <c r="CC642" t="s">
        <v>91</v>
      </c>
      <c r="CD642">
        <v>7530</v>
      </c>
      <c r="CE642" t="s">
        <v>88</v>
      </c>
      <c r="CF642" s="3">
        <v>43777</v>
      </c>
      <c r="CI642">
        <v>1</v>
      </c>
      <c r="CJ642">
        <v>1</v>
      </c>
      <c r="CK642">
        <v>21</v>
      </c>
      <c r="CL642" t="s">
        <v>89</v>
      </c>
    </row>
    <row r="643" spans="1:90">
      <c r="A643" t="s">
        <v>72</v>
      </c>
      <c r="B643" t="s">
        <v>73</v>
      </c>
      <c r="C643" t="s">
        <v>74</v>
      </c>
      <c r="E643" t="str">
        <f>"FES1162721565"</f>
        <v>FES1162721565</v>
      </c>
      <c r="F643" s="3">
        <v>43775</v>
      </c>
      <c r="G643">
        <v>202005</v>
      </c>
      <c r="H643" t="s">
        <v>75</v>
      </c>
      <c r="I643" t="s">
        <v>76</v>
      </c>
      <c r="J643" t="s">
        <v>77</v>
      </c>
      <c r="K643" t="s">
        <v>78</v>
      </c>
      <c r="L643" t="s">
        <v>482</v>
      </c>
      <c r="M643" t="s">
        <v>483</v>
      </c>
      <c r="N643" t="s">
        <v>1165</v>
      </c>
      <c r="O643" t="s">
        <v>82</v>
      </c>
      <c r="P643" t="str">
        <f>"2170713148                    "</f>
        <v xml:space="preserve">2170713148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6.71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 s="4">
        <v>39.42</v>
      </c>
      <c r="BM643" s="4">
        <v>5.91</v>
      </c>
      <c r="BN643" s="4">
        <v>45.33</v>
      </c>
      <c r="BO643" s="4">
        <v>45.33</v>
      </c>
      <c r="BQ643" t="s">
        <v>109</v>
      </c>
      <c r="BR643" t="s">
        <v>84</v>
      </c>
      <c r="BS643" s="3">
        <v>43776</v>
      </c>
      <c r="BT643" s="5">
        <v>0.27083333333333331</v>
      </c>
      <c r="BU643" t="s">
        <v>382</v>
      </c>
      <c r="BV643" t="s">
        <v>86</v>
      </c>
      <c r="BY643">
        <v>1200</v>
      </c>
      <c r="CC643" t="s">
        <v>483</v>
      </c>
      <c r="CD643">
        <v>1459</v>
      </c>
      <c r="CE643" t="s">
        <v>147</v>
      </c>
      <c r="CF643" s="3">
        <v>43777</v>
      </c>
      <c r="CI643">
        <v>1</v>
      </c>
      <c r="CJ643">
        <v>1</v>
      </c>
      <c r="CK643">
        <v>22</v>
      </c>
      <c r="CL643" t="s">
        <v>89</v>
      </c>
    </row>
    <row r="644" spans="1:90">
      <c r="A644" t="s">
        <v>72</v>
      </c>
      <c r="B644" t="s">
        <v>73</v>
      </c>
      <c r="C644" t="s">
        <v>74</v>
      </c>
      <c r="E644" t="str">
        <f>"FES1162721575"</f>
        <v>FES1162721575</v>
      </c>
      <c r="F644" s="3">
        <v>43775</v>
      </c>
      <c r="G644">
        <v>202005</v>
      </c>
      <c r="H644" t="s">
        <v>75</v>
      </c>
      <c r="I644" t="s">
        <v>76</v>
      </c>
      <c r="J644" t="s">
        <v>77</v>
      </c>
      <c r="K644" t="s">
        <v>78</v>
      </c>
      <c r="L644" t="s">
        <v>124</v>
      </c>
      <c r="M644" t="s">
        <v>125</v>
      </c>
      <c r="N644" t="s">
        <v>218</v>
      </c>
      <c r="O644" t="s">
        <v>82</v>
      </c>
      <c r="P644" t="str">
        <f>"2170715745                    "</f>
        <v xml:space="preserve">2170715745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6.71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 s="4">
        <v>39.42</v>
      </c>
      <c r="BM644" s="4">
        <v>5.91</v>
      </c>
      <c r="BN644" s="4">
        <v>45.33</v>
      </c>
      <c r="BO644" s="4">
        <v>45.33</v>
      </c>
      <c r="BQ644" t="s">
        <v>121</v>
      </c>
      <c r="BR644" t="s">
        <v>84</v>
      </c>
      <c r="BS644" s="3">
        <v>43776</v>
      </c>
      <c r="BT644" s="5">
        <v>0.4201388888888889</v>
      </c>
      <c r="BU644" t="s">
        <v>1166</v>
      </c>
      <c r="BV644" t="s">
        <v>86</v>
      </c>
      <c r="BY644">
        <v>1200</v>
      </c>
      <c r="CA644" t="s">
        <v>123</v>
      </c>
      <c r="CC644" t="s">
        <v>125</v>
      </c>
      <c r="CD644">
        <v>2094</v>
      </c>
      <c r="CE644" t="s">
        <v>147</v>
      </c>
      <c r="CF644" s="3">
        <v>43777</v>
      </c>
      <c r="CI644">
        <v>1</v>
      </c>
      <c r="CJ644">
        <v>1</v>
      </c>
      <c r="CK644">
        <v>22</v>
      </c>
      <c r="CL644" t="s">
        <v>89</v>
      </c>
    </row>
    <row r="645" spans="1:90">
      <c r="A645" t="s">
        <v>72</v>
      </c>
      <c r="B645" t="s">
        <v>73</v>
      </c>
      <c r="C645" t="s">
        <v>74</v>
      </c>
      <c r="E645" t="str">
        <f>"FES1162721690"</f>
        <v>FES1162721690</v>
      </c>
      <c r="F645" s="3">
        <v>43775</v>
      </c>
      <c r="G645">
        <v>202005</v>
      </c>
      <c r="H645" t="s">
        <v>75</v>
      </c>
      <c r="I645" t="s">
        <v>76</v>
      </c>
      <c r="J645" t="s">
        <v>77</v>
      </c>
      <c r="K645" t="s">
        <v>78</v>
      </c>
      <c r="L645" t="s">
        <v>546</v>
      </c>
      <c r="M645" t="s">
        <v>547</v>
      </c>
      <c r="N645" t="s">
        <v>1167</v>
      </c>
      <c r="O645" t="s">
        <v>82</v>
      </c>
      <c r="P645" t="str">
        <f>"52170715902                   "</f>
        <v xml:space="preserve">52170715902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10.72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4.4000000000000004</v>
      </c>
      <c r="BJ645">
        <v>3.2</v>
      </c>
      <c r="BK645">
        <v>4.5</v>
      </c>
      <c r="BL645" s="4">
        <v>63.03</v>
      </c>
      <c r="BM645" s="4">
        <v>9.4499999999999993</v>
      </c>
      <c r="BN645" s="4">
        <v>72.48</v>
      </c>
      <c r="BO645" s="4">
        <v>72.48</v>
      </c>
      <c r="BQ645" t="s">
        <v>121</v>
      </c>
      <c r="BR645" t="s">
        <v>84</v>
      </c>
      <c r="BS645" s="3">
        <v>43776</v>
      </c>
      <c r="BT645" s="5">
        <v>0.38541666666666669</v>
      </c>
      <c r="BU645" t="s">
        <v>1168</v>
      </c>
      <c r="BV645" t="s">
        <v>86</v>
      </c>
      <c r="BY645">
        <v>15794.99</v>
      </c>
      <c r="CA645" t="s">
        <v>1097</v>
      </c>
      <c r="CC645" t="s">
        <v>547</v>
      </c>
      <c r="CD645">
        <v>1724</v>
      </c>
      <c r="CE645" t="s">
        <v>88</v>
      </c>
      <c r="CF645" s="3">
        <v>43777</v>
      </c>
      <c r="CI645">
        <v>1</v>
      </c>
      <c r="CJ645">
        <v>1</v>
      </c>
      <c r="CK645">
        <v>22</v>
      </c>
      <c r="CL645" t="s">
        <v>89</v>
      </c>
    </row>
    <row r="646" spans="1:90">
      <c r="A646" t="s">
        <v>72</v>
      </c>
      <c r="B646" t="s">
        <v>73</v>
      </c>
      <c r="C646" t="s">
        <v>74</v>
      </c>
      <c r="E646" t="str">
        <f>"FES1162721602"</f>
        <v>FES1162721602</v>
      </c>
      <c r="F646" s="3">
        <v>43775</v>
      </c>
      <c r="G646">
        <v>202005</v>
      </c>
      <c r="H646" t="s">
        <v>75</v>
      </c>
      <c r="I646" t="s">
        <v>76</v>
      </c>
      <c r="J646" t="s">
        <v>77</v>
      </c>
      <c r="K646" t="s">
        <v>78</v>
      </c>
      <c r="L646" t="s">
        <v>482</v>
      </c>
      <c r="M646" t="s">
        <v>483</v>
      </c>
      <c r="N646" t="s">
        <v>1036</v>
      </c>
      <c r="O646" t="s">
        <v>82</v>
      </c>
      <c r="P646" t="str">
        <f>"2170715784                    "</f>
        <v xml:space="preserve">2170715784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6.71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 s="4">
        <v>39.42</v>
      </c>
      <c r="BM646" s="4">
        <v>5.91</v>
      </c>
      <c r="BN646" s="4">
        <v>45.33</v>
      </c>
      <c r="BO646" s="4">
        <v>45.33</v>
      </c>
      <c r="BR646" t="s">
        <v>84</v>
      </c>
      <c r="BS646" s="3">
        <v>43776</v>
      </c>
      <c r="BT646" s="5">
        <v>0.37708333333333338</v>
      </c>
      <c r="BU646" t="s">
        <v>231</v>
      </c>
      <c r="BV646" t="s">
        <v>86</v>
      </c>
      <c r="BY646">
        <v>1200</v>
      </c>
      <c r="CC646" t="s">
        <v>483</v>
      </c>
      <c r="CD646">
        <v>1460</v>
      </c>
      <c r="CE646" t="s">
        <v>147</v>
      </c>
      <c r="CF646" s="3">
        <v>43777</v>
      </c>
      <c r="CI646">
        <v>1</v>
      </c>
      <c r="CJ646">
        <v>1</v>
      </c>
      <c r="CK646">
        <v>22</v>
      </c>
      <c r="CL646" t="s">
        <v>89</v>
      </c>
    </row>
    <row r="647" spans="1:90">
      <c r="A647" t="s">
        <v>72</v>
      </c>
      <c r="B647" t="s">
        <v>73</v>
      </c>
      <c r="C647" t="s">
        <v>74</v>
      </c>
      <c r="E647" t="str">
        <f>"FES1162721427"</f>
        <v>FES1162721427</v>
      </c>
      <c r="F647" s="3">
        <v>43775</v>
      </c>
      <c r="G647">
        <v>202005</v>
      </c>
      <c r="H647" t="s">
        <v>75</v>
      </c>
      <c r="I647" t="s">
        <v>76</v>
      </c>
      <c r="J647" t="s">
        <v>77</v>
      </c>
      <c r="K647" t="s">
        <v>78</v>
      </c>
      <c r="L647" t="s">
        <v>691</v>
      </c>
      <c r="M647" t="s">
        <v>692</v>
      </c>
      <c r="N647" t="s">
        <v>957</v>
      </c>
      <c r="O647" t="s">
        <v>82</v>
      </c>
      <c r="P647" t="str">
        <f>"2170713447                    "</f>
        <v xml:space="preserve">2170713447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8.31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2.9</v>
      </c>
      <c r="BJ647">
        <v>3</v>
      </c>
      <c r="BK647">
        <v>3</v>
      </c>
      <c r="BL647" s="4">
        <v>48.86</v>
      </c>
      <c r="BM647" s="4">
        <v>7.33</v>
      </c>
      <c r="BN647" s="4">
        <v>56.19</v>
      </c>
      <c r="BO647" s="4">
        <v>56.19</v>
      </c>
      <c r="BQ647" t="s">
        <v>121</v>
      </c>
      <c r="BR647" t="s">
        <v>84</v>
      </c>
      <c r="BS647" s="3">
        <v>43776</v>
      </c>
      <c r="BT647" s="5">
        <v>0.33333333333333331</v>
      </c>
      <c r="BU647" t="s">
        <v>1169</v>
      </c>
      <c r="BV647" t="s">
        <v>86</v>
      </c>
      <c r="BY647">
        <v>15090.53</v>
      </c>
      <c r="CA647" t="s">
        <v>819</v>
      </c>
      <c r="CC647" t="s">
        <v>692</v>
      </c>
      <c r="CD647">
        <v>1559</v>
      </c>
      <c r="CE647" t="s">
        <v>88</v>
      </c>
      <c r="CF647" s="3">
        <v>43777</v>
      </c>
      <c r="CI647">
        <v>1</v>
      </c>
      <c r="CJ647">
        <v>1</v>
      </c>
      <c r="CK647">
        <v>22</v>
      </c>
      <c r="CL647" t="s">
        <v>89</v>
      </c>
    </row>
    <row r="648" spans="1:90">
      <c r="A648" t="s">
        <v>72</v>
      </c>
      <c r="B648" t="s">
        <v>73</v>
      </c>
      <c r="C648" t="s">
        <v>74</v>
      </c>
      <c r="E648" t="str">
        <f>"FES1162721610"</f>
        <v>FES1162721610</v>
      </c>
      <c r="F648" s="3">
        <v>43775</v>
      </c>
      <c r="G648">
        <v>202005</v>
      </c>
      <c r="H648" t="s">
        <v>75</v>
      </c>
      <c r="I648" t="s">
        <v>76</v>
      </c>
      <c r="J648" t="s">
        <v>77</v>
      </c>
      <c r="K648" t="s">
        <v>78</v>
      </c>
      <c r="L648" t="s">
        <v>202</v>
      </c>
      <c r="M648" t="s">
        <v>203</v>
      </c>
      <c r="N648" t="s">
        <v>1170</v>
      </c>
      <c r="O648" t="s">
        <v>82</v>
      </c>
      <c r="P648" t="str">
        <f>"2170715796                    "</f>
        <v xml:space="preserve">2170715796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6.71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 s="4">
        <v>39.42</v>
      </c>
      <c r="BM648" s="4">
        <v>5.91</v>
      </c>
      <c r="BN648" s="4">
        <v>45.33</v>
      </c>
      <c r="BO648" s="4">
        <v>45.33</v>
      </c>
      <c r="BQ648" t="s">
        <v>337</v>
      </c>
      <c r="BR648" t="s">
        <v>84</v>
      </c>
      <c r="BS648" s="3">
        <v>43776</v>
      </c>
      <c r="BT648" s="5">
        <v>0.36388888888888887</v>
      </c>
      <c r="BU648" t="s">
        <v>1171</v>
      </c>
      <c r="BV648" t="s">
        <v>86</v>
      </c>
      <c r="BY648">
        <v>1200</v>
      </c>
      <c r="CA648" t="s">
        <v>123</v>
      </c>
      <c r="CC648" t="s">
        <v>203</v>
      </c>
      <c r="CD648">
        <v>1401</v>
      </c>
      <c r="CE648" t="s">
        <v>147</v>
      </c>
      <c r="CF648" s="3">
        <v>43777</v>
      </c>
      <c r="CI648">
        <v>1</v>
      </c>
      <c r="CJ648">
        <v>1</v>
      </c>
      <c r="CK648">
        <v>22</v>
      </c>
      <c r="CL648" t="s">
        <v>89</v>
      </c>
    </row>
    <row r="649" spans="1:90">
      <c r="A649" t="s">
        <v>72</v>
      </c>
      <c r="B649" t="s">
        <v>73</v>
      </c>
      <c r="C649" t="s">
        <v>74</v>
      </c>
      <c r="E649" t="str">
        <f>"FES1162721713"</f>
        <v>FES1162721713</v>
      </c>
      <c r="F649" s="3">
        <v>43775</v>
      </c>
      <c r="G649">
        <v>202005</v>
      </c>
      <c r="H649" t="s">
        <v>75</v>
      </c>
      <c r="I649" t="s">
        <v>76</v>
      </c>
      <c r="J649" t="s">
        <v>77</v>
      </c>
      <c r="K649" t="s">
        <v>78</v>
      </c>
      <c r="L649" t="s">
        <v>124</v>
      </c>
      <c r="M649" t="s">
        <v>125</v>
      </c>
      <c r="N649" t="s">
        <v>218</v>
      </c>
      <c r="O649" t="s">
        <v>82</v>
      </c>
      <c r="P649" t="str">
        <f>"2170715941                    "</f>
        <v xml:space="preserve">2170715941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8.31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2.6</v>
      </c>
      <c r="BJ649">
        <v>3</v>
      </c>
      <c r="BK649">
        <v>3</v>
      </c>
      <c r="BL649" s="4">
        <v>48.86</v>
      </c>
      <c r="BM649" s="4">
        <v>7.33</v>
      </c>
      <c r="BN649" s="4">
        <v>56.19</v>
      </c>
      <c r="BO649" s="4">
        <v>56.19</v>
      </c>
      <c r="BQ649" t="s">
        <v>121</v>
      </c>
      <c r="BR649" t="s">
        <v>84</v>
      </c>
      <c r="BS649" s="3">
        <v>43776</v>
      </c>
      <c r="BT649" s="5">
        <v>0.41944444444444445</v>
      </c>
      <c r="BU649" t="s">
        <v>1023</v>
      </c>
      <c r="BV649" t="s">
        <v>86</v>
      </c>
      <c r="BY649">
        <v>15029.28</v>
      </c>
      <c r="CA649" t="s">
        <v>123</v>
      </c>
      <c r="CC649" t="s">
        <v>125</v>
      </c>
      <c r="CD649">
        <v>2094</v>
      </c>
      <c r="CE649" t="s">
        <v>88</v>
      </c>
      <c r="CF649" s="3">
        <v>43777</v>
      </c>
      <c r="CI649">
        <v>1</v>
      </c>
      <c r="CJ649">
        <v>1</v>
      </c>
      <c r="CK649">
        <v>22</v>
      </c>
      <c r="CL649" t="s">
        <v>89</v>
      </c>
    </row>
    <row r="650" spans="1:90">
      <c r="A650" t="s">
        <v>72</v>
      </c>
      <c r="B650" t="s">
        <v>73</v>
      </c>
      <c r="C650" t="s">
        <v>74</v>
      </c>
      <c r="E650" t="str">
        <f>"FES1162721651"</f>
        <v>FES1162721651</v>
      </c>
      <c r="F650" s="3">
        <v>43775</v>
      </c>
      <c r="G650">
        <v>202005</v>
      </c>
      <c r="H650" t="s">
        <v>75</v>
      </c>
      <c r="I650" t="s">
        <v>76</v>
      </c>
      <c r="J650" t="s">
        <v>77</v>
      </c>
      <c r="K650" t="s">
        <v>78</v>
      </c>
      <c r="L650" t="s">
        <v>101</v>
      </c>
      <c r="M650" t="s">
        <v>102</v>
      </c>
      <c r="N650" t="s">
        <v>707</v>
      </c>
      <c r="O650" t="s">
        <v>82</v>
      </c>
      <c r="P650" t="str">
        <f>"2170715856                    "</f>
        <v xml:space="preserve">2170715856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8.58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 s="4">
        <v>50.45</v>
      </c>
      <c r="BM650" s="4">
        <v>7.57</v>
      </c>
      <c r="BN650" s="4">
        <v>58.02</v>
      </c>
      <c r="BO650" s="4">
        <v>58.02</v>
      </c>
      <c r="BQ650" t="s">
        <v>121</v>
      </c>
      <c r="BR650" t="s">
        <v>84</v>
      </c>
      <c r="BS650" s="3">
        <v>43776</v>
      </c>
      <c r="BT650" s="5">
        <v>0.33124999999999999</v>
      </c>
      <c r="BU650" t="s">
        <v>708</v>
      </c>
      <c r="BV650" t="s">
        <v>86</v>
      </c>
      <c r="BY650">
        <v>1200</v>
      </c>
      <c r="CA650" t="s">
        <v>709</v>
      </c>
      <c r="CC650" t="s">
        <v>102</v>
      </c>
      <c r="CD650">
        <v>1</v>
      </c>
      <c r="CE650" t="s">
        <v>147</v>
      </c>
      <c r="CF650" s="3">
        <v>43777</v>
      </c>
      <c r="CI650">
        <v>1</v>
      </c>
      <c r="CJ650">
        <v>1</v>
      </c>
      <c r="CK650">
        <v>21</v>
      </c>
      <c r="CL650" t="s">
        <v>89</v>
      </c>
    </row>
    <row r="651" spans="1:90">
      <c r="A651" t="s">
        <v>72</v>
      </c>
      <c r="B651" t="s">
        <v>73</v>
      </c>
      <c r="C651" t="s">
        <v>74</v>
      </c>
      <c r="E651" t="str">
        <f>"FES1162721428"</f>
        <v>FES1162721428</v>
      </c>
      <c r="F651" s="3">
        <v>43775</v>
      </c>
      <c r="G651">
        <v>202005</v>
      </c>
      <c r="H651" t="s">
        <v>75</v>
      </c>
      <c r="I651" t="s">
        <v>76</v>
      </c>
      <c r="J651" t="s">
        <v>77</v>
      </c>
      <c r="K651" t="s">
        <v>78</v>
      </c>
      <c r="L651" t="s">
        <v>202</v>
      </c>
      <c r="M651" t="s">
        <v>203</v>
      </c>
      <c r="N651" t="s">
        <v>389</v>
      </c>
      <c r="O651" t="s">
        <v>82</v>
      </c>
      <c r="P651" t="str">
        <f>"21740713451                   "</f>
        <v xml:space="preserve">21740713451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18.760000000000002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9.4</v>
      </c>
      <c r="BJ651">
        <v>3</v>
      </c>
      <c r="BK651">
        <v>9.5</v>
      </c>
      <c r="BL651" s="4">
        <v>110.27</v>
      </c>
      <c r="BM651" s="4">
        <v>16.54</v>
      </c>
      <c r="BN651" s="4">
        <v>126.81</v>
      </c>
      <c r="BO651" s="4">
        <v>126.81</v>
      </c>
      <c r="BQ651" t="s">
        <v>121</v>
      </c>
      <c r="BR651" t="s">
        <v>84</v>
      </c>
      <c r="BS651" s="3">
        <v>43776</v>
      </c>
      <c r="BT651" s="5">
        <v>0.36458333333333331</v>
      </c>
      <c r="BU651" t="s">
        <v>1158</v>
      </c>
      <c r="BV651" t="s">
        <v>86</v>
      </c>
      <c r="BY651">
        <v>14757.98</v>
      </c>
      <c r="CC651" t="s">
        <v>203</v>
      </c>
      <c r="CD651">
        <v>1401</v>
      </c>
      <c r="CE651" t="s">
        <v>88</v>
      </c>
      <c r="CF651" s="3">
        <v>43777</v>
      </c>
      <c r="CI651">
        <v>1</v>
      </c>
      <c r="CJ651">
        <v>1</v>
      </c>
      <c r="CK651">
        <v>22</v>
      </c>
      <c r="CL651" t="s">
        <v>89</v>
      </c>
    </row>
    <row r="652" spans="1:90">
      <c r="A652" t="s">
        <v>72</v>
      </c>
      <c r="B652" t="s">
        <v>73</v>
      </c>
      <c r="C652" t="s">
        <v>74</v>
      </c>
      <c r="E652" t="str">
        <f>"FES1162721609"</f>
        <v>FES1162721609</v>
      </c>
      <c r="F652" s="3">
        <v>43775</v>
      </c>
      <c r="G652">
        <v>202005</v>
      </c>
      <c r="H652" t="s">
        <v>75</v>
      </c>
      <c r="I652" t="s">
        <v>76</v>
      </c>
      <c r="J652" t="s">
        <v>77</v>
      </c>
      <c r="K652" t="s">
        <v>78</v>
      </c>
      <c r="L652" t="s">
        <v>1172</v>
      </c>
      <c r="M652" t="s">
        <v>1173</v>
      </c>
      <c r="N652" t="s">
        <v>1174</v>
      </c>
      <c r="O652" t="s">
        <v>82</v>
      </c>
      <c r="P652" t="str">
        <f>"2170715795                    "</f>
        <v xml:space="preserve">2170715795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16.63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 s="4">
        <v>97.75</v>
      </c>
      <c r="BM652" s="4">
        <v>14.66</v>
      </c>
      <c r="BN652" s="4">
        <v>112.41</v>
      </c>
      <c r="BO652" s="4">
        <v>112.41</v>
      </c>
      <c r="BQ652" t="s">
        <v>121</v>
      </c>
      <c r="BR652" t="s">
        <v>84</v>
      </c>
      <c r="BS652" s="3">
        <v>43776</v>
      </c>
      <c r="BT652" s="5">
        <v>0.375</v>
      </c>
      <c r="BU652" t="s">
        <v>1175</v>
      </c>
      <c r="BV652" t="s">
        <v>86</v>
      </c>
      <c r="BY652">
        <v>1200</v>
      </c>
      <c r="CA652" t="s">
        <v>1176</v>
      </c>
      <c r="CC652" t="s">
        <v>1173</v>
      </c>
      <c r="CD652">
        <v>9830</v>
      </c>
      <c r="CE652" t="s">
        <v>147</v>
      </c>
      <c r="CF652" s="3">
        <v>43780</v>
      </c>
      <c r="CI652">
        <v>1</v>
      </c>
      <c r="CJ652">
        <v>1</v>
      </c>
      <c r="CK652">
        <v>23</v>
      </c>
      <c r="CL652" t="s">
        <v>89</v>
      </c>
    </row>
    <row r="653" spans="1:90">
      <c r="A653" t="s">
        <v>72</v>
      </c>
      <c r="B653" t="s">
        <v>73</v>
      </c>
      <c r="C653" t="s">
        <v>74</v>
      </c>
      <c r="E653" t="str">
        <f>"FES1162721703"</f>
        <v>FES1162721703</v>
      </c>
      <c r="F653" s="3">
        <v>43775</v>
      </c>
      <c r="G653">
        <v>202005</v>
      </c>
      <c r="H653" t="s">
        <v>75</v>
      </c>
      <c r="I653" t="s">
        <v>76</v>
      </c>
      <c r="J653" t="s">
        <v>77</v>
      </c>
      <c r="K653" t="s">
        <v>78</v>
      </c>
      <c r="L653" t="s">
        <v>95</v>
      </c>
      <c r="M653" t="s">
        <v>96</v>
      </c>
      <c r="N653" t="s">
        <v>1177</v>
      </c>
      <c r="O653" t="s">
        <v>82</v>
      </c>
      <c r="P653" t="str">
        <f>"2170715932                    "</f>
        <v xml:space="preserve">2170715932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8.31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1.4</v>
      </c>
      <c r="BJ653">
        <v>3</v>
      </c>
      <c r="BK653">
        <v>3</v>
      </c>
      <c r="BL653" s="4">
        <v>48.86</v>
      </c>
      <c r="BM653" s="4">
        <v>7.33</v>
      </c>
      <c r="BN653" s="4">
        <v>56.19</v>
      </c>
      <c r="BO653" s="4">
        <v>56.19</v>
      </c>
      <c r="BQ653" t="s">
        <v>109</v>
      </c>
      <c r="BR653" t="s">
        <v>84</v>
      </c>
      <c r="BS653" s="3">
        <v>43776</v>
      </c>
      <c r="BT653" s="5">
        <v>0.39930555555555558</v>
      </c>
      <c r="BU653" t="s">
        <v>1178</v>
      </c>
      <c r="BV653" t="s">
        <v>86</v>
      </c>
      <c r="BY653">
        <v>14970.92</v>
      </c>
      <c r="CC653" t="s">
        <v>96</v>
      </c>
      <c r="CD653">
        <v>1451</v>
      </c>
      <c r="CE653" t="s">
        <v>88</v>
      </c>
      <c r="CF653" s="3">
        <v>43777</v>
      </c>
      <c r="CI653">
        <v>1</v>
      </c>
      <c r="CJ653">
        <v>1</v>
      </c>
      <c r="CK653">
        <v>22</v>
      </c>
      <c r="CL653" t="s">
        <v>89</v>
      </c>
    </row>
    <row r="654" spans="1:90">
      <c r="A654" t="s">
        <v>72</v>
      </c>
      <c r="B654" t="s">
        <v>73</v>
      </c>
      <c r="C654" t="s">
        <v>74</v>
      </c>
      <c r="E654" t="str">
        <f>"FES1162721361"</f>
        <v>FES1162721361</v>
      </c>
      <c r="F654" s="3">
        <v>43775</v>
      </c>
      <c r="G654">
        <v>202005</v>
      </c>
      <c r="H654" t="s">
        <v>75</v>
      </c>
      <c r="I654" t="s">
        <v>76</v>
      </c>
      <c r="J654" t="s">
        <v>77</v>
      </c>
      <c r="K654" t="s">
        <v>78</v>
      </c>
      <c r="L654" t="s">
        <v>75</v>
      </c>
      <c r="M654" t="s">
        <v>76</v>
      </c>
      <c r="N654" t="s">
        <v>391</v>
      </c>
      <c r="O654" t="s">
        <v>82</v>
      </c>
      <c r="P654" t="str">
        <f>"217071566                     "</f>
        <v xml:space="preserve">217071566 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10.72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4.3</v>
      </c>
      <c r="BJ654">
        <v>2.5</v>
      </c>
      <c r="BK654">
        <v>4.5</v>
      </c>
      <c r="BL654" s="4">
        <v>63.03</v>
      </c>
      <c r="BM654" s="4">
        <v>9.4499999999999993</v>
      </c>
      <c r="BN654" s="4">
        <v>72.48</v>
      </c>
      <c r="BO654" s="4">
        <v>72.48</v>
      </c>
      <c r="BP654" t="s">
        <v>757</v>
      </c>
      <c r="BQ654" t="s">
        <v>109</v>
      </c>
      <c r="BR654" t="s">
        <v>84</v>
      </c>
      <c r="BS654" s="3">
        <v>43776</v>
      </c>
      <c r="BT654" s="5">
        <v>0.2951388888888889</v>
      </c>
      <c r="BU654" t="s">
        <v>392</v>
      </c>
      <c r="BV654" t="s">
        <v>86</v>
      </c>
      <c r="BY654">
        <v>12257.78</v>
      </c>
      <c r="CA654" t="s">
        <v>368</v>
      </c>
      <c r="CC654" t="s">
        <v>76</v>
      </c>
      <c r="CD654">
        <v>1600</v>
      </c>
      <c r="CE654" t="s">
        <v>88</v>
      </c>
      <c r="CF654" s="3">
        <v>43777</v>
      </c>
      <c r="CI654">
        <v>1</v>
      </c>
      <c r="CJ654">
        <v>1</v>
      </c>
      <c r="CK654">
        <v>22</v>
      </c>
      <c r="CL654" t="s">
        <v>89</v>
      </c>
    </row>
    <row r="655" spans="1:90">
      <c r="A655" t="s">
        <v>72</v>
      </c>
      <c r="B655" t="s">
        <v>73</v>
      </c>
      <c r="C655" t="s">
        <v>74</v>
      </c>
      <c r="E655" t="str">
        <f>"FES1162721612"</f>
        <v>FES1162721612</v>
      </c>
      <c r="F655" s="3">
        <v>43775</v>
      </c>
      <c r="G655">
        <v>202005</v>
      </c>
      <c r="H655" t="s">
        <v>75</v>
      </c>
      <c r="I655" t="s">
        <v>76</v>
      </c>
      <c r="J655" t="s">
        <v>77</v>
      </c>
      <c r="K655" t="s">
        <v>78</v>
      </c>
      <c r="L655" t="s">
        <v>202</v>
      </c>
      <c r="M655" t="s">
        <v>203</v>
      </c>
      <c r="N655" t="s">
        <v>1179</v>
      </c>
      <c r="O655" t="s">
        <v>82</v>
      </c>
      <c r="P655" t="str">
        <f>"2170715461                    "</f>
        <v xml:space="preserve">2170715461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6.71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1.1000000000000001</v>
      </c>
      <c r="BJ655">
        <v>1.3</v>
      </c>
      <c r="BK655">
        <v>1.5</v>
      </c>
      <c r="BL655" s="4">
        <v>39.42</v>
      </c>
      <c r="BM655" s="4">
        <v>5.91</v>
      </c>
      <c r="BN655" s="4">
        <v>45.33</v>
      </c>
      <c r="BO655" s="4">
        <v>45.33</v>
      </c>
      <c r="BQ655" t="s">
        <v>121</v>
      </c>
      <c r="BR655" t="s">
        <v>84</v>
      </c>
      <c r="BS655" s="3">
        <v>43776</v>
      </c>
      <c r="BT655" s="5">
        <v>0.34513888888888888</v>
      </c>
      <c r="BU655" t="s">
        <v>1180</v>
      </c>
      <c r="BV655" t="s">
        <v>86</v>
      </c>
      <c r="BY655">
        <v>6501.04</v>
      </c>
      <c r="CA655" t="s">
        <v>1181</v>
      </c>
      <c r="CC655" t="s">
        <v>203</v>
      </c>
      <c r="CD655">
        <v>1400</v>
      </c>
      <c r="CE655" t="s">
        <v>88</v>
      </c>
      <c r="CF655" s="3">
        <v>43777</v>
      </c>
      <c r="CI655">
        <v>1</v>
      </c>
      <c r="CJ655">
        <v>1</v>
      </c>
      <c r="CK655">
        <v>22</v>
      </c>
      <c r="CL655" t="s">
        <v>89</v>
      </c>
    </row>
    <row r="656" spans="1:90">
      <c r="A656" t="s">
        <v>72</v>
      </c>
      <c r="B656" t="s">
        <v>73</v>
      </c>
      <c r="C656" t="s">
        <v>74</v>
      </c>
      <c r="E656" t="str">
        <f>"FES1162721405"</f>
        <v>FES1162721405</v>
      </c>
      <c r="F656" s="3">
        <v>43775</v>
      </c>
      <c r="G656">
        <v>202005</v>
      </c>
      <c r="H656" t="s">
        <v>75</v>
      </c>
      <c r="I656" t="s">
        <v>76</v>
      </c>
      <c r="J656" t="s">
        <v>77</v>
      </c>
      <c r="K656" t="s">
        <v>78</v>
      </c>
      <c r="L656" t="s">
        <v>90</v>
      </c>
      <c r="M656" t="s">
        <v>91</v>
      </c>
      <c r="N656" t="s">
        <v>538</v>
      </c>
      <c r="O656" t="s">
        <v>82</v>
      </c>
      <c r="P656" t="str">
        <f>"2170710088                    "</f>
        <v xml:space="preserve">2170710088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8.58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0.8</v>
      </c>
      <c r="BJ656">
        <v>0.8</v>
      </c>
      <c r="BK656">
        <v>1</v>
      </c>
      <c r="BL656" s="4">
        <v>50.45</v>
      </c>
      <c r="BM656" s="4">
        <v>7.57</v>
      </c>
      <c r="BN656" s="4">
        <v>58.02</v>
      </c>
      <c r="BO656" s="4">
        <v>58.02</v>
      </c>
      <c r="BQ656" t="s">
        <v>109</v>
      </c>
      <c r="BR656" t="s">
        <v>84</v>
      </c>
      <c r="BS656" s="3">
        <v>43776</v>
      </c>
      <c r="BT656" s="5">
        <v>0.3263888888888889</v>
      </c>
      <c r="BU656" t="s">
        <v>1024</v>
      </c>
      <c r="BV656" t="s">
        <v>86</v>
      </c>
      <c r="BY656">
        <v>4094.87</v>
      </c>
      <c r="CA656" t="s">
        <v>540</v>
      </c>
      <c r="CC656" t="s">
        <v>91</v>
      </c>
      <c r="CD656">
        <v>7530</v>
      </c>
      <c r="CE656" t="s">
        <v>88</v>
      </c>
      <c r="CF656" s="3">
        <v>43777</v>
      </c>
      <c r="CI656">
        <v>1</v>
      </c>
      <c r="CJ656">
        <v>1</v>
      </c>
      <c r="CK656">
        <v>21</v>
      </c>
      <c r="CL656" t="s">
        <v>89</v>
      </c>
    </row>
    <row r="657" spans="1:90">
      <c r="A657" t="s">
        <v>72</v>
      </c>
      <c r="B657" t="s">
        <v>73</v>
      </c>
      <c r="C657" t="s">
        <v>74</v>
      </c>
      <c r="E657" t="str">
        <f>"FES1162721670"</f>
        <v>FES1162721670</v>
      </c>
      <c r="F657" s="3">
        <v>43775</v>
      </c>
      <c r="G657">
        <v>202005</v>
      </c>
      <c r="H657" t="s">
        <v>75</v>
      </c>
      <c r="I657" t="s">
        <v>76</v>
      </c>
      <c r="J657" t="s">
        <v>77</v>
      </c>
      <c r="K657" t="s">
        <v>78</v>
      </c>
      <c r="L657" t="s">
        <v>482</v>
      </c>
      <c r="M657" t="s">
        <v>483</v>
      </c>
      <c r="N657" t="s">
        <v>449</v>
      </c>
      <c r="O657" t="s">
        <v>82</v>
      </c>
      <c r="P657" t="str">
        <f>"2170715887                    "</f>
        <v xml:space="preserve">2170715887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8.31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1.9</v>
      </c>
      <c r="BJ657">
        <v>2.9</v>
      </c>
      <c r="BK657">
        <v>3</v>
      </c>
      <c r="BL657" s="4">
        <v>48.86</v>
      </c>
      <c r="BM657" s="4">
        <v>7.33</v>
      </c>
      <c r="BN657" s="4">
        <v>56.19</v>
      </c>
      <c r="BO657" s="4">
        <v>56.19</v>
      </c>
      <c r="BQ657" t="s">
        <v>109</v>
      </c>
      <c r="BR657" t="s">
        <v>84</v>
      </c>
      <c r="BS657" s="3">
        <v>43776</v>
      </c>
      <c r="BT657" s="5">
        <v>0.375</v>
      </c>
      <c r="BU657" t="s">
        <v>1111</v>
      </c>
      <c r="BV657" t="s">
        <v>86</v>
      </c>
      <c r="BY657">
        <v>14624.86</v>
      </c>
      <c r="CC657" t="s">
        <v>483</v>
      </c>
      <c r="CD657">
        <v>1459</v>
      </c>
      <c r="CE657" t="s">
        <v>88</v>
      </c>
      <c r="CF657" s="3">
        <v>43777</v>
      </c>
      <c r="CI657">
        <v>1</v>
      </c>
      <c r="CJ657">
        <v>1</v>
      </c>
      <c r="CK657">
        <v>22</v>
      </c>
      <c r="CL657" t="s">
        <v>89</v>
      </c>
    </row>
    <row r="658" spans="1:90">
      <c r="A658" t="s">
        <v>72</v>
      </c>
      <c r="B658" t="s">
        <v>73</v>
      </c>
      <c r="C658" t="s">
        <v>74</v>
      </c>
      <c r="E658" t="str">
        <f>"FES1162721626"</f>
        <v>FES1162721626</v>
      </c>
      <c r="F658" s="3">
        <v>43775</v>
      </c>
      <c r="G658">
        <v>202005</v>
      </c>
      <c r="H658" t="s">
        <v>75</v>
      </c>
      <c r="I658" t="s">
        <v>76</v>
      </c>
      <c r="J658" t="s">
        <v>77</v>
      </c>
      <c r="K658" t="s">
        <v>78</v>
      </c>
      <c r="L658" t="s">
        <v>106</v>
      </c>
      <c r="M658" t="s">
        <v>107</v>
      </c>
      <c r="N658" t="s">
        <v>128</v>
      </c>
      <c r="O658" t="s">
        <v>82</v>
      </c>
      <c r="P658" t="str">
        <f>"2707175196                    "</f>
        <v xml:space="preserve">2707175196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8.58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0.2</v>
      </c>
      <c r="BJ658">
        <v>1.2</v>
      </c>
      <c r="BK658">
        <v>1.5</v>
      </c>
      <c r="BL658" s="4">
        <v>50.45</v>
      </c>
      <c r="BM658" s="4">
        <v>7.57</v>
      </c>
      <c r="BN658" s="4">
        <v>58.02</v>
      </c>
      <c r="BO658" s="4">
        <v>58.02</v>
      </c>
      <c r="BQ658" t="s">
        <v>121</v>
      </c>
      <c r="BR658" t="s">
        <v>84</v>
      </c>
      <c r="BS658" s="3">
        <v>43776</v>
      </c>
      <c r="BT658" s="5">
        <v>0.33333333333333331</v>
      </c>
      <c r="BU658" t="s">
        <v>1056</v>
      </c>
      <c r="BV658" t="s">
        <v>86</v>
      </c>
      <c r="BY658">
        <v>6069.68</v>
      </c>
      <c r="CA658" t="s">
        <v>854</v>
      </c>
      <c r="CC658" t="s">
        <v>107</v>
      </c>
      <c r="CD658">
        <v>6001</v>
      </c>
      <c r="CE658" t="s">
        <v>88</v>
      </c>
      <c r="CF658" s="3">
        <v>43777</v>
      </c>
      <c r="CI658">
        <v>1</v>
      </c>
      <c r="CJ658">
        <v>1</v>
      </c>
      <c r="CK658">
        <v>21</v>
      </c>
      <c r="CL658" t="s">
        <v>89</v>
      </c>
    </row>
    <row r="659" spans="1:90">
      <c r="A659" t="s">
        <v>72</v>
      </c>
      <c r="B659" t="s">
        <v>73</v>
      </c>
      <c r="C659" t="s">
        <v>74</v>
      </c>
      <c r="E659" t="str">
        <f>"FES1162721434"</f>
        <v>FES1162721434</v>
      </c>
      <c r="F659" s="3">
        <v>43775</v>
      </c>
      <c r="G659">
        <v>202005</v>
      </c>
      <c r="H659" t="s">
        <v>75</v>
      </c>
      <c r="I659" t="s">
        <v>76</v>
      </c>
      <c r="J659" t="s">
        <v>77</v>
      </c>
      <c r="K659" t="s">
        <v>78</v>
      </c>
      <c r="L659" t="s">
        <v>546</v>
      </c>
      <c r="M659" t="s">
        <v>547</v>
      </c>
      <c r="N659" t="s">
        <v>979</v>
      </c>
      <c r="O659" t="s">
        <v>82</v>
      </c>
      <c r="P659" t="str">
        <f>"217013500                     "</f>
        <v xml:space="preserve">217013500 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6.71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2</v>
      </c>
      <c r="BJ659">
        <v>0.8</v>
      </c>
      <c r="BK659">
        <v>2</v>
      </c>
      <c r="BL659" s="4">
        <v>39.42</v>
      </c>
      <c r="BM659" s="4">
        <v>5.91</v>
      </c>
      <c r="BN659" s="4">
        <v>45.33</v>
      </c>
      <c r="BO659" s="4">
        <v>45.33</v>
      </c>
      <c r="BQ659" t="s">
        <v>121</v>
      </c>
      <c r="BR659" t="s">
        <v>84</v>
      </c>
      <c r="BS659" s="3">
        <v>43776</v>
      </c>
      <c r="BT659" s="5">
        <v>0.34375</v>
      </c>
      <c r="BU659" t="s">
        <v>1182</v>
      </c>
      <c r="BV659" t="s">
        <v>86</v>
      </c>
      <c r="BY659">
        <v>4223.17</v>
      </c>
      <c r="CA659" t="s">
        <v>1097</v>
      </c>
      <c r="CC659" t="s">
        <v>547</v>
      </c>
      <c r="CD659">
        <v>1709</v>
      </c>
      <c r="CE659" t="s">
        <v>88</v>
      </c>
      <c r="CF659" s="3">
        <v>43777</v>
      </c>
      <c r="CI659">
        <v>1</v>
      </c>
      <c r="CJ659">
        <v>1</v>
      </c>
      <c r="CK659">
        <v>22</v>
      </c>
      <c r="CL659" t="s">
        <v>89</v>
      </c>
    </row>
    <row r="660" spans="1:90">
      <c r="A660" t="s">
        <v>72</v>
      </c>
      <c r="B660" t="s">
        <v>73</v>
      </c>
      <c r="C660" t="s">
        <v>74</v>
      </c>
      <c r="E660" t="str">
        <f>"FES1162721459"</f>
        <v>FES1162721459</v>
      </c>
      <c r="F660" s="3">
        <v>43775</v>
      </c>
      <c r="G660">
        <v>202005</v>
      </c>
      <c r="H660" t="s">
        <v>75</v>
      </c>
      <c r="I660" t="s">
        <v>76</v>
      </c>
      <c r="J660" t="s">
        <v>77</v>
      </c>
      <c r="K660" t="s">
        <v>78</v>
      </c>
      <c r="L660" t="s">
        <v>101</v>
      </c>
      <c r="M660" t="s">
        <v>102</v>
      </c>
      <c r="N660" t="s">
        <v>1183</v>
      </c>
      <c r="O660" t="s">
        <v>82</v>
      </c>
      <c r="P660" t="str">
        <f>"2170713682                    "</f>
        <v xml:space="preserve">2170713682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8.58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1.2</v>
      </c>
      <c r="BJ660">
        <v>1.4</v>
      </c>
      <c r="BK660">
        <v>1.5</v>
      </c>
      <c r="BL660" s="4">
        <v>50.45</v>
      </c>
      <c r="BM660" s="4">
        <v>7.57</v>
      </c>
      <c r="BN660" s="4">
        <v>58.02</v>
      </c>
      <c r="BO660" s="4">
        <v>58.02</v>
      </c>
      <c r="BQ660" t="s">
        <v>121</v>
      </c>
      <c r="BR660" t="s">
        <v>84</v>
      </c>
      <c r="BS660" s="3">
        <v>43776</v>
      </c>
      <c r="BT660" s="5">
        <v>0.3125</v>
      </c>
      <c r="BU660" t="s">
        <v>1184</v>
      </c>
      <c r="BV660" t="s">
        <v>86</v>
      </c>
      <c r="BY660">
        <v>7072.85</v>
      </c>
      <c r="CA660" t="s">
        <v>359</v>
      </c>
      <c r="CC660" t="s">
        <v>102</v>
      </c>
      <c r="CD660">
        <v>184</v>
      </c>
      <c r="CE660" t="s">
        <v>88</v>
      </c>
      <c r="CF660" s="3">
        <v>43777</v>
      </c>
      <c r="CI660">
        <v>1</v>
      </c>
      <c r="CJ660">
        <v>1</v>
      </c>
      <c r="CK660">
        <v>21</v>
      </c>
      <c r="CL660" t="s">
        <v>89</v>
      </c>
    </row>
    <row r="661" spans="1:90">
      <c r="A661" t="s">
        <v>72</v>
      </c>
      <c r="B661" t="s">
        <v>73</v>
      </c>
      <c r="C661" t="s">
        <v>74</v>
      </c>
      <c r="E661" t="str">
        <f>"FES1162721493"</f>
        <v>FES1162721493</v>
      </c>
      <c r="F661" s="3">
        <v>43775</v>
      </c>
      <c r="G661">
        <v>202005</v>
      </c>
      <c r="H661" t="s">
        <v>75</v>
      </c>
      <c r="I661" t="s">
        <v>76</v>
      </c>
      <c r="J661" t="s">
        <v>77</v>
      </c>
      <c r="K661" t="s">
        <v>78</v>
      </c>
      <c r="L661" t="s">
        <v>75</v>
      </c>
      <c r="M661" t="s">
        <v>76</v>
      </c>
      <c r="N661" t="s">
        <v>1185</v>
      </c>
      <c r="O661" t="s">
        <v>82</v>
      </c>
      <c r="P661" t="str">
        <f>"2170713997                    "</f>
        <v xml:space="preserve">2170713997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7.51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2.1</v>
      </c>
      <c r="BJ661">
        <v>0.8</v>
      </c>
      <c r="BK661">
        <v>2.5</v>
      </c>
      <c r="BL661" s="4">
        <v>44.14</v>
      </c>
      <c r="BM661" s="4">
        <v>6.62</v>
      </c>
      <c r="BN661" s="4">
        <v>50.76</v>
      </c>
      <c r="BO661" s="4">
        <v>50.76</v>
      </c>
      <c r="BQ661" t="s">
        <v>109</v>
      </c>
      <c r="BR661" t="s">
        <v>84</v>
      </c>
      <c r="BS661" s="3">
        <v>43776</v>
      </c>
      <c r="BT661" s="5">
        <v>0.43055555555555558</v>
      </c>
      <c r="BU661" t="s">
        <v>1186</v>
      </c>
      <c r="BV661" t="s">
        <v>86</v>
      </c>
      <c r="BY661">
        <v>4077.22</v>
      </c>
      <c r="CC661" t="s">
        <v>76</v>
      </c>
      <c r="CD661">
        <v>1614</v>
      </c>
      <c r="CE661" t="s">
        <v>88</v>
      </c>
      <c r="CF661" s="3">
        <v>43777</v>
      </c>
      <c r="CI661">
        <v>1</v>
      </c>
      <c r="CJ661">
        <v>1</v>
      </c>
      <c r="CK661">
        <v>22</v>
      </c>
      <c r="CL661" t="s">
        <v>89</v>
      </c>
    </row>
    <row r="662" spans="1:90">
      <c r="A662" t="s">
        <v>72</v>
      </c>
      <c r="B662" t="s">
        <v>73</v>
      </c>
      <c r="C662" t="s">
        <v>74</v>
      </c>
      <c r="E662" t="str">
        <f>"FES1162721431"</f>
        <v>FES1162721431</v>
      </c>
      <c r="F662" s="3">
        <v>43775</v>
      </c>
      <c r="G662">
        <v>202005</v>
      </c>
      <c r="H662" t="s">
        <v>75</v>
      </c>
      <c r="I662" t="s">
        <v>76</v>
      </c>
      <c r="J662" t="s">
        <v>77</v>
      </c>
      <c r="K662" t="s">
        <v>78</v>
      </c>
      <c r="L662" t="s">
        <v>75</v>
      </c>
      <c r="M662" t="s">
        <v>76</v>
      </c>
      <c r="N662" t="s">
        <v>901</v>
      </c>
      <c r="O662" t="s">
        <v>82</v>
      </c>
      <c r="P662" t="str">
        <f>"2170713493                    "</f>
        <v xml:space="preserve">2170713493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6.71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 s="4">
        <v>39.42</v>
      </c>
      <c r="BM662" s="4">
        <v>5.91</v>
      </c>
      <c r="BN662" s="4">
        <v>45.33</v>
      </c>
      <c r="BO662" s="4">
        <v>45.33</v>
      </c>
      <c r="BQ662" t="s">
        <v>109</v>
      </c>
      <c r="BR662" t="s">
        <v>84</v>
      </c>
      <c r="BS662" s="3">
        <v>43776</v>
      </c>
      <c r="BT662" s="5">
        <v>0.35347222222222219</v>
      </c>
      <c r="BU662" t="s">
        <v>902</v>
      </c>
      <c r="BV662" t="s">
        <v>86</v>
      </c>
      <c r="BY662">
        <v>1200</v>
      </c>
      <c r="CA662" t="s">
        <v>198</v>
      </c>
      <c r="CC662" t="s">
        <v>76</v>
      </c>
      <c r="CD662">
        <v>1600</v>
      </c>
      <c r="CE662" t="s">
        <v>147</v>
      </c>
      <c r="CF662" s="3">
        <v>43777</v>
      </c>
      <c r="CI662">
        <v>1</v>
      </c>
      <c r="CJ662">
        <v>1</v>
      </c>
      <c r="CK662">
        <v>22</v>
      </c>
      <c r="CL662" t="s">
        <v>89</v>
      </c>
    </row>
    <row r="663" spans="1:90">
      <c r="A663" t="s">
        <v>72</v>
      </c>
      <c r="B663" t="s">
        <v>73</v>
      </c>
      <c r="C663" t="s">
        <v>74</v>
      </c>
      <c r="E663" t="str">
        <f>"FES1162721468"</f>
        <v>FES1162721468</v>
      </c>
      <c r="F663" s="3">
        <v>43775</v>
      </c>
      <c r="G663">
        <v>202005</v>
      </c>
      <c r="H663" t="s">
        <v>75</v>
      </c>
      <c r="I663" t="s">
        <v>76</v>
      </c>
      <c r="J663" t="s">
        <v>77</v>
      </c>
      <c r="K663" t="s">
        <v>78</v>
      </c>
      <c r="L663" t="s">
        <v>349</v>
      </c>
      <c r="M663" t="s">
        <v>350</v>
      </c>
      <c r="N663" t="s">
        <v>351</v>
      </c>
      <c r="O663" t="s">
        <v>82</v>
      </c>
      <c r="P663" t="str">
        <f>"2170713725                    "</f>
        <v xml:space="preserve">2170713725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15.02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1.4</v>
      </c>
      <c r="BJ663">
        <v>3.3</v>
      </c>
      <c r="BK663">
        <v>3.5</v>
      </c>
      <c r="BL663" s="4">
        <v>88.27</v>
      </c>
      <c r="BM663" s="4">
        <v>13.24</v>
      </c>
      <c r="BN663" s="4">
        <v>101.51</v>
      </c>
      <c r="BO663" s="4">
        <v>101.51</v>
      </c>
      <c r="BQ663" t="s">
        <v>109</v>
      </c>
      <c r="BR663" t="s">
        <v>84</v>
      </c>
      <c r="BS663" s="3">
        <v>43776</v>
      </c>
      <c r="BT663" s="5">
        <v>0.37916666666666665</v>
      </c>
      <c r="BU663" t="s">
        <v>352</v>
      </c>
      <c r="BV663" t="s">
        <v>86</v>
      </c>
      <c r="BY663">
        <v>16269.37</v>
      </c>
      <c r="CC663" t="s">
        <v>350</v>
      </c>
      <c r="CD663">
        <v>6536</v>
      </c>
      <c r="CE663" t="s">
        <v>88</v>
      </c>
      <c r="CF663" s="3">
        <v>43780</v>
      </c>
      <c r="CI663">
        <v>1</v>
      </c>
      <c r="CJ663">
        <v>1</v>
      </c>
      <c r="CK663">
        <v>21</v>
      </c>
      <c r="CL663" t="s">
        <v>89</v>
      </c>
    </row>
    <row r="664" spans="1:90">
      <c r="A664" t="s">
        <v>72</v>
      </c>
      <c r="B664" t="s">
        <v>73</v>
      </c>
      <c r="C664" t="s">
        <v>74</v>
      </c>
      <c r="E664" t="str">
        <f>"FES1162721652"</f>
        <v>FES1162721652</v>
      </c>
      <c r="F664" s="3">
        <v>43775</v>
      </c>
      <c r="G664">
        <v>202005</v>
      </c>
      <c r="H664" t="s">
        <v>75</v>
      </c>
      <c r="I664" t="s">
        <v>76</v>
      </c>
      <c r="J664" t="s">
        <v>77</v>
      </c>
      <c r="K664" t="s">
        <v>78</v>
      </c>
      <c r="L664" t="s">
        <v>90</v>
      </c>
      <c r="M664" t="s">
        <v>91</v>
      </c>
      <c r="N664" t="s">
        <v>401</v>
      </c>
      <c r="O664" t="s">
        <v>82</v>
      </c>
      <c r="P664" t="str">
        <f>"2170715857                    "</f>
        <v xml:space="preserve">2170715857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17.16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3.9</v>
      </c>
      <c r="BJ664">
        <v>2.6</v>
      </c>
      <c r="BK664">
        <v>4</v>
      </c>
      <c r="BL664" s="4">
        <v>100.87</v>
      </c>
      <c r="BM664" s="4">
        <v>15.13</v>
      </c>
      <c r="BN664" s="4">
        <v>116</v>
      </c>
      <c r="BO664" s="4">
        <v>116</v>
      </c>
      <c r="BQ664" t="s">
        <v>109</v>
      </c>
      <c r="BR664" t="s">
        <v>84</v>
      </c>
      <c r="BS664" s="3">
        <v>43776</v>
      </c>
      <c r="BT664" s="5">
        <v>0.33680555555555558</v>
      </c>
      <c r="BU664" t="s">
        <v>1019</v>
      </c>
      <c r="BV664" t="s">
        <v>86</v>
      </c>
      <c r="BY664">
        <v>12905.87</v>
      </c>
      <c r="CA664" t="s">
        <v>221</v>
      </c>
      <c r="CC664" t="s">
        <v>91</v>
      </c>
      <c r="CD664">
        <v>7441</v>
      </c>
      <c r="CE664" t="s">
        <v>88</v>
      </c>
      <c r="CI664">
        <v>1</v>
      </c>
      <c r="CJ664">
        <v>1</v>
      </c>
      <c r="CK664">
        <v>21</v>
      </c>
      <c r="CL664" t="s">
        <v>89</v>
      </c>
    </row>
    <row r="665" spans="1:90">
      <c r="A665" t="s">
        <v>72</v>
      </c>
      <c r="B665" t="s">
        <v>73</v>
      </c>
      <c r="C665" t="s">
        <v>74</v>
      </c>
      <c r="E665" t="str">
        <f>"FES1162721449"</f>
        <v>FES1162721449</v>
      </c>
      <c r="F665" s="3">
        <v>43775</v>
      </c>
      <c r="G665">
        <v>202005</v>
      </c>
      <c r="H665" t="s">
        <v>75</v>
      </c>
      <c r="I665" t="s">
        <v>76</v>
      </c>
      <c r="J665" t="s">
        <v>77</v>
      </c>
      <c r="K665" t="s">
        <v>78</v>
      </c>
      <c r="L665" t="s">
        <v>124</v>
      </c>
      <c r="M665" t="s">
        <v>125</v>
      </c>
      <c r="N665" t="s">
        <v>1187</v>
      </c>
      <c r="O665" t="s">
        <v>82</v>
      </c>
      <c r="P665" t="str">
        <f>"2170713595                    "</f>
        <v xml:space="preserve">2170713595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6.71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1.4</v>
      </c>
      <c r="BJ665">
        <v>0.8</v>
      </c>
      <c r="BK665">
        <v>1.5</v>
      </c>
      <c r="BL665" s="4">
        <v>39.42</v>
      </c>
      <c r="BM665" s="4">
        <v>5.91</v>
      </c>
      <c r="BN665" s="4">
        <v>45.33</v>
      </c>
      <c r="BO665" s="4">
        <v>45.33</v>
      </c>
      <c r="BQ665" t="s">
        <v>109</v>
      </c>
      <c r="BR665" t="s">
        <v>84</v>
      </c>
      <c r="BS665" s="3">
        <v>43776</v>
      </c>
      <c r="BT665" s="5">
        <v>0.35347222222222219</v>
      </c>
      <c r="BU665" t="s">
        <v>1188</v>
      </c>
      <c r="BV665" t="s">
        <v>86</v>
      </c>
      <c r="BY665">
        <v>4171.1899999999996</v>
      </c>
      <c r="CA665" t="s">
        <v>1140</v>
      </c>
      <c r="CC665" t="s">
        <v>125</v>
      </c>
      <c r="CD665">
        <v>2190</v>
      </c>
      <c r="CE665" t="s">
        <v>88</v>
      </c>
      <c r="CF665" s="3">
        <v>43777</v>
      </c>
      <c r="CI665">
        <v>1</v>
      </c>
      <c r="CJ665">
        <v>1</v>
      </c>
      <c r="CK665">
        <v>22</v>
      </c>
      <c r="CL665" t="s">
        <v>89</v>
      </c>
    </row>
    <row r="666" spans="1:90">
      <c r="A666" t="s">
        <v>72</v>
      </c>
      <c r="B666" t="s">
        <v>73</v>
      </c>
      <c r="C666" t="s">
        <v>74</v>
      </c>
      <c r="E666" t="str">
        <f>"FES1162721676"</f>
        <v>FES1162721676</v>
      </c>
      <c r="F666" s="3">
        <v>43775</v>
      </c>
      <c r="G666">
        <v>202005</v>
      </c>
      <c r="H666" t="s">
        <v>75</v>
      </c>
      <c r="I666" t="s">
        <v>76</v>
      </c>
      <c r="J666" t="s">
        <v>77</v>
      </c>
      <c r="K666" t="s">
        <v>78</v>
      </c>
      <c r="L666" t="s">
        <v>112</v>
      </c>
      <c r="M666" t="s">
        <v>113</v>
      </c>
      <c r="N666" t="s">
        <v>268</v>
      </c>
      <c r="O666" t="s">
        <v>82</v>
      </c>
      <c r="P666" t="str">
        <f>"2170715895                    "</f>
        <v xml:space="preserve">2170715895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8.58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 s="4">
        <v>50.45</v>
      </c>
      <c r="BM666" s="4">
        <v>7.57</v>
      </c>
      <c r="BN666" s="4">
        <v>58.02</v>
      </c>
      <c r="BO666" s="4">
        <v>58.02</v>
      </c>
      <c r="BQ666" t="s">
        <v>109</v>
      </c>
      <c r="BR666" t="s">
        <v>84</v>
      </c>
      <c r="BS666" s="3">
        <v>43776</v>
      </c>
      <c r="BT666" s="5">
        <v>0.3888888888888889</v>
      </c>
      <c r="BU666" t="s">
        <v>1189</v>
      </c>
      <c r="BV666" t="s">
        <v>86</v>
      </c>
      <c r="BY666">
        <v>1200</v>
      </c>
      <c r="CA666" t="s">
        <v>255</v>
      </c>
      <c r="CC666" t="s">
        <v>113</v>
      </c>
      <c r="CD666">
        <v>4001</v>
      </c>
      <c r="CE666" t="s">
        <v>147</v>
      </c>
      <c r="CF666" s="3">
        <v>43777</v>
      </c>
      <c r="CI666">
        <v>1</v>
      </c>
      <c r="CJ666">
        <v>1</v>
      </c>
      <c r="CK666">
        <v>21</v>
      </c>
      <c r="CL666" t="s">
        <v>89</v>
      </c>
    </row>
    <row r="667" spans="1:90">
      <c r="A667" t="s">
        <v>72</v>
      </c>
      <c r="B667" t="s">
        <v>73</v>
      </c>
      <c r="C667" t="s">
        <v>74</v>
      </c>
      <c r="E667" t="str">
        <f>"FES1162721458"</f>
        <v>FES1162721458</v>
      </c>
      <c r="F667" s="3">
        <v>43775</v>
      </c>
      <c r="G667">
        <v>202005</v>
      </c>
      <c r="H667" t="s">
        <v>75</v>
      </c>
      <c r="I667" t="s">
        <v>76</v>
      </c>
      <c r="J667" t="s">
        <v>77</v>
      </c>
      <c r="K667" t="s">
        <v>78</v>
      </c>
      <c r="L667" t="s">
        <v>106</v>
      </c>
      <c r="M667" t="s">
        <v>107</v>
      </c>
      <c r="N667" t="s">
        <v>1190</v>
      </c>
      <c r="O667" t="s">
        <v>82</v>
      </c>
      <c r="P667" t="str">
        <f>"2170713681                    "</f>
        <v xml:space="preserve">2170713681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17.16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4</v>
      </c>
      <c r="BJ667">
        <v>2.9</v>
      </c>
      <c r="BK667">
        <v>4</v>
      </c>
      <c r="BL667" s="4">
        <v>100.87</v>
      </c>
      <c r="BM667" s="4">
        <v>15.13</v>
      </c>
      <c r="BN667" s="4">
        <v>116</v>
      </c>
      <c r="BO667" s="4">
        <v>116</v>
      </c>
      <c r="BQ667" t="s">
        <v>121</v>
      </c>
      <c r="BR667" t="s">
        <v>84</v>
      </c>
      <c r="BS667" s="3">
        <v>43776</v>
      </c>
      <c r="BT667" s="5">
        <v>0.3611111111111111</v>
      </c>
      <c r="BU667" t="s">
        <v>1191</v>
      </c>
      <c r="BV667" t="s">
        <v>86</v>
      </c>
      <c r="BY667">
        <v>14250.92</v>
      </c>
      <c r="CA667" t="s">
        <v>111</v>
      </c>
      <c r="CC667" t="s">
        <v>107</v>
      </c>
      <c r="CD667">
        <v>6001</v>
      </c>
      <c r="CE667" t="s">
        <v>88</v>
      </c>
      <c r="CF667" s="3">
        <v>43777</v>
      </c>
      <c r="CI667">
        <v>1</v>
      </c>
      <c r="CJ667">
        <v>1</v>
      </c>
      <c r="CK667">
        <v>21</v>
      </c>
      <c r="CL667" t="s">
        <v>89</v>
      </c>
    </row>
    <row r="668" spans="1:90">
      <c r="A668" t="s">
        <v>72</v>
      </c>
      <c r="B668" t="s">
        <v>73</v>
      </c>
      <c r="C668" t="s">
        <v>74</v>
      </c>
      <c r="E668" t="str">
        <f>"FES1162721642"</f>
        <v>FES1162721642</v>
      </c>
      <c r="F668" s="3">
        <v>43775</v>
      </c>
      <c r="G668">
        <v>202005</v>
      </c>
      <c r="H668" t="s">
        <v>75</v>
      </c>
      <c r="I668" t="s">
        <v>76</v>
      </c>
      <c r="J668" t="s">
        <v>77</v>
      </c>
      <c r="K668" t="s">
        <v>78</v>
      </c>
      <c r="L668" t="s">
        <v>106</v>
      </c>
      <c r="M668" t="s">
        <v>107</v>
      </c>
      <c r="N668" t="s">
        <v>301</v>
      </c>
      <c r="O668" t="s">
        <v>82</v>
      </c>
      <c r="P668" t="str">
        <f>"2170715846                    "</f>
        <v xml:space="preserve">2170715846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15.02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3.5</v>
      </c>
      <c r="BJ668">
        <v>1.5</v>
      </c>
      <c r="BK668">
        <v>3.5</v>
      </c>
      <c r="BL668" s="4">
        <v>88.27</v>
      </c>
      <c r="BM668" s="4">
        <v>13.24</v>
      </c>
      <c r="BN668" s="4">
        <v>101.51</v>
      </c>
      <c r="BO668" s="4">
        <v>101.51</v>
      </c>
      <c r="BQ668" t="s">
        <v>121</v>
      </c>
      <c r="BR668" t="s">
        <v>84</v>
      </c>
      <c r="BS668" s="3">
        <v>43776</v>
      </c>
      <c r="BT668" s="5">
        <v>0.34513888888888888</v>
      </c>
      <c r="BU668" t="s">
        <v>1192</v>
      </c>
      <c r="BV668" t="s">
        <v>86</v>
      </c>
      <c r="BY668">
        <v>7336.3</v>
      </c>
      <c r="CA668" t="s">
        <v>1193</v>
      </c>
      <c r="CC668" t="s">
        <v>107</v>
      </c>
      <c r="CD668">
        <v>6001</v>
      </c>
      <c r="CE668" t="s">
        <v>88</v>
      </c>
      <c r="CF668" s="3">
        <v>43777</v>
      </c>
      <c r="CI668">
        <v>1</v>
      </c>
      <c r="CJ668">
        <v>1</v>
      </c>
      <c r="CK668">
        <v>21</v>
      </c>
      <c r="CL668" t="s">
        <v>89</v>
      </c>
    </row>
    <row r="669" spans="1:90">
      <c r="A669" t="s">
        <v>72</v>
      </c>
      <c r="B669" t="s">
        <v>73</v>
      </c>
      <c r="C669" t="s">
        <v>74</v>
      </c>
      <c r="E669" t="str">
        <f>"FES1162721484"</f>
        <v>FES1162721484</v>
      </c>
      <c r="F669" s="3">
        <v>43775</v>
      </c>
      <c r="G669">
        <v>202005</v>
      </c>
      <c r="H669" t="s">
        <v>75</v>
      </c>
      <c r="I669" t="s">
        <v>76</v>
      </c>
      <c r="J669" t="s">
        <v>77</v>
      </c>
      <c r="K669" t="s">
        <v>78</v>
      </c>
      <c r="L669" t="s">
        <v>133</v>
      </c>
      <c r="M669" t="s">
        <v>134</v>
      </c>
      <c r="N669" t="s">
        <v>135</v>
      </c>
      <c r="O669" t="s">
        <v>82</v>
      </c>
      <c r="P669" t="str">
        <f>"2170713846                    "</f>
        <v xml:space="preserve">2170713846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12.87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1.9</v>
      </c>
      <c r="BJ669">
        <v>2.9</v>
      </c>
      <c r="BK669">
        <v>3</v>
      </c>
      <c r="BL669" s="4">
        <v>75.66</v>
      </c>
      <c r="BM669" s="4">
        <v>11.35</v>
      </c>
      <c r="BN669" s="4">
        <v>87.01</v>
      </c>
      <c r="BO669" s="4">
        <v>87.01</v>
      </c>
      <c r="BQ669" t="s">
        <v>109</v>
      </c>
      <c r="BR669" t="s">
        <v>84</v>
      </c>
      <c r="BS669" s="3">
        <v>43776</v>
      </c>
      <c r="BT669" s="5">
        <v>0.42708333333333331</v>
      </c>
      <c r="BU669" t="s">
        <v>136</v>
      </c>
      <c r="BV669" t="s">
        <v>86</v>
      </c>
      <c r="BY669">
        <v>14288.69</v>
      </c>
      <c r="CA669" t="s">
        <v>137</v>
      </c>
      <c r="CC669" t="s">
        <v>134</v>
      </c>
      <c r="CD669">
        <v>5201</v>
      </c>
      <c r="CE669" t="s">
        <v>88</v>
      </c>
      <c r="CF669" s="3">
        <v>43780</v>
      </c>
      <c r="CI669">
        <v>1</v>
      </c>
      <c r="CJ669">
        <v>1</v>
      </c>
      <c r="CK669">
        <v>21</v>
      </c>
      <c r="CL669" t="s">
        <v>89</v>
      </c>
    </row>
    <row r="670" spans="1:90">
      <c r="A670" t="s">
        <v>72</v>
      </c>
      <c r="B670" t="s">
        <v>73</v>
      </c>
      <c r="C670" t="s">
        <v>74</v>
      </c>
      <c r="E670" t="str">
        <f>"FES1162721659"</f>
        <v>FES1162721659</v>
      </c>
      <c r="F670" s="3">
        <v>43775</v>
      </c>
      <c r="G670">
        <v>202005</v>
      </c>
      <c r="H670" t="s">
        <v>75</v>
      </c>
      <c r="I670" t="s">
        <v>76</v>
      </c>
      <c r="J670" t="s">
        <v>77</v>
      </c>
      <c r="K670" t="s">
        <v>78</v>
      </c>
      <c r="L670" t="s">
        <v>90</v>
      </c>
      <c r="M670" t="s">
        <v>91</v>
      </c>
      <c r="N670" t="s">
        <v>1194</v>
      </c>
      <c r="O670" t="s">
        <v>82</v>
      </c>
      <c r="P670" t="str">
        <f>"2170715871                    "</f>
        <v xml:space="preserve">2170715871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10.73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2.2000000000000002</v>
      </c>
      <c r="BJ670">
        <v>0.9</v>
      </c>
      <c r="BK670">
        <v>2.5</v>
      </c>
      <c r="BL670" s="4">
        <v>63.06</v>
      </c>
      <c r="BM670" s="4">
        <v>9.4600000000000009</v>
      </c>
      <c r="BN670" s="4">
        <v>72.52</v>
      </c>
      <c r="BO670" s="4">
        <v>72.52</v>
      </c>
      <c r="BQ670" t="s">
        <v>121</v>
      </c>
      <c r="BR670" t="s">
        <v>84</v>
      </c>
      <c r="BS670" s="3">
        <v>43776</v>
      </c>
      <c r="BT670" s="5">
        <v>0.3979166666666667</v>
      </c>
      <c r="BU670" t="s">
        <v>1195</v>
      </c>
      <c r="BV670" t="s">
        <v>86</v>
      </c>
      <c r="BY670">
        <v>4685.47</v>
      </c>
      <c r="CA670" t="s">
        <v>1196</v>
      </c>
      <c r="CC670" t="s">
        <v>91</v>
      </c>
      <c r="CD670">
        <v>7580</v>
      </c>
      <c r="CE670" t="s">
        <v>88</v>
      </c>
      <c r="CF670" s="3">
        <v>43777</v>
      </c>
      <c r="CI670">
        <v>1</v>
      </c>
      <c r="CJ670">
        <v>1</v>
      </c>
      <c r="CK670">
        <v>21</v>
      </c>
      <c r="CL670" t="s">
        <v>89</v>
      </c>
    </row>
    <row r="671" spans="1:90">
      <c r="A671" t="s">
        <v>72</v>
      </c>
      <c r="B671" t="s">
        <v>73</v>
      </c>
      <c r="C671" t="s">
        <v>74</v>
      </c>
      <c r="E671" t="str">
        <f>"FES1162721532"</f>
        <v>FES1162721532</v>
      </c>
      <c r="F671" s="3">
        <v>43775</v>
      </c>
      <c r="G671">
        <v>202005</v>
      </c>
      <c r="H671" t="s">
        <v>75</v>
      </c>
      <c r="I671" t="s">
        <v>76</v>
      </c>
      <c r="J671" t="s">
        <v>77</v>
      </c>
      <c r="K671" t="s">
        <v>78</v>
      </c>
      <c r="L671" t="s">
        <v>192</v>
      </c>
      <c r="M671" t="s">
        <v>193</v>
      </c>
      <c r="N671" t="s">
        <v>194</v>
      </c>
      <c r="O671" t="s">
        <v>82</v>
      </c>
      <c r="P671" t="str">
        <f>"2170715716                    "</f>
        <v xml:space="preserve">2170715716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20.39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2.1</v>
      </c>
      <c r="BJ671">
        <v>1.2</v>
      </c>
      <c r="BK671">
        <v>2.5</v>
      </c>
      <c r="BL671" s="4">
        <v>119.83</v>
      </c>
      <c r="BM671" s="4">
        <v>17.97</v>
      </c>
      <c r="BN671" s="4">
        <v>137.80000000000001</v>
      </c>
      <c r="BO671" s="4">
        <v>137.80000000000001</v>
      </c>
      <c r="BQ671" t="s">
        <v>109</v>
      </c>
      <c r="BR671" t="s">
        <v>84</v>
      </c>
      <c r="BS671" s="3">
        <v>43776</v>
      </c>
      <c r="BT671" s="5">
        <v>0.41666666666666669</v>
      </c>
      <c r="BU671" t="s">
        <v>1197</v>
      </c>
      <c r="BV671" t="s">
        <v>86</v>
      </c>
      <c r="BY671">
        <v>5952.92</v>
      </c>
      <c r="CA671" t="s">
        <v>123</v>
      </c>
      <c r="CC671" t="s">
        <v>193</v>
      </c>
      <c r="CD671">
        <v>7130</v>
      </c>
      <c r="CE671" t="s">
        <v>88</v>
      </c>
      <c r="CF671" s="3">
        <v>43777</v>
      </c>
      <c r="CI671">
        <v>1</v>
      </c>
      <c r="CJ671">
        <v>1</v>
      </c>
      <c r="CK671">
        <v>23</v>
      </c>
      <c r="CL671" t="s">
        <v>89</v>
      </c>
    </row>
    <row r="672" spans="1:90">
      <c r="A672" t="s">
        <v>72</v>
      </c>
      <c r="B672" t="s">
        <v>73</v>
      </c>
      <c r="C672" t="s">
        <v>74</v>
      </c>
      <c r="E672" t="str">
        <f>"FES1162721645"</f>
        <v>FES1162721645</v>
      </c>
      <c r="F672" s="3">
        <v>43775</v>
      </c>
      <c r="G672">
        <v>202005</v>
      </c>
      <c r="H672" t="s">
        <v>75</v>
      </c>
      <c r="I672" t="s">
        <v>76</v>
      </c>
      <c r="J672" t="s">
        <v>77</v>
      </c>
      <c r="K672" t="s">
        <v>78</v>
      </c>
      <c r="L672" t="s">
        <v>90</v>
      </c>
      <c r="M672" t="s">
        <v>91</v>
      </c>
      <c r="N672" t="s">
        <v>1194</v>
      </c>
      <c r="O672" t="s">
        <v>82</v>
      </c>
      <c r="P672" t="str">
        <f>"2170715850                    "</f>
        <v xml:space="preserve">2170715850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19.3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4.5</v>
      </c>
      <c r="BJ672">
        <v>1.3</v>
      </c>
      <c r="BK672">
        <v>4.5</v>
      </c>
      <c r="BL672" s="4">
        <v>113.47</v>
      </c>
      <c r="BM672" s="4">
        <v>17.02</v>
      </c>
      <c r="BN672" s="4">
        <v>130.49</v>
      </c>
      <c r="BO672" s="4">
        <v>130.49</v>
      </c>
      <c r="BQ672" t="s">
        <v>121</v>
      </c>
      <c r="BR672" t="s">
        <v>84</v>
      </c>
      <c r="BS672" s="3">
        <v>43776</v>
      </c>
      <c r="BT672" s="5">
        <v>0.3979166666666667</v>
      </c>
      <c r="BU672" t="s">
        <v>1195</v>
      </c>
      <c r="BV672" t="s">
        <v>86</v>
      </c>
      <c r="BY672">
        <v>6527.36</v>
      </c>
      <c r="CA672" t="s">
        <v>1196</v>
      </c>
      <c r="CC672" t="s">
        <v>91</v>
      </c>
      <c r="CD672">
        <v>7580</v>
      </c>
      <c r="CE672" t="s">
        <v>88</v>
      </c>
      <c r="CF672" s="3">
        <v>43777</v>
      </c>
      <c r="CI672">
        <v>1</v>
      </c>
      <c r="CJ672">
        <v>1</v>
      </c>
      <c r="CK672">
        <v>21</v>
      </c>
      <c r="CL672" t="s">
        <v>89</v>
      </c>
    </row>
    <row r="673" spans="1:90">
      <c r="A673" t="s">
        <v>72</v>
      </c>
      <c r="B673" t="s">
        <v>73</v>
      </c>
      <c r="C673" t="s">
        <v>74</v>
      </c>
      <c r="E673" t="str">
        <f>"FES1162721454"</f>
        <v>FES1162721454</v>
      </c>
      <c r="F673" s="3">
        <v>43775</v>
      </c>
      <c r="G673">
        <v>202005</v>
      </c>
      <c r="H673" t="s">
        <v>75</v>
      </c>
      <c r="I673" t="s">
        <v>76</v>
      </c>
      <c r="J673" t="s">
        <v>77</v>
      </c>
      <c r="K673" t="s">
        <v>78</v>
      </c>
      <c r="L673" t="s">
        <v>95</v>
      </c>
      <c r="M673" t="s">
        <v>96</v>
      </c>
      <c r="N673" t="s">
        <v>97</v>
      </c>
      <c r="O673" t="s">
        <v>82</v>
      </c>
      <c r="P673" t="str">
        <f>"2170713656                    "</f>
        <v xml:space="preserve">2170713656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6.71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1.2</v>
      </c>
      <c r="BK673">
        <v>1.5</v>
      </c>
      <c r="BL673" s="4">
        <v>39.42</v>
      </c>
      <c r="BM673" s="4">
        <v>5.91</v>
      </c>
      <c r="BN673" s="4">
        <v>45.33</v>
      </c>
      <c r="BO673" s="4">
        <v>45.33</v>
      </c>
      <c r="BQ673" t="s">
        <v>121</v>
      </c>
      <c r="BR673" t="s">
        <v>84</v>
      </c>
      <c r="BS673" s="3">
        <v>43776</v>
      </c>
      <c r="BT673" s="5">
        <v>0.33333333333333331</v>
      </c>
      <c r="BU673" t="s">
        <v>1198</v>
      </c>
      <c r="BV673" t="s">
        <v>86</v>
      </c>
      <c r="BY673">
        <v>5871.94</v>
      </c>
      <c r="CA673" t="s">
        <v>100</v>
      </c>
      <c r="CC673" t="s">
        <v>96</v>
      </c>
      <c r="CD673">
        <v>1449</v>
      </c>
      <c r="CE673" t="s">
        <v>88</v>
      </c>
      <c r="CF673" s="3">
        <v>43777</v>
      </c>
      <c r="CI673">
        <v>1</v>
      </c>
      <c r="CJ673">
        <v>1</v>
      </c>
      <c r="CK673">
        <v>22</v>
      </c>
      <c r="CL673" t="s">
        <v>89</v>
      </c>
    </row>
    <row r="674" spans="1:90">
      <c r="A674" t="s">
        <v>72</v>
      </c>
      <c r="B674" t="s">
        <v>73</v>
      </c>
      <c r="C674" t="s">
        <v>74</v>
      </c>
      <c r="E674" t="str">
        <f>"FES1162721613"</f>
        <v>FES1162721613</v>
      </c>
      <c r="F674" s="3">
        <v>43775</v>
      </c>
      <c r="G674">
        <v>202005</v>
      </c>
      <c r="H674" t="s">
        <v>75</v>
      </c>
      <c r="I674" t="s">
        <v>76</v>
      </c>
      <c r="J674" t="s">
        <v>77</v>
      </c>
      <c r="K674" t="s">
        <v>78</v>
      </c>
      <c r="L674" t="s">
        <v>90</v>
      </c>
      <c r="M674" t="s">
        <v>91</v>
      </c>
      <c r="N674" t="s">
        <v>538</v>
      </c>
      <c r="O674" t="s">
        <v>82</v>
      </c>
      <c r="P674" t="str">
        <f>"2170715800                    "</f>
        <v xml:space="preserve">2170715800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8.58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1.1000000000000001</v>
      </c>
      <c r="BJ674">
        <v>1.2</v>
      </c>
      <c r="BK674">
        <v>1.5</v>
      </c>
      <c r="BL674" s="4">
        <v>50.45</v>
      </c>
      <c r="BM674" s="4">
        <v>7.57</v>
      </c>
      <c r="BN674" s="4">
        <v>58.02</v>
      </c>
      <c r="BO674" s="4">
        <v>58.02</v>
      </c>
      <c r="BQ674" t="s">
        <v>109</v>
      </c>
      <c r="BR674" t="s">
        <v>84</v>
      </c>
      <c r="BS674" s="3">
        <v>43776</v>
      </c>
      <c r="BT674" s="5">
        <v>0.3298611111111111</v>
      </c>
      <c r="BU674" t="s">
        <v>1024</v>
      </c>
      <c r="BV674" t="s">
        <v>86</v>
      </c>
      <c r="BY674">
        <v>6064.34</v>
      </c>
      <c r="CA674" t="s">
        <v>540</v>
      </c>
      <c r="CC674" t="s">
        <v>91</v>
      </c>
      <c r="CD674">
        <v>7530</v>
      </c>
      <c r="CE674" t="s">
        <v>88</v>
      </c>
      <c r="CF674" s="3">
        <v>43777</v>
      </c>
      <c r="CI674">
        <v>1</v>
      </c>
      <c r="CJ674">
        <v>1</v>
      </c>
      <c r="CK674">
        <v>21</v>
      </c>
      <c r="CL674" t="s">
        <v>89</v>
      </c>
    </row>
    <row r="675" spans="1:90">
      <c r="A675" t="s">
        <v>72</v>
      </c>
      <c r="B675" t="s">
        <v>73</v>
      </c>
      <c r="C675" t="s">
        <v>74</v>
      </c>
      <c r="E675" t="str">
        <f>"FES1162721403"</f>
        <v>FES1162721403</v>
      </c>
      <c r="F675" s="3">
        <v>43775</v>
      </c>
      <c r="G675">
        <v>202005</v>
      </c>
      <c r="H675" t="s">
        <v>75</v>
      </c>
      <c r="I675" t="s">
        <v>76</v>
      </c>
      <c r="J675" t="s">
        <v>77</v>
      </c>
      <c r="K675" t="s">
        <v>78</v>
      </c>
      <c r="L675" t="s">
        <v>79</v>
      </c>
      <c r="M675" t="s">
        <v>80</v>
      </c>
      <c r="N675" t="s">
        <v>511</v>
      </c>
      <c r="O675" t="s">
        <v>82</v>
      </c>
      <c r="P675" t="str">
        <f>"2170708741                    "</f>
        <v xml:space="preserve">2170708741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10.73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2.2000000000000002</v>
      </c>
      <c r="BJ675">
        <v>1.5</v>
      </c>
      <c r="BK675">
        <v>2.5</v>
      </c>
      <c r="BL675" s="4">
        <v>63.06</v>
      </c>
      <c r="BM675" s="4">
        <v>9.4600000000000009</v>
      </c>
      <c r="BN675" s="4">
        <v>72.52</v>
      </c>
      <c r="BO675" s="4">
        <v>72.52</v>
      </c>
      <c r="BQ675" t="s">
        <v>109</v>
      </c>
      <c r="BR675" t="s">
        <v>84</v>
      </c>
      <c r="BS675" s="3">
        <v>43776</v>
      </c>
      <c r="BT675" s="5">
        <v>0.33680555555555558</v>
      </c>
      <c r="BU675" t="s">
        <v>752</v>
      </c>
      <c r="BV675" t="s">
        <v>86</v>
      </c>
      <c r="BY675">
        <v>7251.01</v>
      </c>
      <c r="CA675" t="s">
        <v>87</v>
      </c>
      <c r="CC675" t="s">
        <v>80</v>
      </c>
      <c r="CD675">
        <v>6229</v>
      </c>
      <c r="CE675" t="s">
        <v>88</v>
      </c>
      <c r="CF675" s="3">
        <v>43777</v>
      </c>
      <c r="CI675">
        <v>1</v>
      </c>
      <c r="CJ675">
        <v>1</v>
      </c>
      <c r="CK675">
        <v>21</v>
      </c>
      <c r="CL675" t="s">
        <v>89</v>
      </c>
    </row>
    <row r="676" spans="1:90">
      <c r="A676" t="s">
        <v>72</v>
      </c>
      <c r="B676" t="s">
        <v>73</v>
      </c>
      <c r="C676" t="s">
        <v>74</v>
      </c>
      <c r="E676" t="str">
        <f>"FES1162721464"</f>
        <v>FES1162721464</v>
      </c>
      <c r="F676" s="3">
        <v>43775</v>
      </c>
      <c r="G676">
        <v>202005</v>
      </c>
      <c r="H676" t="s">
        <v>75</v>
      </c>
      <c r="I676" t="s">
        <v>76</v>
      </c>
      <c r="J676" t="s">
        <v>77</v>
      </c>
      <c r="K676" t="s">
        <v>78</v>
      </c>
      <c r="L676" t="s">
        <v>176</v>
      </c>
      <c r="M676" t="s">
        <v>177</v>
      </c>
      <c r="N676" t="s">
        <v>1199</v>
      </c>
      <c r="O676" t="s">
        <v>82</v>
      </c>
      <c r="P676" t="str">
        <f>"2170713070                    "</f>
        <v xml:space="preserve">2170713070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8.58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 s="4">
        <v>50.45</v>
      </c>
      <c r="BM676" s="4">
        <v>7.57</v>
      </c>
      <c r="BN676" s="4">
        <v>58.02</v>
      </c>
      <c r="BO676" s="4">
        <v>58.02</v>
      </c>
      <c r="BQ676" t="s">
        <v>109</v>
      </c>
      <c r="BR676" t="s">
        <v>84</v>
      </c>
      <c r="BS676" s="3">
        <v>43776</v>
      </c>
      <c r="BT676" s="5">
        <v>0.34236111111111112</v>
      </c>
      <c r="BU676" t="s">
        <v>1200</v>
      </c>
      <c r="BV676" t="s">
        <v>86</v>
      </c>
      <c r="BY676">
        <v>1200</v>
      </c>
      <c r="CA676" t="s">
        <v>224</v>
      </c>
      <c r="CC676" t="s">
        <v>177</v>
      </c>
      <c r="CD676">
        <v>3610</v>
      </c>
      <c r="CE676" t="s">
        <v>147</v>
      </c>
      <c r="CF676" s="3">
        <v>43777</v>
      </c>
      <c r="CI676">
        <v>1</v>
      </c>
      <c r="CJ676">
        <v>1</v>
      </c>
      <c r="CK676">
        <v>21</v>
      </c>
      <c r="CL676" t="s">
        <v>89</v>
      </c>
    </row>
    <row r="677" spans="1:90">
      <c r="A677" t="s">
        <v>72</v>
      </c>
      <c r="B677" t="s">
        <v>73</v>
      </c>
      <c r="C677" t="s">
        <v>74</v>
      </c>
      <c r="E677" t="str">
        <f>"FES1162721471"</f>
        <v>FES1162721471</v>
      </c>
      <c r="F677" s="3">
        <v>43775</v>
      </c>
      <c r="G677">
        <v>202005</v>
      </c>
      <c r="H677" t="s">
        <v>75</v>
      </c>
      <c r="I677" t="s">
        <v>76</v>
      </c>
      <c r="J677" t="s">
        <v>77</v>
      </c>
      <c r="K677" t="s">
        <v>78</v>
      </c>
      <c r="L677" t="s">
        <v>133</v>
      </c>
      <c r="M677" t="s">
        <v>134</v>
      </c>
      <c r="N677" t="s">
        <v>1201</v>
      </c>
      <c r="O677" t="s">
        <v>82</v>
      </c>
      <c r="P677" t="str">
        <f>"2170713739                    "</f>
        <v xml:space="preserve">2170713739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15.02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3.3</v>
      </c>
      <c r="BJ677">
        <v>1.5</v>
      </c>
      <c r="BK677">
        <v>3.5</v>
      </c>
      <c r="BL677" s="4">
        <v>88.27</v>
      </c>
      <c r="BM677" s="4">
        <v>13.24</v>
      </c>
      <c r="BN677" s="4">
        <v>101.51</v>
      </c>
      <c r="BO677" s="4">
        <v>101.51</v>
      </c>
      <c r="BQ677" t="s">
        <v>109</v>
      </c>
      <c r="BR677" t="s">
        <v>84</v>
      </c>
      <c r="BS677" s="3">
        <v>43776</v>
      </c>
      <c r="BT677" s="5">
        <v>0.41666666666666669</v>
      </c>
      <c r="BU677" t="s">
        <v>1202</v>
      </c>
      <c r="BV677" t="s">
        <v>86</v>
      </c>
      <c r="BY677">
        <v>7569.45</v>
      </c>
      <c r="CC677" t="s">
        <v>134</v>
      </c>
      <c r="CD677">
        <v>5201</v>
      </c>
      <c r="CE677" t="s">
        <v>88</v>
      </c>
      <c r="CF677" s="3">
        <v>43780</v>
      </c>
      <c r="CI677">
        <v>1</v>
      </c>
      <c r="CJ677">
        <v>1</v>
      </c>
      <c r="CK677">
        <v>21</v>
      </c>
      <c r="CL677" t="s">
        <v>89</v>
      </c>
    </row>
    <row r="678" spans="1:90">
      <c r="A678" t="s">
        <v>72</v>
      </c>
      <c r="B678" t="s">
        <v>73</v>
      </c>
      <c r="C678" t="s">
        <v>74</v>
      </c>
      <c r="E678" t="str">
        <f>"FES1162721400"</f>
        <v>FES1162721400</v>
      </c>
      <c r="F678" s="3">
        <v>43775</v>
      </c>
      <c r="G678">
        <v>202005</v>
      </c>
      <c r="H678" t="s">
        <v>75</v>
      </c>
      <c r="I678" t="s">
        <v>76</v>
      </c>
      <c r="J678" t="s">
        <v>77</v>
      </c>
      <c r="K678" t="s">
        <v>78</v>
      </c>
      <c r="L678" t="s">
        <v>106</v>
      </c>
      <c r="M678" t="s">
        <v>107</v>
      </c>
      <c r="N678" t="s">
        <v>262</v>
      </c>
      <c r="O678" t="s">
        <v>82</v>
      </c>
      <c r="P678" t="str">
        <f>"2170715706                    "</f>
        <v xml:space="preserve">2170715706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34.31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4.2</v>
      </c>
      <c r="BJ678">
        <v>7.7</v>
      </c>
      <c r="BK678">
        <v>8</v>
      </c>
      <c r="BL678" s="4">
        <v>201.7</v>
      </c>
      <c r="BM678" s="4">
        <v>30.26</v>
      </c>
      <c r="BN678" s="4">
        <v>231.96</v>
      </c>
      <c r="BO678" s="4">
        <v>231.96</v>
      </c>
      <c r="BQ678" t="s">
        <v>121</v>
      </c>
      <c r="BR678" t="s">
        <v>84</v>
      </c>
      <c r="BS678" s="3">
        <v>43776</v>
      </c>
      <c r="BT678" s="5">
        <v>0.3611111111111111</v>
      </c>
      <c r="BU678" t="s">
        <v>1203</v>
      </c>
      <c r="BV678" t="s">
        <v>86</v>
      </c>
      <c r="BY678">
        <v>38260.199999999997</v>
      </c>
      <c r="CA678" t="s">
        <v>244</v>
      </c>
      <c r="CC678" t="s">
        <v>107</v>
      </c>
      <c r="CD678">
        <v>6045</v>
      </c>
      <c r="CE678" t="s">
        <v>88</v>
      </c>
      <c r="CF678" s="3">
        <v>43777</v>
      </c>
      <c r="CI678">
        <v>1</v>
      </c>
      <c r="CJ678">
        <v>1</v>
      </c>
      <c r="CK678">
        <v>21</v>
      </c>
      <c r="CL678" t="s">
        <v>89</v>
      </c>
    </row>
    <row r="679" spans="1:90">
      <c r="A679" t="s">
        <v>72</v>
      </c>
      <c r="B679" t="s">
        <v>73</v>
      </c>
      <c r="C679" t="s">
        <v>74</v>
      </c>
      <c r="E679" t="str">
        <f>"FES1162721682"</f>
        <v>FES1162721682</v>
      </c>
      <c r="F679" s="3">
        <v>43775</v>
      </c>
      <c r="G679">
        <v>202005</v>
      </c>
      <c r="H679" t="s">
        <v>75</v>
      </c>
      <c r="I679" t="s">
        <v>76</v>
      </c>
      <c r="J679" t="s">
        <v>77</v>
      </c>
      <c r="K679" t="s">
        <v>78</v>
      </c>
      <c r="L679" t="s">
        <v>133</v>
      </c>
      <c r="M679" t="s">
        <v>134</v>
      </c>
      <c r="N679" t="s">
        <v>310</v>
      </c>
      <c r="O679" t="s">
        <v>82</v>
      </c>
      <c r="P679" t="str">
        <f>"2170715904                    "</f>
        <v xml:space="preserve">2170715904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72.91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16.7</v>
      </c>
      <c r="BJ679">
        <v>16.5</v>
      </c>
      <c r="BK679">
        <v>17</v>
      </c>
      <c r="BL679" s="4">
        <v>428.58</v>
      </c>
      <c r="BM679" s="4">
        <v>64.290000000000006</v>
      </c>
      <c r="BN679" s="4">
        <v>492.87</v>
      </c>
      <c r="BO679" s="4">
        <v>492.87</v>
      </c>
      <c r="BQ679" t="s">
        <v>121</v>
      </c>
      <c r="BR679" t="s">
        <v>84</v>
      </c>
      <c r="BS679" s="3">
        <v>43776</v>
      </c>
      <c r="BT679" s="5">
        <v>0.40625</v>
      </c>
      <c r="BU679" t="s">
        <v>1108</v>
      </c>
      <c r="BV679" t="s">
        <v>86</v>
      </c>
      <c r="BY679">
        <v>82468.800000000003</v>
      </c>
      <c r="BZ679" t="s">
        <v>27</v>
      </c>
      <c r="CA679" t="s">
        <v>1109</v>
      </c>
      <c r="CC679" t="s">
        <v>134</v>
      </c>
      <c r="CD679">
        <v>5201</v>
      </c>
      <c r="CE679" t="s">
        <v>88</v>
      </c>
      <c r="CF679" s="3">
        <v>43777</v>
      </c>
      <c r="CI679">
        <v>1</v>
      </c>
      <c r="CJ679">
        <v>1</v>
      </c>
      <c r="CK679">
        <v>21</v>
      </c>
      <c r="CL679" t="s">
        <v>89</v>
      </c>
    </row>
    <row r="680" spans="1:90">
      <c r="A680" t="s">
        <v>72</v>
      </c>
      <c r="B680" t="s">
        <v>73</v>
      </c>
      <c r="C680" t="s">
        <v>74</v>
      </c>
      <c r="E680" t="str">
        <f>"FES1162721422"</f>
        <v>FES1162721422</v>
      </c>
      <c r="F680" s="3">
        <v>43775</v>
      </c>
      <c r="G680">
        <v>202005</v>
      </c>
      <c r="H680" t="s">
        <v>75</v>
      </c>
      <c r="I680" t="s">
        <v>76</v>
      </c>
      <c r="J680" t="s">
        <v>77</v>
      </c>
      <c r="K680" t="s">
        <v>78</v>
      </c>
      <c r="L680" t="s">
        <v>1204</v>
      </c>
      <c r="M680" t="s">
        <v>1205</v>
      </c>
      <c r="N680" t="s">
        <v>1206</v>
      </c>
      <c r="O680" t="s">
        <v>82</v>
      </c>
      <c r="P680" t="str">
        <f>"2170713304                    "</f>
        <v xml:space="preserve">2170713304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8.58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 s="4">
        <v>50.45</v>
      </c>
      <c r="BM680" s="4">
        <v>7.57</v>
      </c>
      <c r="BN680" s="4">
        <v>58.02</v>
      </c>
      <c r="BO680" s="4">
        <v>58.02</v>
      </c>
      <c r="BQ680" t="s">
        <v>109</v>
      </c>
      <c r="BR680" t="s">
        <v>84</v>
      </c>
      <c r="BS680" s="3">
        <v>43776</v>
      </c>
      <c r="BT680" s="5">
        <v>0.41111111111111115</v>
      </c>
      <c r="BU680" t="s">
        <v>1207</v>
      </c>
      <c r="BV680" t="s">
        <v>86</v>
      </c>
      <c r="BY680">
        <v>1200</v>
      </c>
      <c r="CA680" t="s">
        <v>1208</v>
      </c>
      <c r="CC680" t="s">
        <v>1205</v>
      </c>
      <c r="CD680">
        <v>3760</v>
      </c>
      <c r="CE680" t="s">
        <v>147</v>
      </c>
      <c r="CF680" s="3">
        <v>43777</v>
      </c>
      <c r="CI680">
        <v>4</v>
      </c>
      <c r="CJ680">
        <v>1</v>
      </c>
      <c r="CK680">
        <v>21</v>
      </c>
      <c r="CL680" t="s">
        <v>89</v>
      </c>
    </row>
    <row r="681" spans="1:90">
      <c r="A681" t="s">
        <v>72</v>
      </c>
      <c r="B681" t="s">
        <v>73</v>
      </c>
      <c r="C681" t="s">
        <v>74</v>
      </c>
      <c r="E681" t="str">
        <f>"FES1162721513"</f>
        <v>FES1162721513</v>
      </c>
      <c r="F681" s="3">
        <v>43775</v>
      </c>
      <c r="G681">
        <v>202005</v>
      </c>
      <c r="H681" t="s">
        <v>75</v>
      </c>
      <c r="I681" t="s">
        <v>76</v>
      </c>
      <c r="J681" t="s">
        <v>77</v>
      </c>
      <c r="K681" t="s">
        <v>78</v>
      </c>
      <c r="L681" t="s">
        <v>176</v>
      </c>
      <c r="M681" t="s">
        <v>177</v>
      </c>
      <c r="N681" t="s">
        <v>1209</v>
      </c>
      <c r="O681" t="s">
        <v>82</v>
      </c>
      <c r="P681" t="str">
        <f>"2170714722                    "</f>
        <v xml:space="preserve">2170714722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8.58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 s="4">
        <v>50.45</v>
      </c>
      <c r="BM681" s="4">
        <v>7.57</v>
      </c>
      <c r="BN681" s="4">
        <v>58.02</v>
      </c>
      <c r="BO681" s="4">
        <v>58.02</v>
      </c>
      <c r="BQ681" t="s">
        <v>1210</v>
      </c>
      <c r="BR681" t="s">
        <v>84</v>
      </c>
      <c r="BS681" s="3">
        <v>43776</v>
      </c>
      <c r="BT681" s="5">
        <v>0.4368055555555555</v>
      </c>
      <c r="BU681" t="s">
        <v>1211</v>
      </c>
      <c r="BV681" t="s">
        <v>86</v>
      </c>
      <c r="BY681">
        <v>1200</v>
      </c>
      <c r="CA681" t="s">
        <v>224</v>
      </c>
      <c r="CC681" t="s">
        <v>177</v>
      </c>
      <c r="CD681">
        <v>3600</v>
      </c>
      <c r="CE681" t="s">
        <v>147</v>
      </c>
      <c r="CF681" s="3">
        <v>43777</v>
      </c>
      <c r="CI681">
        <v>1</v>
      </c>
      <c r="CJ681">
        <v>1</v>
      </c>
      <c r="CK681">
        <v>21</v>
      </c>
      <c r="CL681" t="s">
        <v>89</v>
      </c>
    </row>
    <row r="682" spans="1:90">
      <c r="A682" t="s">
        <v>72</v>
      </c>
      <c r="B682" t="s">
        <v>73</v>
      </c>
      <c r="C682" t="s">
        <v>74</v>
      </c>
      <c r="E682" t="str">
        <f>"FES1162721634"</f>
        <v>FES1162721634</v>
      </c>
      <c r="F682" s="3">
        <v>43775</v>
      </c>
      <c r="G682">
        <v>202005</v>
      </c>
      <c r="H682" t="s">
        <v>75</v>
      </c>
      <c r="I682" t="s">
        <v>76</v>
      </c>
      <c r="J682" t="s">
        <v>77</v>
      </c>
      <c r="K682" t="s">
        <v>78</v>
      </c>
      <c r="L682" t="s">
        <v>783</v>
      </c>
      <c r="M682" t="s">
        <v>784</v>
      </c>
      <c r="N682" t="s">
        <v>785</v>
      </c>
      <c r="O682" t="s">
        <v>82</v>
      </c>
      <c r="P682" t="str">
        <f>"2170715835                    "</f>
        <v xml:space="preserve">2170715835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16.63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 s="4">
        <v>97.75</v>
      </c>
      <c r="BM682" s="4">
        <v>14.66</v>
      </c>
      <c r="BN682" s="4">
        <v>112.41</v>
      </c>
      <c r="BO682" s="4">
        <v>112.41</v>
      </c>
      <c r="BQ682" t="s">
        <v>109</v>
      </c>
      <c r="BR682" t="s">
        <v>84</v>
      </c>
      <c r="BS682" s="3">
        <v>43776</v>
      </c>
      <c r="BT682" s="5">
        <v>0.39583333333333331</v>
      </c>
      <c r="BU682" t="s">
        <v>786</v>
      </c>
      <c r="BV682" t="s">
        <v>86</v>
      </c>
      <c r="BY682">
        <v>1200</v>
      </c>
      <c r="CA682" t="s">
        <v>1119</v>
      </c>
      <c r="CC682" t="s">
        <v>784</v>
      </c>
      <c r="CD682">
        <v>9880</v>
      </c>
      <c r="CE682" t="s">
        <v>147</v>
      </c>
      <c r="CF682" s="3">
        <v>43780</v>
      </c>
      <c r="CI682">
        <v>1</v>
      </c>
      <c r="CJ682">
        <v>1</v>
      </c>
      <c r="CK682">
        <v>23</v>
      </c>
      <c r="CL682" t="s">
        <v>89</v>
      </c>
    </row>
    <row r="683" spans="1:90">
      <c r="A683" t="s">
        <v>72</v>
      </c>
      <c r="B683" t="s">
        <v>73</v>
      </c>
      <c r="C683" t="s">
        <v>74</v>
      </c>
      <c r="E683" t="str">
        <f>"FES1162721359"</f>
        <v>FES1162721359</v>
      </c>
      <c r="F683" s="3">
        <v>43775</v>
      </c>
      <c r="G683">
        <v>202005</v>
      </c>
      <c r="H683" t="s">
        <v>75</v>
      </c>
      <c r="I683" t="s">
        <v>76</v>
      </c>
      <c r="J683" t="s">
        <v>77</v>
      </c>
      <c r="K683" t="s">
        <v>78</v>
      </c>
      <c r="L683" t="s">
        <v>124</v>
      </c>
      <c r="M683" t="s">
        <v>125</v>
      </c>
      <c r="N683" t="s">
        <v>218</v>
      </c>
      <c r="O683" t="s">
        <v>82</v>
      </c>
      <c r="P683" t="str">
        <f>"2170715659                    "</f>
        <v xml:space="preserve">2170715659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8.31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3</v>
      </c>
      <c r="BJ683">
        <v>1</v>
      </c>
      <c r="BK683">
        <v>3</v>
      </c>
      <c r="BL683" s="4">
        <v>48.86</v>
      </c>
      <c r="BM683" s="4">
        <v>7.33</v>
      </c>
      <c r="BN683" s="4">
        <v>56.19</v>
      </c>
      <c r="BO683" s="4">
        <v>56.19</v>
      </c>
      <c r="BQ683" t="s">
        <v>121</v>
      </c>
      <c r="BR683" t="s">
        <v>84</v>
      </c>
      <c r="BS683" s="3">
        <v>43776</v>
      </c>
      <c r="BT683" s="5">
        <v>0.41875000000000001</v>
      </c>
      <c r="BU683" t="s">
        <v>1023</v>
      </c>
      <c r="BV683" t="s">
        <v>86</v>
      </c>
      <c r="BY683">
        <v>4964.0600000000004</v>
      </c>
      <c r="CA683" t="s">
        <v>123</v>
      </c>
      <c r="CC683" t="s">
        <v>125</v>
      </c>
      <c r="CD683">
        <v>2094</v>
      </c>
      <c r="CE683" t="s">
        <v>88</v>
      </c>
      <c r="CF683" s="3">
        <v>43777</v>
      </c>
      <c r="CI683">
        <v>1</v>
      </c>
      <c r="CJ683">
        <v>1</v>
      </c>
      <c r="CK683">
        <v>22</v>
      </c>
      <c r="CL683" t="s">
        <v>89</v>
      </c>
    </row>
    <row r="684" spans="1:90">
      <c r="A684" t="s">
        <v>72</v>
      </c>
      <c r="B684" t="s">
        <v>73</v>
      </c>
      <c r="C684" t="s">
        <v>74</v>
      </c>
      <c r="E684" t="str">
        <f>"FES1162721627"</f>
        <v>FES1162721627</v>
      </c>
      <c r="F684" s="3">
        <v>43775</v>
      </c>
      <c r="G684">
        <v>202005</v>
      </c>
      <c r="H684" t="s">
        <v>75</v>
      </c>
      <c r="I684" t="s">
        <v>76</v>
      </c>
      <c r="J684" t="s">
        <v>77</v>
      </c>
      <c r="K684" t="s">
        <v>78</v>
      </c>
      <c r="L684" t="s">
        <v>90</v>
      </c>
      <c r="M684" t="s">
        <v>91</v>
      </c>
      <c r="N684" t="s">
        <v>505</v>
      </c>
      <c r="O684" t="s">
        <v>82</v>
      </c>
      <c r="P684" t="str">
        <f>"2170715808                    "</f>
        <v xml:space="preserve">2170715808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30.03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4.4000000000000004</v>
      </c>
      <c r="BJ684">
        <v>6.9</v>
      </c>
      <c r="BK684">
        <v>7</v>
      </c>
      <c r="BL684" s="4">
        <v>176.5</v>
      </c>
      <c r="BM684" s="4">
        <v>26.48</v>
      </c>
      <c r="BN684" s="4">
        <v>202.98</v>
      </c>
      <c r="BO684" s="4">
        <v>202.98</v>
      </c>
      <c r="BQ684" t="s">
        <v>121</v>
      </c>
      <c r="BR684" t="s">
        <v>84</v>
      </c>
      <c r="BS684" s="3">
        <v>43776</v>
      </c>
      <c r="BT684" s="5">
        <v>0.3430555555555555</v>
      </c>
      <c r="BU684" t="s">
        <v>1120</v>
      </c>
      <c r="BV684" t="s">
        <v>86</v>
      </c>
      <c r="BY684">
        <v>34560.730000000003</v>
      </c>
      <c r="CA684" t="s">
        <v>1121</v>
      </c>
      <c r="CC684" t="s">
        <v>91</v>
      </c>
      <c r="CD684">
        <v>7764</v>
      </c>
      <c r="CE684" t="s">
        <v>88</v>
      </c>
      <c r="CF684" s="3">
        <v>43777</v>
      </c>
      <c r="CI684">
        <v>1</v>
      </c>
      <c r="CJ684">
        <v>1</v>
      </c>
      <c r="CK684">
        <v>21</v>
      </c>
      <c r="CL684" t="s">
        <v>89</v>
      </c>
    </row>
    <row r="685" spans="1:90">
      <c r="A685" t="s">
        <v>72</v>
      </c>
      <c r="B685" t="s">
        <v>73</v>
      </c>
      <c r="C685" t="s">
        <v>74</v>
      </c>
      <c r="E685" t="str">
        <f>"FES1162721580"</f>
        <v>FES1162721580</v>
      </c>
      <c r="F685" s="3">
        <v>43775</v>
      </c>
      <c r="G685">
        <v>202005</v>
      </c>
      <c r="H685" t="s">
        <v>75</v>
      </c>
      <c r="I685" t="s">
        <v>76</v>
      </c>
      <c r="J685" t="s">
        <v>77</v>
      </c>
      <c r="K685" t="s">
        <v>78</v>
      </c>
      <c r="L685" t="s">
        <v>451</v>
      </c>
      <c r="M685" t="s">
        <v>452</v>
      </c>
      <c r="N685" t="s">
        <v>613</v>
      </c>
      <c r="O685" t="s">
        <v>82</v>
      </c>
      <c r="P685" t="str">
        <f>"2170715752                    "</f>
        <v xml:space="preserve">2170715752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8.58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 s="4">
        <v>50.45</v>
      </c>
      <c r="BM685" s="4">
        <v>7.57</v>
      </c>
      <c r="BN685" s="4">
        <v>58.02</v>
      </c>
      <c r="BO685" s="4">
        <v>58.02</v>
      </c>
      <c r="BQ685" t="s">
        <v>1212</v>
      </c>
      <c r="BR685" t="s">
        <v>84</v>
      </c>
      <c r="BS685" s="3">
        <v>43776</v>
      </c>
      <c r="BT685" s="5">
        <v>0.48055555555555557</v>
      </c>
      <c r="BU685" t="s">
        <v>614</v>
      </c>
      <c r="BV685" t="s">
        <v>86</v>
      </c>
      <c r="BY685">
        <v>1200</v>
      </c>
      <c r="CA685" t="s">
        <v>455</v>
      </c>
      <c r="CC685" t="s">
        <v>452</v>
      </c>
      <c r="CD685">
        <v>3310</v>
      </c>
      <c r="CE685" t="s">
        <v>147</v>
      </c>
      <c r="CF685" s="3">
        <v>43777</v>
      </c>
      <c r="CI685">
        <v>1</v>
      </c>
      <c r="CJ685">
        <v>1</v>
      </c>
      <c r="CK685">
        <v>21</v>
      </c>
      <c r="CL685" t="s">
        <v>89</v>
      </c>
    </row>
    <row r="686" spans="1:90">
      <c r="A686" t="s">
        <v>72</v>
      </c>
      <c r="B686" t="s">
        <v>73</v>
      </c>
      <c r="C686" t="s">
        <v>74</v>
      </c>
      <c r="E686" t="str">
        <f>"FES1162721660"</f>
        <v>FES1162721660</v>
      </c>
      <c r="F686" s="3">
        <v>43775</v>
      </c>
      <c r="G686">
        <v>202005</v>
      </c>
      <c r="H686" t="s">
        <v>75</v>
      </c>
      <c r="I686" t="s">
        <v>76</v>
      </c>
      <c r="J686" t="s">
        <v>77</v>
      </c>
      <c r="K686" t="s">
        <v>78</v>
      </c>
      <c r="L686" t="s">
        <v>118</v>
      </c>
      <c r="M686" t="s">
        <v>119</v>
      </c>
      <c r="N686" t="s">
        <v>248</v>
      </c>
      <c r="O686" t="s">
        <v>82</v>
      </c>
      <c r="P686" t="str">
        <f>"2170715874                    "</f>
        <v xml:space="preserve">2170715874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8.58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 s="4">
        <v>50.45</v>
      </c>
      <c r="BM686" s="4">
        <v>7.57</v>
      </c>
      <c r="BN686" s="4">
        <v>58.02</v>
      </c>
      <c r="BO686" s="4">
        <v>58.02</v>
      </c>
      <c r="BQ686" t="s">
        <v>121</v>
      </c>
      <c r="BR686" t="s">
        <v>84</v>
      </c>
      <c r="BS686" s="3">
        <v>43776</v>
      </c>
      <c r="BT686" s="5">
        <v>0.38958333333333334</v>
      </c>
      <c r="BU686" t="s">
        <v>1047</v>
      </c>
      <c r="BV686" t="s">
        <v>86</v>
      </c>
      <c r="BY686">
        <v>1200</v>
      </c>
      <c r="CA686" t="s">
        <v>435</v>
      </c>
      <c r="CC686" t="s">
        <v>119</v>
      </c>
      <c r="CD686">
        <v>3212</v>
      </c>
      <c r="CE686" t="s">
        <v>147</v>
      </c>
      <c r="CF686" s="3">
        <v>43777</v>
      </c>
      <c r="CI686">
        <v>1</v>
      </c>
      <c r="CJ686">
        <v>1</v>
      </c>
      <c r="CK686">
        <v>21</v>
      </c>
      <c r="CL686" t="s">
        <v>89</v>
      </c>
    </row>
    <row r="687" spans="1:90">
      <c r="A687" t="s">
        <v>72</v>
      </c>
      <c r="B687" t="s">
        <v>73</v>
      </c>
      <c r="C687" t="s">
        <v>74</v>
      </c>
      <c r="E687" t="str">
        <f>"FES1162721526"</f>
        <v>FES1162721526</v>
      </c>
      <c r="F687" s="3">
        <v>43775</v>
      </c>
      <c r="G687">
        <v>202005</v>
      </c>
      <c r="H687" t="s">
        <v>75</v>
      </c>
      <c r="I687" t="s">
        <v>76</v>
      </c>
      <c r="J687" t="s">
        <v>77</v>
      </c>
      <c r="K687" t="s">
        <v>78</v>
      </c>
      <c r="L687" t="s">
        <v>1048</v>
      </c>
      <c r="M687" t="s">
        <v>1049</v>
      </c>
      <c r="N687" t="s">
        <v>1050</v>
      </c>
      <c r="O687" t="s">
        <v>82</v>
      </c>
      <c r="P687" t="str">
        <f>"2170715544                    "</f>
        <v xml:space="preserve">2170715544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8.58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 s="4">
        <v>50.45</v>
      </c>
      <c r="BM687" s="4">
        <v>7.57</v>
      </c>
      <c r="BN687" s="4">
        <v>58.02</v>
      </c>
      <c r="BO687" s="4">
        <v>58.02</v>
      </c>
      <c r="BR687" t="s">
        <v>84</v>
      </c>
      <c r="BS687" s="3">
        <v>43776</v>
      </c>
      <c r="BT687" s="5">
        <v>0.375</v>
      </c>
      <c r="BU687" t="s">
        <v>1051</v>
      </c>
      <c r="BV687" t="s">
        <v>86</v>
      </c>
      <c r="BY687">
        <v>1200</v>
      </c>
      <c r="CA687" t="s">
        <v>1052</v>
      </c>
      <c r="CC687" t="s">
        <v>1049</v>
      </c>
      <c r="CD687">
        <v>4120</v>
      </c>
      <c r="CE687" t="s">
        <v>147</v>
      </c>
      <c r="CI687">
        <v>1</v>
      </c>
      <c r="CJ687">
        <v>1</v>
      </c>
      <c r="CK687">
        <v>21</v>
      </c>
      <c r="CL687" t="s">
        <v>89</v>
      </c>
    </row>
    <row r="688" spans="1:90">
      <c r="A688" t="s">
        <v>72</v>
      </c>
      <c r="B688" t="s">
        <v>73</v>
      </c>
      <c r="C688" t="s">
        <v>74</v>
      </c>
      <c r="E688" t="str">
        <f>"FES1162721489"</f>
        <v>FES1162721489</v>
      </c>
      <c r="F688" s="3">
        <v>43775</v>
      </c>
      <c r="G688">
        <v>202005</v>
      </c>
      <c r="H688" t="s">
        <v>75</v>
      </c>
      <c r="I688" t="s">
        <v>76</v>
      </c>
      <c r="J688" t="s">
        <v>77</v>
      </c>
      <c r="K688" t="s">
        <v>78</v>
      </c>
      <c r="L688" t="s">
        <v>214</v>
      </c>
      <c r="M688" t="s">
        <v>214</v>
      </c>
      <c r="N688" t="s">
        <v>312</v>
      </c>
      <c r="O688" t="s">
        <v>82</v>
      </c>
      <c r="P688" t="str">
        <f>"2170713912                    "</f>
        <v xml:space="preserve">2170713912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16.63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1.4</v>
      </c>
      <c r="BJ688">
        <v>1.2</v>
      </c>
      <c r="BK688">
        <v>1.5</v>
      </c>
      <c r="BL688" s="4">
        <v>97.75</v>
      </c>
      <c r="BM688" s="4">
        <v>14.66</v>
      </c>
      <c r="BN688" s="4">
        <v>112.41</v>
      </c>
      <c r="BO688" s="4">
        <v>112.41</v>
      </c>
      <c r="BQ688" t="s">
        <v>121</v>
      </c>
      <c r="BR688" t="s">
        <v>84</v>
      </c>
      <c r="BS688" s="3">
        <v>43776</v>
      </c>
      <c r="BT688" s="5">
        <v>0.47152777777777777</v>
      </c>
      <c r="BU688" t="s">
        <v>313</v>
      </c>
      <c r="BV688" t="s">
        <v>86</v>
      </c>
      <c r="BY688">
        <v>5910.08</v>
      </c>
      <c r="CA688" t="s">
        <v>217</v>
      </c>
      <c r="CC688" t="s">
        <v>214</v>
      </c>
      <c r="CD688">
        <v>7646</v>
      </c>
      <c r="CE688" t="s">
        <v>88</v>
      </c>
      <c r="CF688" s="3">
        <v>43777</v>
      </c>
      <c r="CI688">
        <v>1</v>
      </c>
      <c r="CJ688">
        <v>1</v>
      </c>
      <c r="CK688">
        <v>23</v>
      </c>
      <c r="CL688" t="s">
        <v>89</v>
      </c>
    </row>
    <row r="689" spans="1:90">
      <c r="A689" t="s">
        <v>72</v>
      </c>
      <c r="B689" t="s">
        <v>73</v>
      </c>
      <c r="C689" t="s">
        <v>74</v>
      </c>
      <c r="E689" t="str">
        <f>"FES1162721345"</f>
        <v>FES1162721345</v>
      </c>
      <c r="F689" s="3">
        <v>43775</v>
      </c>
      <c r="G689">
        <v>202005</v>
      </c>
      <c r="H689" t="s">
        <v>75</v>
      </c>
      <c r="I689" t="s">
        <v>76</v>
      </c>
      <c r="J689" t="s">
        <v>77</v>
      </c>
      <c r="K689" t="s">
        <v>78</v>
      </c>
      <c r="L689" t="s">
        <v>1204</v>
      </c>
      <c r="M689" t="s">
        <v>1205</v>
      </c>
      <c r="N689" t="s">
        <v>1213</v>
      </c>
      <c r="O689" t="s">
        <v>82</v>
      </c>
      <c r="P689" t="str">
        <f>"2170715361                    "</f>
        <v xml:space="preserve">2170715361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32.17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4.0999999999999996</v>
      </c>
      <c r="BJ689">
        <v>7.2</v>
      </c>
      <c r="BK689">
        <v>7.5</v>
      </c>
      <c r="BL689" s="4">
        <v>189.1</v>
      </c>
      <c r="BM689" s="4">
        <v>28.37</v>
      </c>
      <c r="BN689" s="4">
        <v>217.47</v>
      </c>
      <c r="BO689" s="4">
        <v>217.47</v>
      </c>
      <c r="BQ689" t="s">
        <v>109</v>
      </c>
      <c r="BR689" t="s">
        <v>84</v>
      </c>
      <c r="BS689" s="3">
        <v>43776</v>
      </c>
      <c r="BT689" s="5">
        <v>0.58402777777777781</v>
      </c>
      <c r="BU689" t="s">
        <v>1214</v>
      </c>
      <c r="BV689" t="s">
        <v>86</v>
      </c>
      <c r="BY689">
        <v>36054.74</v>
      </c>
      <c r="CA689" t="s">
        <v>1215</v>
      </c>
      <c r="CC689" t="s">
        <v>1205</v>
      </c>
      <c r="CD689">
        <v>3265</v>
      </c>
      <c r="CE689" t="s">
        <v>1216</v>
      </c>
      <c r="CF689" s="3">
        <v>43780</v>
      </c>
      <c r="CI689">
        <v>1</v>
      </c>
      <c r="CJ689">
        <v>1</v>
      </c>
      <c r="CK689">
        <v>21</v>
      </c>
      <c r="CL689" t="s">
        <v>89</v>
      </c>
    </row>
    <row r="690" spans="1:90">
      <c r="A690" t="s">
        <v>72</v>
      </c>
      <c r="B690" t="s">
        <v>73</v>
      </c>
      <c r="C690" t="s">
        <v>74</v>
      </c>
      <c r="E690" t="str">
        <f>"FES1162721412"</f>
        <v>FES1162721412</v>
      </c>
      <c r="F690" s="3">
        <v>43775</v>
      </c>
      <c r="G690">
        <v>202005</v>
      </c>
      <c r="H690" t="s">
        <v>75</v>
      </c>
      <c r="I690" t="s">
        <v>76</v>
      </c>
      <c r="J690" t="s">
        <v>77</v>
      </c>
      <c r="K690" t="s">
        <v>78</v>
      </c>
      <c r="L690" t="s">
        <v>90</v>
      </c>
      <c r="M690" t="s">
        <v>91</v>
      </c>
      <c r="N690" t="s">
        <v>538</v>
      </c>
      <c r="O690" t="s">
        <v>82</v>
      </c>
      <c r="P690" t="str">
        <f>"217072284                     "</f>
        <v xml:space="preserve">217072284 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34.31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6.4</v>
      </c>
      <c r="BJ690">
        <v>7.8</v>
      </c>
      <c r="BK690">
        <v>8</v>
      </c>
      <c r="BL690" s="4">
        <v>201.7</v>
      </c>
      <c r="BM690" s="4">
        <v>30.26</v>
      </c>
      <c r="BN690" s="4">
        <v>231.96</v>
      </c>
      <c r="BO690" s="4">
        <v>231.96</v>
      </c>
      <c r="BQ690" t="s">
        <v>109</v>
      </c>
      <c r="BR690" t="s">
        <v>84</v>
      </c>
      <c r="BS690" s="3">
        <v>43776</v>
      </c>
      <c r="BT690" s="5">
        <v>0.3263888888888889</v>
      </c>
      <c r="BU690" t="s">
        <v>1024</v>
      </c>
      <c r="BV690" t="s">
        <v>86</v>
      </c>
      <c r="BY690">
        <v>39119.47</v>
      </c>
      <c r="CA690" t="s">
        <v>540</v>
      </c>
      <c r="CC690" t="s">
        <v>91</v>
      </c>
      <c r="CD690">
        <v>7530</v>
      </c>
      <c r="CE690" t="s">
        <v>88</v>
      </c>
      <c r="CF690" s="3">
        <v>43777</v>
      </c>
      <c r="CI690">
        <v>1</v>
      </c>
      <c r="CJ690">
        <v>1</v>
      </c>
      <c r="CK690">
        <v>21</v>
      </c>
      <c r="CL690" t="s">
        <v>89</v>
      </c>
    </row>
    <row r="691" spans="1:90">
      <c r="A691" t="s">
        <v>72</v>
      </c>
      <c r="B691" t="s">
        <v>73</v>
      </c>
      <c r="C691" t="s">
        <v>74</v>
      </c>
      <c r="E691" t="str">
        <f>"FES1162721372"</f>
        <v>FES1162721372</v>
      </c>
      <c r="F691" s="3">
        <v>43775</v>
      </c>
      <c r="G691">
        <v>202005</v>
      </c>
      <c r="H691" t="s">
        <v>75</v>
      </c>
      <c r="I691" t="s">
        <v>76</v>
      </c>
      <c r="J691" t="s">
        <v>77</v>
      </c>
      <c r="K691" t="s">
        <v>78</v>
      </c>
      <c r="L691" t="s">
        <v>691</v>
      </c>
      <c r="M691" t="s">
        <v>692</v>
      </c>
      <c r="N691" t="s">
        <v>1217</v>
      </c>
      <c r="O691" t="s">
        <v>82</v>
      </c>
      <c r="P691" t="str">
        <f>"2170715672                    "</f>
        <v xml:space="preserve">2170715672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6.71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0.6</v>
      </c>
      <c r="BJ691">
        <v>0.3</v>
      </c>
      <c r="BK691">
        <v>1</v>
      </c>
      <c r="BL691" s="4">
        <v>39.42</v>
      </c>
      <c r="BM691" s="4">
        <v>5.91</v>
      </c>
      <c r="BN691" s="4">
        <v>45.33</v>
      </c>
      <c r="BO691" s="4">
        <v>45.33</v>
      </c>
      <c r="BQ691" t="s">
        <v>109</v>
      </c>
      <c r="BR691" t="s">
        <v>84</v>
      </c>
      <c r="BS691" s="3">
        <v>43776</v>
      </c>
      <c r="BT691" s="5">
        <v>0.33333333333333331</v>
      </c>
      <c r="BU691" t="s">
        <v>1218</v>
      </c>
      <c r="BV691" t="s">
        <v>86</v>
      </c>
      <c r="BY691">
        <v>1516.34</v>
      </c>
      <c r="CA691" t="s">
        <v>819</v>
      </c>
      <c r="CC691" t="s">
        <v>692</v>
      </c>
      <c r="CD691">
        <v>1559</v>
      </c>
      <c r="CE691" t="s">
        <v>88</v>
      </c>
      <c r="CF691" s="3">
        <v>43777</v>
      </c>
      <c r="CI691">
        <v>1</v>
      </c>
      <c r="CJ691">
        <v>1</v>
      </c>
      <c r="CK691">
        <v>22</v>
      </c>
      <c r="CL691" t="s">
        <v>89</v>
      </c>
    </row>
    <row r="692" spans="1:90">
      <c r="A692" t="s">
        <v>72</v>
      </c>
      <c r="B692" t="s">
        <v>73</v>
      </c>
      <c r="C692" t="s">
        <v>74</v>
      </c>
      <c r="E692" t="str">
        <f>"FES1162721391"</f>
        <v>FES1162721391</v>
      </c>
      <c r="F692" s="3">
        <v>43775</v>
      </c>
      <c r="G692">
        <v>202005</v>
      </c>
      <c r="H692" t="s">
        <v>75</v>
      </c>
      <c r="I692" t="s">
        <v>76</v>
      </c>
      <c r="J692" t="s">
        <v>77</v>
      </c>
      <c r="K692" t="s">
        <v>78</v>
      </c>
      <c r="L692" t="s">
        <v>482</v>
      </c>
      <c r="M692" t="s">
        <v>483</v>
      </c>
      <c r="N692" t="s">
        <v>594</v>
      </c>
      <c r="O692" t="s">
        <v>82</v>
      </c>
      <c r="P692" t="str">
        <f>"2170713162                    "</f>
        <v xml:space="preserve">2170713162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21.17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2</v>
      </c>
      <c r="BI692">
        <v>10.8</v>
      </c>
      <c r="BJ692">
        <v>9.6999999999999993</v>
      </c>
      <c r="BK692">
        <v>11</v>
      </c>
      <c r="BL692" s="4">
        <v>124.44</v>
      </c>
      <c r="BM692" s="4">
        <v>18.670000000000002</v>
      </c>
      <c r="BN692" s="4">
        <v>143.11000000000001</v>
      </c>
      <c r="BO692" s="4">
        <v>143.11000000000001</v>
      </c>
      <c r="BQ692" t="s">
        <v>109</v>
      </c>
      <c r="BR692" t="s">
        <v>84</v>
      </c>
      <c r="BS692" s="3">
        <v>43776</v>
      </c>
      <c r="BT692" s="5">
        <v>0.375</v>
      </c>
      <c r="BU692" t="s">
        <v>595</v>
      </c>
      <c r="BV692" t="s">
        <v>86</v>
      </c>
      <c r="BY692">
        <v>48467</v>
      </c>
      <c r="CC692" t="s">
        <v>483</v>
      </c>
      <c r="CD692">
        <v>1459</v>
      </c>
      <c r="CE692" t="s">
        <v>88</v>
      </c>
      <c r="CF692" s="3">
        <v>43777</v>
      </c>
      <c r="CI692">
        <v>1</v>
      </c>
      <c r="CJ692">
        <v>1</v>
      </c>
      <c r="CK692">
        <v>22</v>
      </c>
      <c r="CL692" t="s">
        <v>89</v>
      </c>
    </row>
    <row r="693" spans="1:90">
      <c r="A693" t="s">
        <v>72</v>
      </c>
      <c r="B693" t="s">
        <v>73</v>
      </c>
      <c r="C693" t="s">
        <v>74</v>
      </c>
      <c r="E693" t="str">
        <f>"FES1162721356"</f>
        <v>FES1162721356</v>
      </c>
      <c r="F693" s="3">
        <v>43775</v>
      </c>
      <c r="G693">
        <v>202005</v>
      </c>
      <c r="H693" t="s">
        <v>75</v>
      </c>
      <c r="I693" t="s">
        <v>76</v>
      </c>
      <c r="J693" t="s">
        <v>77</v>
      </c>
      <c r="K693" t="s">
        <v>78</v>
      </c>
      <c r="L693" t="s">
        <v>339</v>
      </c>
      <c r="M693" t="s">
        <v>340</v>
      </c>
      <c r="N693" t="s">
        <v>565</v>
      </c>
      <c r="O693" t="s">
        <v>82</v>
      </c>
      <c r="P693" t="str">
        <f>"21707146576                   "</f>
        <v xml:space="preserve">21707146576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8.58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 s="4">
        <v>50.45</v>
      </c>
      <c r="BM693" s="4">
        <v>7.57</v>
      </c>
      <c r="BN693" s="4">
        <v>58.02</v>
      </c>
      <c r="BO693" s="4">
        <v>58.02</v>
      </c>
      <c r="BR693" t="s">
        <v>84</v>
      </c>
      <c r="BS693" s="3">
        <v>43776</v>
      </c>
      <c r="BT693" s="5">
        <v>0.3833333333333333</v>
      </c>
      <c r="BU693" t="s">
        <v>938</v>
      </c>
      <c r="BV693" t="s">
        <v>86</v>
      </c>
      <c r="BY693">
        <v>1200</v>
      </c>
      <c r="CA693" t="s">
        <v>869</v>
      </c>
      <c r="CC693" t="s">
        <v>340</v>
      </c>
      <c r="CD693">
        <v>46</v>
      </c>
      <c r="CE693" t="s">
        <v>147</v>
      </c>
      <c r="CF693" s="3">
        <v>43777</v>
      </c>
      <c r="CI693">
        <v>1</v>
      </c>
      <c r="CJ693">
        <v>1</v>
      </c>
      <c r="CK693">
        <v>21</v>
      </c>
      <c r="CL693" t="s">
        <v>89</v>
      </c>
    </row>
    <row r="694" spans="1:90">
      <c r="A694" t="s">
        <v>72</v>
      </c>
      <c r="B694" t="s">
        <v>73</v>
      </c>
      <c r="C694" t="s">
        <v>74</v>
      </c>
      <c r="E694" t="str">
        <f>"FES1162721441"</f>
        <v>FES1162721441</v>
      </c>
      <c r="F694" s="3">
        <v>43775</v>
      </c>
      <c r="G694">
        <v>202005</v>
      </c>
      <c r="H694" t="s">
        <v>75</v>
      </c>
      <c r="I694" t="s">
        <v>76</v>
      </c>
      <c r="J694" t="s">
        <v>77</v>
      </c>
      <c r="K694" t="s">
        <v>78</v>
      </c>
      <c r="L694" t="s">
        <v>90</v>
      </c>
      <c r="M694" t="s">
        <v>91</v>
      </c>
      <c r="N694" t="s">
        <v>538</v>
      </c>
      <c r="O694" t="s">
        <v>82</v>
      </c>
      <c r="P694" t="str">
        <f>"2170713547                    "</f>
        <v xml:space="preserve">2170713547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8.58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 s="4">
        <v>50.45</v>
      </c>
      <c r="BM694" s="4">
        <v>7.57</v>
      </c>
      <c r="BN694" s="4">
        <v>58.02</v>
      </c>
      <c r="BO694" s="4">
        <v>58.02</v>
      </c>
      <c r="BQ694" t="s">
        <v>109</v>
      </c>
      <c r="BR694" t="s">
        <v>84</v>
      </c>
      <c r="BS694" s="3">
        <v>43776</v>
      </c>
      <c r="BT694" s="5">
        <v>0.3263888888888889</v>
      </c>
      <c r="BU694" t="s">
        <v>1024</v>
      </c>
      <c r="BV694" t="s">
        <v>86</v>
      </c>
      <c r="BY694">
        <v>1200</v>
      </c>
      <c r="CA694" t="s">
        <v>540</v>
      </c>
      <c r="CC694" t="s">
        <v>91</v>
      </c>
      <c r="CD694">
        <v>7530</v>
      </c>
      <c r="CE694" t="s">
        <v>147</v>
      </c>
      <c r="CF694" s="3">
        <v>43777</v>
      </c>
      <c r="CI694">
        <v>1</v>
      </c>
      <c r="CJ694">
        <v>1</v>
      </c>
      <c r="CK694">
        <v>21</v>
      </c>
      <c r="CL694" t="s">
        <v>89</v>
      </c>
    </row>
    <row r="695" spans="1:90">
      <c r="A695" t="s">
        <v>72</v>
      </c>
      <c r="B695" t="s">
        <v>73</v>
      </c>
      <c r="C695" t="s">
        <v>74</v>
      </c>
      <c r="E695" t="str">
        <f>"FES1162721439"</f>
        <v>FES1162721439</v>
      </c>
      <c r="F695" s="3">
        <v>43775</v>
      </c>
      <c r="G695">
        <v>202005</v>
      </c>
      <c r="H695" t="s">
        <v>75</v>
      </c>
      <c r="I695" t="s">
        <v>76</v>
      </c>
      <c r="J695" t="s">
        <v>77</v>
      </c>
      <c r="K695" t="s">
        <v>78</v>
      </c>
      <c r="L695" t="s">
        <v>90</v>
      </c>
      <c r="M695" t="s">
        <v>91</v>
      </c>
      <c r="N695" t="s">
        <v>1219</v>
      </c>
      <c r="O695" t="s">
        <v>82</v>
      </c>
      <c r="P695" t="str">
        <f>"2170713532                    "</f>
        <v xml:space="preserve">2170713532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8.58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 s="4">
        <v>50.45</v>
      </c>
      <c r="BM695" s="4">
        <v>7.57</v>
      </c>
      <c r="BN695" s="4">
        <v>58.02</v>
      </c>
      <c r="BO695" s="4">
        <v>58.02</v>
      </c>
      <c r="BQ695" t="s">
        <v>1220</v>
      </c>
      <c r="BR695" t="s">
        <v>84</v>
      </c>
      <c r="BS695" s="3">
        <v>43776</v>
      </c>
      <c r="BT695" s="5">
        <v>0.3527777777777778</v>
      </c>
      <c r="BU695" t="s">
        <v>1221</v>
      </c>
      <c r="BV695" t="s">
        <v>86</v>
      </c>
      <c r="BY695">
        <v>1200</v>
      </c>
      <c r="CA695" t="s">
        <v>329</v>
      </c>
      <c r="CC695" t="s">
        <v>91</v>
      </c>
      <c r="CD695">
        <v>7405</v>
      </c>
      <c r="CE695" t="s">
        <v>147</v>
      </c>
      <c r="CF695" s="3">
        <v>43777</v>
      </c>
      <c r="CI695">
        <v>1</v>
      </c>
      <c r="CJ695">
        <v>1</v>
      </c>
      <c r="CK695">
        <v>21</v>
      </c>
      <c r="CL695" t="s">
        <v>89</v>
      </c>
    </row>
    <row r="696" spans="1:90">
      <c r="A696" t="s">
        <v>72</v>
      </c>
      <c r="B696" t="s">
        <v>73</v>
      </c>
      <c r="C696" t="s">
        <v>74</v>
      </c>
      <c r="E696" t="str">
        <f>"FES1162721480"</f>
        <v>FES1162721480</v>
      </c>
      <c r="F696" s="3">
        <v>43775</v>
      </c>
      <c r="G696">
        <v>202005</v>
      </c>
      <c r="H696" t="s">
        <v>75</v>
      </c>
      <c r="I696" t="s">
        <v>76</v>
      </c>
      <c r="J696" t="s">
        <v>77</v>
      </c>
      <c r="K696" t="s">
        <v>78</v>
      </c>
      <c r="L696" t="s">
        <v>214</v>
      </c>
      <c r="M696" t="s">
        <v>214</v>
      </c>
      <c r="N696" t="s">
        <v>312</v>
      </c>
      <c r="O696" t="s">
        <v>82</v>
      </c>
      <c r="P696" t="str">
        <f>"2170713804                    "</f>
        <v xml:space="preserve">2170713804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16.63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 s="4">
        <v>97.75</v>
      </c>
      <c r="BM696" s="4">
        <v>14.66</v>
      </c>
      <c r="BN696" s="4">
        <v>112.41</v>
      </c>
      <c r="BO696" s="4">
        <v>112.41</v>
      </c>
      <c r="BQ696" t="s">
        <v>121</v>
      </c>
      <c r="BR696" t="s">
        <v>84</v>
      </c>
      <c r="BS696" s="3">
        <v>43776</v>
      </c>
      <c r="BT696" s="5">
        <v>0.47152777777777777</v>
      </c>
      <c r="BU696" t="s">
        <v>313</v>
      </c>
      <c r="BV696" t="s">
        <v>86</v>
      </c>
      <c r="BY696">
        <v>1200</v>
      </c>
      <c r="CA696" t="s">
        <v>217</v>
      </c>
      <c r="CC696" t="s">
        <v>214</v>
      </c>
      <c r="CD696">
        <v>7646</v>
      </c>
      <c r="CE696" t="s">
        <v>147</v>
      </c>
      <c r="CF696" s="3">
        <v>43777</v>
      </c>
      <c r="CI696">
        <v>1</v>
      </c>
      <c r="CJ696">
        <v>1</v>
      </c>
      <c r="CK696">
        <v>23</v>
      </c>
      <c r="CL696" t="s">
        <v>89</v>
      </c>
    </row>
    <row r="697" spans="1:90">
      <c r="A697" t="s">
        <v>72</v>
      </c>
      <c r="B697" t="s">
        <v>73</v>
      </c>
      <c r="C697" t="s">
        <v>74</v>
      </c>
      <c r="E697" t="str">
        <f>"FES1162721367"</f>
        <v>FES1162721367</v>
      </c>
      <c r="F697" s="3">
        <v>43775</v>
      </c>
      <c r="G697">
        <v>202005</v>
      </c>
      <c r="H697" t="s">
        <v>75</v>
      </c>
      <c r="I697" t="s">
        <v>76</v>
      </c>
      <c r="J697" t="s">
        <v>77</v>
      </c>
      <c r="K697" t="s">
        <v>78</v>
      </c>
      <c r="L697" t="s">
        <v>482</v>
      </c>
      <c r="M697" t="s">
        <v>483</v>
      </c>
      <c r="N697" t="s">
        <v>594</v>
      </c>
      <c r="O697" t="s">
        <v>82</v>
      </c>
      <c r="P697" t="str">
        <f>"2170715666                    "</f>
        <v xml:space="preserve">2170715666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6.71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 s="4">
        <v>39.42</v>
      </c>
      <c r="BM697" s="4">
        <v>5.91</v>
      </c>
      <c r="BN697" s="4">
        <v>45.33</v>
      </c>
      <c r="BO697" s="4">
        <v>45.33</v>
      </c>
      <c r="BQ697" t="s">
        <v>109</v>
      </c>
      <c r="BR697" t="s">
        <v>84</v>
      </c>
      <c r="BS697" s="3">
        <v>43776</v>
      </c>
      <c r="BT697" s="5">
        <v>0.375</v>
      </c>
      <c r="BU697" t="s">
        <v>595</v>
      </c>
      <c r="BV697" t="s">
        <v>86</v>
      </c>
      <c r="BY697">
        <v>1200</v>
      </c>
      <c r="CC697" t="s">
        <v>483</v>
      </c>
      <c r="CD697">
        <v>1459</v>
      </c>
      <c r="CE697" t="s">
        <v>147</v>
      </c>
      <c r="CF697" s="3">
        <v>43777</v>
      </c>
      <c r="CI697">
        <v>1</v>
      </c>
      <c r="CJ697">
        <v>1</v>
      </c>
      <c r="CK697">
        <v>22</v>
      </c>
      <c r="CL697" t="s">
        <v>89</v>
      </c>
    </row>
    <row r="698" spans="1:90">
      <c r="A698" t="s">
        <v>72</v>
      </c>
      <c r="B698" t="s">
        <v>73</v>
      </c>
      <c r="C698" t="s">
        <v>74</v>
      </c>
      <c r="E698" t="str">
        <f>"FES1162721317"</f>
        <v>FES1162721317</v>
      </c>
      <c r="F698" s="3">
        <v>43775</v>
      </c>
      <c r="G698">
        <v>202005</v>
      </c>
      <c r="H698" t="s">
        <v>75</v>
      </c>
      <c r="I698" t="s">
        <v>76</v>
      </c>
      <c r="J698" t="s">
        <v>77</v>
      </c>
      <c r="K698" t="s">
        <v>78</v>
      </c>
      <c r="L698" t="s">
        <v>1063</v>
      </c>
      <c r="M698" t="s">
        <v>1064</v>
      </c>
      <c r="N698" t="s">
        <v>1065</v>
      </c>
      <c r="O698" t="s">
        <v>82</v>
      </c>
      <c r="P698" t="str">
        <f>"2170715609                    "</f>
        <v xml:space="preserve">2170715609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12.07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 s="4">
        <v>70.95</v>
      </c>
      <c r="BM698" s="4">
        <v>10.64</v>
      </c>
      <c r="BN698" s="4">
        <v>81.59</v>
      </c>
      <c r="BO698" s="4">
        <v>81.59</v>
      </c>
      <c r="BR698" t="s">
        <v>84</v>
      </c>
      <c r="BS698" s="3">
        <v>43776</v>
      </c>
      <c r="BT698" s="5">
        <v>0.33611111111111108</v>
      </c>
      <c r="BU698" t="s">
        <v>1066</v>
      </c>
      <c r="BV698" t="s">
        <v>86</v>
      </c>
      <c r="BY698">
        <v>1200</v>
      </c>
      <c r="CA698" t="s">
        <v>1067</v>
      </c>
      <c r="CC698" t="s">
        <v>1064</v>
      </c>
      <c r="CD698">
        <v>1779</v>
      </c>
      <c r="CE698" t="s">
        <v>147</v>
      </c>
      <c r="CF698" s="3">
        <v>43777</v>
      </c>
      <c r="CI698">
        <v>1</v>
      </c>
      <c r="CJ698">
        <v>1</v>
      </c>
      <c r="CK698">
        <v>24</v>
      </c>
      <c r="CL698" t="s">
        <v>89</v>
      </c>
    </row>
    <row r="699" spans="1:90">
      <c r="A699" t="s">
        <v>72</v>
      </c>
      <c r="B699" t="s">
        <v>73</v>
      </c>
      <c r="C699" t="s">
        <v>74</v>
      </c>
      <c r="E699" t="str">
        <f>"FES1162721479"</f>
        <v>FES1162721479</v>
      </c>
      <c r="F699" s="3">
        <v>43775</v>
      </c>
      <c r="G699">
        <v>202005</v>
      </c>
      <c r="H699" t="s">
        <v>75</v>
      </c>
      <c r="I699" t="s">
        <v>76</v>
      </c>
      <c r="J699" t="s">
        <v>77</v>
      </c>
      <c r="K699" t="s">
        <v>78</v>
      </c>
      <c r="L699" t="s">
        <v>90</v>
      </c>
      <c r="M699" t="s">
        <v>91</v>
      </c>
      <c r="N699" t="s">
        <v>1194</v>
      </c>
      <c r="O699" t="s">
        <v>82</v>
      </c>
      <c r="P699" t="str">
        <f>"2170713803                    "</f>
        <v xml:space="preserve">2170713803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8.58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 s="4">
        <v>50.45</v>
      </c>
      <c r="BM699" s="4">
        <v>7.57</v>
      </c>
      <c r="BN699" s="4">
        <v>58.02</v>
      </c>
      <c r="BO699" s="4">
        <v>58.02</v>
      </c>
      <c r="BR699" t="s">
        <v>84</v>
      </c>
      <c r="BS699" s="3">
        <v>43776</v>
      </c>
      <c r="BT699" s="5">
        <v>0.3979166666666667</v>
      </c>
      <c r="BU699" t="s">
        <v>1195</v>
      </c>
      <c r="BV699" t="s">
        <v>86</v>
      </c>
      <c r="BY699">
        <v>1200</v>
      </c>
      <c r="CA699" t="s">
        <v>1196</v>
      </c>
      <c r="CC699" t="s">
        <v>91</v>
      </c>
      <c r="CD699">
        <v>7580</v>
      </c>
      <c r="CE699" t="s">
        <v>147</v>
      </c>
      <c r="CF699" s="3">
        <v>43777</v>
      </c>
      <c r="CI699">
        <v>1</v>
      </c>
      <c r="CJ699">
        <v>1</v>
      </c>
      <c r="CK699">
        <v>21</v>
      </c>
      <c r="CL699" t="s">
        <v>89</v>
      </c>
    </row>
    <row r="700" spans="1:90">
      <c r="A700" t="s">
        <v>72</v>
      </c>
      <c r="B700" t="s">
        <v>73</v>
      </c>
      <c r="C700" t="s">
        <v>74</v>
      </c>
      <c r="E700" t="str">
        <f>"FES1162721387"</f>
        <v>FES1162721387</v>
      </c>
      <c r="F700" s="3">
        <v>43775</v>
      </c>
      <c r="G700">
        <v>202005</v>
      </c>
      <c r="H700" t="s">
        <v>75</v>
      </c>
      <c r="I700" t="s">
        <v>76</v>
      </c>
      <c r="J700" t="s">
        <v>77</v>
      </c>
      <c r="K700" t="s">
        <v>78</v>
      </c>
      <c r="L700" t="s">
        <v>681</v>
      </c>
      <c r="M700" t="s">
        <v>682</v>
      </c>
      <c r="N700" t="s">
        <v>1222</v>
      </c>
      <c r="O700" t="s">
        <v>82</v>
      </c>
      <c r="P700" t="str">
        <f>"2170715694                    "</f>
        <v xml:space="preserve">2170715694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12.07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 s="4">
        <v>70.95</v>
      </c>
      <c r="BM700" s="4">
        <v>10.64</v>
      </c>
      <c r="BN700" s="4">
        <v>81.59</v>
      </c>
      <c r="BO700" s="4">
        <v>81.59</v>
      </c>
      <c r="BQ700" t="s">
        <v>121</v>
      </c>
      <c r="BR700" t="s">
        <v>84</v>
      </c>
      <c r="BS700" s="3">
        <v>43776</v>
      </c>
      <c r="BT700" s="5">
        <v>0.4375</v>
      </c>
      <c r="BU700" t="s">
        <v>1223</v>
      </c>
      <c r="BV700" t="s">
        <v>86</v>
      </c>
      <c r="BY700">
        <v>1200</v>
      </c>
      <c r="CA700" t="s">
        <v>1224</v>
      </c>
      <c r="CC700" t="s">
        <v>682</v>
      </c>
      <c r="CD700">
        <v>1930</v>
      </c>
      <c r="CE700" t="s">
        <v>147</v>
      </c>
      <c r="CF700" s="3">
        <v>43777</v>
      </c>
      <c r="CI700">
        <v>1</v>
      </c>
      <c r="CJ700">
        <v>1</v>
      </c>
      <c r="CK700">
        <v>24</v>
      </c>
      <c r="CL700" t="s">
        <v>89</v>
      </c>
    </row>
    <row r="701" spans="1:90">
      <c r="A701" t="s">
        <v>72</v>
      </c>
      <c r="B701" t="s">
        <v>73</v>
      </c>
      <c r="C701" t="s">
        <v>74</v>
      </c>
      <c r="E701" t="str">
        <f>"FES1162721374"</f>
        <v>FES1162721374</v>
      </c>
      <c r="F701" s="3">
        <v>43775</v>
      </c>
      <c r="G701">
        <v>202005</v>
      </c>
      <c r="H701" t="s">
        <v>75</v>
      </c>
      <c r="I701" t="s">
        <v>76</v>
      </c>
      <c r="J701" t="s">
        <v>77</v>
      </c>
      <c r="K701" t="s">
        <v>78</v>
      </c>
      <c r="L701" t="s">
        <v>202</v>
      </c>
      <c r="M701" t="s">
        <v>203</v>
      </c>
      <c r="N701" t="s">
        <v>1225</v>
      </c>
      <c r="O701" t="s">
        <v>82</v>
      </c>
      <c r="P701" t="str">
        <f>"2170715676                    "</f>
        <v xml:space="preserve">2170715676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6.71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 s="4">
        <v>39.42</v>
      </c>
      <c r="BM701" s="4">
        <v>5.91</v>
      </c>
      <c r="BN701" s="4">
        <v>45.33</v>
      </c>
      <c r="BO701" s="4">
        <v>45.33</v>
      </c>
      <c r="BQ701" t="s">
        <v>1226</v>
      </c>
      <c r="BR701" t="s">
        <v>84</v>
      </c>
      <c r="BS701" s="3">
        <v>43776</v>
      </c>
      <c r="BT701" s="5">
        <v>0.32569444444444445</v>
      </c>
      <c r="BU701" t="s">
        <v>1227</v>
      </c>
      <c r="BV701" t="s">
        <v>86</v>
      </c>
      <c r="BY701">
        <v>1200</v>
      </c>
      <c r="CA701" t="s">
        <v>1181</v>
      </c>
      <c r="CC701" t="s">
        <v>203</v>
      </c>
      <c r="CD701">
        <v>1401</v>
      </c>
      <c r="CE701" t="s">
        <v>147</v>
      </c>
      <c r="CF701" s="3">
        <v>43777</v>
      </c>
      <c r="CI701">
        <v>1</v>
      </c>
      <c r="CJ701">
        <v>1</v>
      </c>
      <c r="CK701">
        <v>22</v>
      </c>
      <c r="CL701" t="s">
        <v>89</v>
      </c>
    </row>
    <row r="702" spans="1:90">
      <c r="A702" t="s">
        <v>72</v>
      </c>
      <c r="B702" t="s">
        <v>73</v>
      </c>
      <c r="C702" t="s">
        <v>74</v>
      </c>
      <c r="E702" t="str">
        <f>"FES1162721457"</f>
        <v>FES1162721457</v>
      </c>
      <c r="F702" s="3">
        <v>43775</v>
      </c>
      <c r="G702">
        <v>202005</v>
      </c>
      <c r="H702" t="s">
        <v>75</v>
      </c>
      <c r="I702" t="s">
        <v>76</v>
      </c>
      <c r="J702" t="s">
        <v>77</v>
      </c>
      <c r="K702" t="s">
        <v>78</v>
      </c>
      <c r="L702" t="s">
        <v>90</v>
      </c>
      <c r="M702" t="s">
        <v>91</v>
      </c>
      <c r="N702" t="s">
        <v>715</v>
      </c>
      <c r="O702" t="s">
        <v>82</v>
      </c>
      <c r="P702" t="str">
        <f>"2170713677                    "</f>
        <v xml:space="preserve">2170713677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8.58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 s="4">
        <v>50.45</v>
      </c>
      <c r="BM702" s="4">
        <v>7.57</v>
      </c>
      <c r="BN702" s="4">
        <v>58.02</v>
      </c>
      <c r="BO702" s="4">
        <v>58.02</v>
      </c>
      <c r="BQ702" t="s">
        <v>109</v>
      </c>
      <c r="BR702" t="s">
        <v>84</v>
      </c>
      <c r="BS702" s="3">
        <v>43776</v>
      </c>
      <c r="BT702" s="5">
        <v>0.38055555555555554</v>
      </c>
      <c r="BU702" t="s">
        <v>1228</v>
      </c>
      <c r="BV702" t="s">
        <v>86</v>
      </c>
      <c r="BY702">
        <v>1200</v>
      </c>
      <c r="CA702" t="s">
        <v>717</v>
      </c>
      <c r="CC702" t="s">
        <v>91</v>
      </c>
      <c r="CD702">
        <v>7925</v>
      </c>
      <c r="CE702" t="s">
        <v>147</v>
      </c>
      <c r="CF702" s="3">
        <v>43777</v>
      </c>
      <c r="CI702">
        <v>1</v>
      </c>
      <c r="CJ702">
        <v>1</v>
      </c>
      <c r="CK702">
        <v>21</v>
      </c>
      <c r="CL702" t="s">
        <v>89</v>
      </c>
    </row>
    <row r="703" spans="1:90">
      <c r="A703" t="s">
        <v>72</v>
      </c>
      <c r="B703" t="s">
        <v>73</v>
      </c>
      <c r="C703" t="s">
        <v>74</v>
      </c>
      <c r="E703" t="str">
        <f>"FES1162721450"</f>
        <v>FES1162721450</v>
      </c>
      <c r="F703" s="3">
        <v>43775</v>
      </c>
      <c r="G703">
        <v>202005</v>
      </c>
      <c r="H703" t="s">
        <v>75</v>
      </c>
      <c r="I703" t="s">
        <v>76</v>
      </c>
      <c r="J703" t="s">
        <v>77</v>
      </c>
      <c r="K703" t="s">
        <v>78</v>
      </c>
      <c r="L703" t="s">
        <v>90</v>
      </c>
      <c r="M703" t="s">
        <v>91</v>
      </c>
      <c r="N703" t="s">
        <v>576</v>
      </c>
      <c r="O703" t="s">
        <v>82</v>
      </c>
      <c r="P703" t="str">
        <f>"2170713604                    "</f>
        <v xml:space="preserve">2170713604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8.58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 s="4">
        <v>50.45</v>
      </c>
      <c r="BM703" s="4">
        <v>7.57</v>
      </c>
      <c r="BN703" s="4">
        <v>58.02</v>
      </c>
      <c r="BO703" s="4">
        <v>58.02</v>
      </c>
      <c r="BQ703" t="s">
        <v>109</v>
      </c>
      <c r="BR703" t="s">
        <v>84</v>
      </c>
      <c r="BS703" s="3">
        <v>43776</v>
      </c>
      <c r="BT703" s="5">
        <v>0.35416666666666669</v>
      </c>
      <c r="BU703" t="s">
        <v>1145</v>
      </c>
      <c r="BV703" t="s">
        <v>86</v>
      </c>
      <c r="BY703">
        <v>1200</v>
      </c>
      <c r="CA703" t="s">
        <v>1146</v>
      </c>
      <c r="CC703" t="s">
        <v>91</v>
      </c>
      <c r="CD703">
        <v>7441</v>
      </c>
      <c r="CE703" t="s">
        <v>147</v>
      </c>
      <c r="CF703" s="3">
        <v>43777</v>
      </c>
      <c r="CI703">
        <v>1</v>
      </c>
      <c r="CJ703">
        <v>1</v>
      </c>
      <c r="CK703">
        <v>21</v>
      </c>
      <c r="CL703" t="s">
        <v>89</v>
      </c>
    </row>
    <row r="704" spans="1:90">
      <c r="A704" t="s">
        <v>72</v>
      </c>
      <c r="B704" t="s">
        <v>73</v>
      </c>
      <c r="C704" t="s">
        <v>74</v>
      </c>
      <c r="E704" t="str">
        <f>"FES1162721352"</f>
        <v>FES1162721352</v>
      </c>
      <c r="F704" s="3">
        <v>43775</v>
      </c>
      <c r="G704">
        <v>202005</v>
      </c>
      <c r="H704" t="s">
        <v>75</v>
      </c>
      <c r="I704" t="s">
        <v>76</v>
      </c>
      <c r="J704" t="s">
        <v>77</v>
      </c>
      <c r="K704" t="s">
        <v>78</v>
      </c>
      <c r="L704" t="s">
        <v>482</v>
      </c>
      <c r="M704" t="s">
        <v>483</v>
      </c>
      <c r="N704" t="s">
        <v>1054</v>
      </c>
      <c r="O704" t="s">
        <v>82</v>
      </c>
      <c r="P704" t="str">
        <f>"2170715652                    "</f>
        <v xml:space="preserve">2170715652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6.71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 s="4">
        <v>39.42</v>
      </c>
      <c r="BM704" s="4">
        <v>5.91</v>
      </c>
      <c r="BN704" s="4">
        <v>45.33</v>
      </c>
      <c r="BO704" s="4">
        <v>45.33</v>
      </c>
      <c r="BQ704" t="s">
        <v>109</v>
      </c>
      <c r="BR704" t="s">
        <v>84</v>
      </c>
      <c r="BS704" s="3">
        <v>43776</v>
      </c>
      <c r="BT704" s="5">
        <v>0.36388888888888887</v>
      </c>
      <c r="BU704" t="s">
        <v>1055</v>
      </c>
      <c r="BV704" t="s">
        <v>86</v>
      </c>
      <c r="BY704">
        <v>1200</v>
      </c>
      <c r="CA704" t="s">
        <v>486</v>
      </c>
      <c r="CC704" t="s">
        <v>483</v>
      </c>
      <c r="CD704">
        <v>1459</v>
      </c>
      <c r="CE704" t="s">
        <v>147</v>
      </c>
      <c r="CF704" s="3">
        <v>43777</v>
      </c>
      <c r="CI704">
        <v>1</v>
      </c>
      <c r="CJ704">
        <v>1</v>
      </c>
      <c r="CK704">
        <v>22</v>
      </c>
      <c r="CL704" t="s">
        <v>89</v>
      </c>
    </row>
    <row r="705" spans="1:90">
      <c r="A705" t="s">
        <v>72</v>
      </c>
      <c r="B705" t="s">
        <v>73</v>
      </c>
      <c r="C705" t="s">
        <v>74</v>
      </c>
      <c r="E705" t="str">
        <f>"FES1162721328"</f>
        <v>FES1162721328</v>
      </c>
      <c r="F705" s="3">
        <v>43775</v>
      </c>
      <c r="G705">
        <v>202005</v>
      </c>
      <c r="H705" t="s">
        <v>75</v>
      </c>
      <c r="I705" t="s">
        <v>76</v>
      </c>
      <c r="J705" t="s">
        <v>77</v>
      </c>
      <c r="K705" t="s">
        <v>78</v>
      </c>
      <c r="L705" t="s">
        <v>482</v>
      </c>
      <c r="M705" t="s">
        <v>483</v>
      </c>
      <c r="N705" t="s">
        <v>1054</v>
      </c>
      <c r="O705" t="s">
        <v>82</v>
      </c>
      <c r="P705" t="str">
        <f>"2170715626                    "</f>
        <v xml:space="preserve">2170715626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6.71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 s="4">
        <v>39.42</v>
      </c>
      <c r="BM705" s="4">
        <v>5.91</v>
      </c>
      <c r="BN705" s="4">
        <v>45.33</v>
      </c>
      <c r="BO705" s="4">
        <v>45.33</v>
      </c>
      <c r="BQ705" t="s">
        <v>109</v>
      </c>
      <c r="BR705" t="s">
        <v>84</v>
      </c>
      <c r="BS705" s="3">
        <v>43776</v>
      </c>
      <c r="BT705" s="5">
        <v>0.36388888888888887</v>
      </c>
      <c r="BU705" t="s">
        <v>1055</v>
      </c>
      <c r="BV705" t="s">
        <v>86</v>
      </c>
      <c r="BY705">
        <v>1200</v>
      </c>
      <c r="CA705" t="s">
        <v>486</v>
      </c>
      <c r="CC705" t="s">
        <v>483</v>
      </c>
      <c r="CD705">
        <v>1459</v>
      </c>
      <c r="CE705" t="s">
        <v>147</v>
      </c>
      <c r="CF705" s="3">
        <v>43777</v>
      </c>
      <c r="CI705">
        <v>1</v>
      </c>
      <c r="CJ705">
        <v>1</v>
      </c>
      <c r="CK705">
        <v>22</v>
      </c>
      <c r="CL705" t="s">
        <v>89</v>
      </c>
    </row>
    <row r="706" spans="1:90">
      <c r="A706" t="s">
        <v>72</v>
      </c>
      <c r="B706" t="s">
        <v>73</v>
      </c>
      <c r="C706" t="s">
        <v>74</v>
      </c>
      <c r="E706" t="str">
        <f>"FES1162721413"</f>
        <v>FES1162721413</v>
      </c>
      <c r="F706" s="3">
        <v>43775</v>
      </c>
      <c r="G706">
        <v>202005</v>
      </c>
      <c r="H706" t="s">
        <v>75</v>
      </c>
      <c r="I706" t="s">
        <v>76</v>
      </c>
      <c r="J706" t="s">
        <v>77</v>
      </c>
      <c r="K706" t="s">
        <v>78</v>
      </c>
      <c r="L706" t="s">
        <v>90</v>
      </c>
      <c r="M706" t="s">
        <v>91</v>
      </c>
      <c r="N706" t="s">
        <v>538</v>
      </c>
      <c r="O706" t="s">
        <v>82</v>
      </c>
      <c r="P706" t="str">
        <f>"2170712285                    "</f>
        <v xml:space="preserve">2170712285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8.58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 s="4">
        <v>50.45</v>
      </c>
      <c r="BM706" s="4">
        <v>7.57</v>
      </c>
      <c r="BN706" s="4">
        <v>58.02</v>
      </c>
      <c r="BO706" s="4">
        <v>58.02</v>
      </c>
      <c r="BQ706" t="s">
        <v>109</v>
      </c>
      <c r="BR706" t="s">
        <v>84</v>
      </c>
      <c r="BS706" s="3">
        <v>43776</v>
      </c>
      <c r="BT706" s="5">
        <v>0.3263888888888889</v>
      </c>
      <c r="BU706" t="s">
        <v>1024</v>
      </c>
      <c r="BV706" t="s">
        <v>86</v>
      </c>
      <c r="BY706">
        <v>1200</v>
      </c>
      <c r="CA706" t="s">
        <v>540</v>
      </c>
      <c r="CC706" t="s">
        <v>91</v>
      </c>
      <c r="CD706">
        <v>7530</v>
      </c>
      <c r="CE706" t="s">
        <v>147</v>
      </c>
      <c r="CF706" s="3">
        <v>43777</v>
      </c>
      <c r="CI706">
        <v>1</v>
      </c>
      <c r="CJ706">
        <v>1</v>
      </c>
      <c r="CK706">
        <v>21</v>
      </c>
      <c r="CL706" t="s">
        <v>89</v>
      </c>
    </row>
    <row r="707" spans="1:90">
      <c r="A707" t="s">
        <v>72</v>
      </c>
      <c r="B707" t="s">
        <v>73</v>
      </c>
      <c r="C707" t="s">
        <v>74</v>
      </c>
      <c r="E707" t="str">
        <f>"FES1162721551"</f>
        <v>FES1162721551</v>
      </c>
      <c r="F707" s="3">
        <v>43775</v>
      </c>
      <c r="G707">
        <v>202005</v>
      </c>
      <c r="H707" t="s">
        <v>75</v>
      </c>
      <c r="I707" t="s">
        <v>76</v>
      </c>
      <c r="J707" t="s">
        <v>77</v>
      </c>
      <c r="K707" t="s">
        <v>78</v>
      </c>
      <c r="L707" t="s">
        <v>578</v>
      </c>
      <c r="M707" t="s">
        <v>579</v>
      </c>
      <c r="N707" t="s">
        <v>1020</v>
      </c>
      <c r="O707" t="s">
        <v>82</v>
      </c>
      <c r="P707" t="str">
        <f>"2170713465                    "</f>
        <v xml:space="preserve">2170713465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8.58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 s="4">
        <v>50.45</v>
      </c>
      <c r="BM707" s="4">
        <v>7.57</v>
      </c>
      <c r="BN707" s="4">
        <v>58.02</v>
      </c>
      <c r="BO707" s="4">
        <v>58.02</v>
      </c>
      <c r="BQ707" t="s">
        <v>121</v>
      </c>
      <c r="BR707" t="s">
        <v>84</v>
      </c>
      <c r="BS707" s="3">
        <v>43776</v>
      </c>
      <c r="BT707" s="5">
        <v>0.35347222222222219</v>
      </c>
      <c r="BU707" t="s">
        <v>1229</v>
      </c>
      <c r="BV707" t="s">
        <v>86</v>
      </c>
      <c r="BY707">
        <v>1200</v>
      </c>
      <c r="CA707" t="s">
        <v>1022</v>
      </c>
      <c r="CC707" t="s">
        <v>579</v>
      </c>
      <c r="CD707">
        <v>7600</v>
      </c>
      <c r="CE707" t="s">
        <v>147</v>
      </c>
      <c r="CF707" s="3">
        <v>43777</v>
      </c>
      <c r="CI707">
        <v>1</v>
      </c>
      <c r="CJ707">
        <v>1</v>
      </c>
      <c r="CK707">
        <v>21</v>
      </c>
      <c r="CL707" t="s">
        <v>89</v>
      </c>
    </row>
    <row r="708" spans="1:90">
      <c r="A708" t="s">
        <v>72</v>
      </c>
      <c r="B708" t="s">
        <v>73</v>
      </c>
      <c r="C708" t="s">
        <v>74</v>
      </c>
      <c r="E708" t="str">
        <f>"FES1162721519"</f>
        <v>FES1162721519</v>
      </c>
      <c r="F708" s="3">
        <v>43775</v>
      </c>
      <c r="G708">
        <v>202005</v>
      </c>
      <c r="H708" t="s">
        <v>75</v>
      </c>
      <c r="I708" t="s">
        <v>76</v>
      </c>
      <c r="J708" t="s">
        <v>77</v>
      </c>
      <c r="K708" t="s">
        <v>78</v>
      </c>
      <c r="L708" t="s">
        <v>214</v>
      </c>
      <c r="M708" t="s">
        <v>214</v>
      </c>
      <c r="N708" t="s">
        <v>403</v>
      </c>
      <c r="O708" t="s">
        <v>82</v>
      </c>
      <c r="P708" t="str">
        <f>"2170715184                    "</f>
        <v xml:space="preserve">2170715184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16.63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 s="4">
        <v>97.75</v>
      </c>
      <c r="BM708" s="4">
        <v>14.66</v>
      </c>
      <c r="BN708" s="4">
        <v>112.41</v>
      </c>
      <c r="BO708" s="4">
        <v>112.41</v>
      </c>
      <c r="BQ708" t="s">
        <v>121</v>
      </c>
      <c r="BR708" t="s">
        <v>84</v>
      </c>
      <c r="BS708" s="3">
        <v>43776</v>
      </c>
      <c r="BT708" s="5">
        <v>0.46111111111111108</v>
      </c>
      <c r="BU708" t="s">
        <v>1150</v>
      </c>
      <c r="BV708" t="s">
        <v>86</v>
      </c>
      <c r="BY708">
        <v>1200</v>
      </c>
      <c r="CA708" t="s">
        <v>217</v>
      </c>
      <c r="CC708" t="s">
        <v>214</v>
      </c>
      <c r="CD708">
        <v>7646</v>
      </c>
      <c r="CE708" t="s">
        <v>147</v>
      </c>
      <c r="CF708" s="3">
        <v>43777</v>
      </c>
      <c r="CI708">
        <v>1</v>
      </c>
      <c r="CJ708">
        <v>1</v>
      </c>
      <c r="CK708">
        <v>23</v>
      </c>
      <c r="CL708" t="s">
        <v>89</v>
      </c>
    </row>
    <row r="709" spans="1:90">
      <c r="A709" t="s">
        <v>72</v>
      </c>
      <c r="B709" t="s">
        <v>73</v>
      </c>
      <c r="C709" t="s">
        <v>74</v>
      </c>
      <c r="E709" t="str">
        <f>"FES1162721429"</f>
        <v>FES1162721429</v>
      </c>
      <c r="F709" s="3">
        <v>43775</v>
      </c>
      <c r="G709">
        <v>202005</v>
      </c>
      <c r="H709" t="s">
        <v>75</v>
      </c>
      <c r="I709" t="s">
        <v>76</v>
      </c>
      <c r="J709" t="s">
        <v>77</v>
      </c>
      <c r="K709" t="s">
        <v>78</v>
      </c>
      <c r="L709" t="s">
        <v>578</v>
      </c>
      <c r="M709" t="s">
        <v>579</v>
      </c>
      <c r="N709" t="s">
        <v>1020</v>
      </c>
      <c r="O709" t="s">
        <v>82</v>
      </c>
      <c r="P709" t="str">
        <f>"2170713465                    "</f>
        <v xml:space="preserve">2170713465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8.58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 s="4">
        <v>50.45</v>
      </c>
      <c r="BM709" s="4">
        <v>7.57</v>
      </c>
      <c r="BN709" s="4">
        <v>58.02</v>
      </c>
      <c r="BO709" s="4">
        <v>58.02</v>
      </c>
      <c r="BQ709" t="s">
        <v>121</v>
      </c>
      <c r="BR709" t="s">
        <v>84</v>
      </c>
      <c r="BS709" s="3">
        <v>43776</v>
      </c>
      <c r="BT709" s="5">
        <v>0.3527777777777778</v>
      </c>
      <c r="BU709" t="s">
        <v>1021</v>
      </c>
      <c r="BV709" t="s">
        <v>86</v>
      </c>
      <c r="BY709">
        <v>1200</v>
      </c>
      <c r="CA709" t="s">
        <v>1022</v>
      </c>
      <c r="CC709" t="s">
        <v>579</v>
      </c>
      <c r="CD709">
        <v>7600</v>
      </c>
      <c r="CE709" t="s">
        <v>147</v>
      </c>
      <c r="CF709" s="3">
        <v>43777</v>
      </c>
      <c r="CI709">
        <v>1</v>
      </c>
      <c r="CJ709">
        <v>1</v>
      </c>
      <c r="CK709">
        <v>21</v>
      </c>
      <c r="CL709" t="s">
        <v>89</v>
      </c>
    </row>
    <row r="710" spans="1:90">
      <c r="A710" t="s">
        <v>72</v>
      </c>
      <c r="B710" t="s">
        <v>73</v>
      </c>
      <c r="C710" t="s">
        <v>74</v>
      </c>
      <c r="E710" t="str">
        <f>"FES1162721396"</f>
        <v>FES1162721396</v>
      </c>
      <c r="F710" s="3">
        <v>43775</v>
      </c>
      <c r="G710">
        <v>202005</v>
      </c>
      <c r="H710" t="s">
        <v>75</v>
      </c>
      <c r="I710" t="s">
        <v>76</v>
      </c>
      <c r="J710" t="s">
        <v>77</v>
      </c>
      <c r="K710" t="s">
        <v>78</v>
      </c>
      <c r="L710" t="s">
        <v>90</v>
      </c>
      <c r="M710" t="s">
        <v>91</v>
      </c>
      <c r="N710" t="s">
        <v>527</v>
      </c>
      <c r="O710" t="s">
        <v>82</v>
      </c>
      <c r="P710" t="str">
        <f>"2170715700                    "</f>
        <v xml:space="preserve">2170715700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8.58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 s="4">
        <v>50.45</v>
      </c>
      <c r="BM710" s="4">
        <v>7.57</v>
      </c>
      <c r="BN710" s="4">
        <v>58.02</v>
      </c>
      <c r="BO710" s="4">
        <v>58.02</v>
      </c>
      <c r="BQ710" t="s">
        <v>109</v>
      </c>
      <c r="BR710" t="s">
        <v>84</v>
      </c>
      <c r="BS710" s="3">
        <v>43776</v>
      </c>
      <c r="BT710" s="5">
        <v>0.32083333333333336</v>
      </c>
      <c r="BU710" t="s">
        <v>1073</v>
      </c>
      <c r="BV710" t="s">
        <v>86</v>
      </c>
      <c r="BY710">
        <v>1200</v>
      </c>
      <c r="CA710" t="s">
        <v>221</v>
      </c>
      <c r="CC710" t="s">
        <v>91</v>
      </c>
      <c r="CD710">
        <v>7405</v>
      </c>
      <c r="CE710" t="s">
        <v>147</v>
      </c>
      <c r="CF710" s="3">
        <v>43777</v>
      </c>
      <c r="CI710">
        <v>1</v>
      </c>
      <c r="CJ710">
        <v>1</v>
      </c>
      <c r="CK710">
        <v>21</v>
      </c>
      <c r="CL710" t="s">
        <v>89</v>
      </c>
    </row>
    <row r="711" spans="1:90">
      <c r="A711" t="s">
        <v>72</v>
      </c>
      <c r="B711" t="s">
        <v>73</v>
      </c>
      <c r="C711" t="s">
        <v>74</v>
      </c>
      <c r="E711" t="str">
        <f>"FES1162721576"</f>
        <v>FES1162721576</v>
      </c>
      <c r="F711" s="3">
        <v>43775</v>
      </c>
      <c r="G711">
        <v>202005</v>
      </c>
      <c r="H711" t="s">
        <v>75</v>
      </c>
      <c r="I711" t="s">
        <v>76</v>
      </c>
      <c r="J711" t="s">
        <v>77</v>
      </c>
      <c r="K711" t="s">
        <v>78</v>
      </c>
      <c r="L711" t="s">
        <v>214</v>
      </c>
      <c r="M711" t="s">
        <v>214</v>
      </c>
      <c r="N711" t="s">
        <v>312</v>
      </c>
      <c r="O711" t="s">
        <v>82</v>
      </c>
      <c r="P711" t="str">
        <f>"2170715476                    "</f>
        <v xml:space="preserve">2170715476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16.63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 s="4">
        <v>97.75</v>
      </c>
      <c r="BM711" s="4">
        <v>14.66</v>
      </c>
      <c r="BN711" s="4">
        <v>112.41</v>
      </c>
      <c r="BO711" s="4">
        <v>112.41</v>
      </c>
      <c r="BQ711" t="s">
        <v>121</v>
      </c>
      <c r="BR711" t="s">
        <v>84</v>
      </c>
      <c r="BS711" s="3">
        <v>43776</v>
      </c>
      <c r="BT711" s="5">
        <v>0.47152777777777777</v>
      </c>
      <c r="BU711" t="s">
        <v>313</v>
      </c>
      <c r="BV711" t="s">
        <v>86</v>
      </c>
      <c r="BY711">
        <v>1200</v>
      </c>
      <c r="CA711" t="s">
        <v>217</v>
      </c>
      <c r="CC711" t="s">
        <v>214</v>
      </c>
      <c r="CD711">
        <v>7646</v>
      </c>
      <c r="CE711" t="s">
        <v>147</v>
      </c>
      <c r="CF711" s="3">
        <v>43777</v>
      </c>
      <c r="CI711">
        <v>1</v>
      </c>
      <c r="CJ711">
        <v>1</v>
      </c>
      <c r="CK711">
        <v>23</v>
      </c>
      <c r="CL711" t="s">
        <v>89</v>
      </c>
    </row>
    <row r="712" spans="1:90">
      <c r="A712" t="s">
        <v>72</v>
      </c>
      <c r="B712" t="s">
        <v>73</v>
      </c>
      <c r="C712" t="s">
        <v>74</v>
      </c>
      <c r="E712" t="str">
        <f>"FES1162721467"</f>
        <v>FES1162721467</v>
      </c>
      <c r="F712" s="3">
        <v>43775</v>
      </c>
      <c r="G712">
        <v>202005</v>
      </c>
      <c r="H712" t="s">
        <v>75</v>
      </c>
      <c r="I712" t="s">
        <v>76</v>
      </c>
      <c r="J712" t="s">
        <v>77</v>
      </c>
      <c r="K712" t="s">
        <v>78</v>
      </c>
      <c r="L712" t="s">
        <v>349</v>
      </c>
      <c r="M712" t="s">
        <v>350</v>
      </c>
      <c r="N712" t="s">
        <v>351</v>
      </c>
      <c r="O712" t="s">
        <v>82</v>
      </c>
      <c r="P712" t="str">
        <f>"217071317                     "</f>
        <v xml:space="preserve">217071317 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8.58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 s="4">
        <v>50.45</v>
      </c>
      <c r="BM712" s="4">
        <v>7.57</v>
      </c>
      <c r="BN712" s="4">
        <v>58.02</v>
      </c>
      <c r="BO712" s="4">
        <v>58.02</v>
      </c>
      <c r="BQ712" t="s">
        <v>109</v>
      </c>
      <c r="BR712" t="s">
        <v>84</v>
      </c>
      <c r="BS712" s="3">
        <v>43776</v>
      </c>
      <c r="BT712" s="5">
        <v>0.37916666666666665</v>
      </c>
      <c r="BU712" t="s">
        <v>352</v>
      </c>
      <c r="BV712" t="s">
        <v>86</v>
      </c>
      <c r="BY712">
        <v>1200</v>
      </c>
      <c r="CC712" t="s">
        <v>350</v>
      </c>
      <c r="CD712">
        <v>6536</v>
      </c>
      <c r="CE712" t="s">
        <v>147</v>
      </c>
      <c r="CF712" s="3">
        <v>43780</v>
      </c>
      <c r="CI712">
        <v>1</v>
      </c>
      <c r="CJ712">
        <v>1</v>
      </c>
      <c r="CK712">
        <v>21</v>
      </c>
      <c r="CL712" t="s">
        <v>89</v>
      </c>
    </row>
    <row r="713" spans="1:90">
      <c r="A713" t="s">
        <v>72</v>
      </c>
      <c r="B713" t="s">
        <v>73</v>
      </c>
      <c r="C713" t="s">
        <v>74</v>
      </c>
      <c r="E713" t="str">
        <f>"FES1162721411"</f>
        <v>FES1162721411</v>
      </c>
      <c r="F713" s="3">
        <v>43775</v>
      </c>
      <c r="G713">
        <v>202005</v>
      </c>
      <c r="H713" t="s">
        <v>75</v>
      </c>
      <c r="I713" t="s">
        <v>76</v>
      </c>
      <c r="J713" t="s">
        <v>77</v>
      </c>
      <c r="K713" t="s">
        <v>78</v>
      </c>
      <c r="L713" t="s">
        <v>214</v>
      </c>
      <c r="M713" t="s">
        <v>214</v>
      </c>
      <c r="N713" t="s">
        <v>592</v>
      </c>
      <c r="O713" t="s">
        <v>82</v>
      </c>
      <c r="P713" t="str">
        <f>"2170712079                    "</f>
        <v xml:space="preserve">2170712079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16.63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 s="4">
        <v>97.75</v>
      </c>
      <c r="BM713" s="4">
        <v>14.66</v>
      </c>
      <c r="BN713" s="4">
        <v>112.41</v>
      </c>
      <c r="BO713" s="4">
        <v>112.41</v>
      </c>
      <c r="BR713" t="s">
        <v>84</v>
      </c>
      <c r="BS713" s="3">
        <v>43776</v>
      </c>
      <c r="BT713" s="5">
        <v>0.48125000000000001</v>
      </c>
      <c r="BU713" t="s">
        <v>1230</v>
      </c>
      <c r="BV713" t="s">
        <v>86</v>
      </c>
      <c r="BY713">
        <v>1200</v>
      </c>
      <c r="CA713" t="s">
        <v>217</v>
      </c>
      <c r="CC713" t="s">
        <v>214</v>
      </c>
      <c r="CD713">
        <v>7646</v>
      </c>
      <c r="CE713" t="s">
        <v>147</v>
      </c>
      <c r="CF713" s="3">
        <v>43777</v>
      </c>
      <c r="CI713">
        <v>1</v>
      </c>
      <c r="CJ713">
        <v>1</v>
      </c>
      <c r="CK713">
        <v>23</v>
      </c>
      <c r="CL713" t="s">
        <v>89</v>
      </c>
    </row>
    <row r="714" spans="1:90">
      <c r="A714" t="s">
        <v>72</v>
      </c>
      <c r="B714" t="s">
        <v>73</v>
      </c>
      <c r="C714" t="s">
        <v>74</v>
      </c>
      <c r="E714" t="str">
        <f>"FES1162721395"</f>
        <v>FES1162721395</v>
      </c>
      <c r="F714" s="3">
        <v>43775</v>
      </c>
      <c r="G714">
        <v>202005</v>
      </c>
      <c r="H714" t="s">
        <v>75</v>
      </c>
      <c r="I714" t="s">
        <v>76</v>
      </c>
      <c r="J714" t="s">
        <v>77</v>
      </c>
      <c r="K714" t="s">
        <v>78</v>
      </c>
      <c r="L714" t="s">
        <v>214</v>
      </c>
      <c r="M714" t="s">
        <v>214</v>
      </c>
      <c r="N714" t="s">
        <v>403</v>
      </c>
      <c r="O714" t="s">
        <v>82</v>
      </c>
      <c r="P714" t="str">
        <f>"2170713496                    "</f>
        <v xml:space="preserve">2170713496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16.63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 s="4">
        <v>97.75</v>
      </c>
      <c r="BM714" s="4">
        <v>14.66</v>
      </c>
      <c r="BN714" s="4">
        <v>112.41</v>
      </c>
      <c r="BO714" s="4">
        <v>112.41</v>
      </c>
      <c r="BQ714" t="s">
        <v>121</v>
      </c>
      <c r="BR714" t="s">
        <v>84</v>
      </c>
      <c r="BS714" s="3">
        <v>43776</v>
      </c>
      <c r="BT714" s="5">
        <v>0.46111111111111108</v>
      </c>
      <c r="BU714" t="s">
        <v>1150</v>
      </c>
      <c r="BV714" t="s">
        <v>86</v>
      </c>
      <c r="BY714">
        <v>1200</v>
      </c>
      <c r="CA714" t="s">
        <v>217</v>
      </c>
      <c r="CC714" t="s">
        <v>214</v>
      </c>
      <c r="CD714">
        <v>7646</v>
      </c>
      <c r="CE714" t="s">
        <v>147</v>
      </c>
      <c r="CF714" s="3">
        <v>43777</v>
      </c>
      <c r="CI714">
        <v>1</v>
      </c>
      <c r="CJ714">
        <v>1</v>
      </c>
      <c r="CK714">
        <v>23</v>
      </c>
      <c r="CL714" t="s">
        <v>89</v>
      </c>
    </row>
    <row r="715" spans="1:90">
      <c r="A715" t="s">
        <v>72</v>
      </c>
      <c r="B715" t="s">
        <v>73</v>
      </c>
      <c r="C715" t="s">
        <v>74</v>
      </c>
      <c r="E715" t="str">
        <f>"FES1162721401"</f>
        <v>FES1162721401</v>
      </c>
      <c r="F715" s="3">
        <v>43775</v>
      </c>
      <c r="G715">
        <v>202005</v>
      </c>
      <c r="H715" t="s">
        <v>75</v>
      </c>
      <c r="I715" t="s">
        <v>76</v>
      </c>
      <c r="J715" t="s">
        <v>77</v>
      </c>
      <c r="K715" t="s">
        <v>78</v>
      </c>
      <c r="L715" t="s">
        <v>90</v>
      </c>
      <c r="M715" t="s">
        <v>91</v>
      </c>
      <c r="N715" t="s">
        <v>1231</v>
      </c>
      <c r="O715" t="s">
        <v>82</v>
      </c>
      <c r="P715" t="str">
        <f>"2170715575                    "</f>
        <v xml:space="preserve">2170715575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8.58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 s="4">
        <v>50.45</v>
      </c>
      <c r="BM715" s="4">
        <v>7.57</v>
      </c>
      <c r="BN715" s="4">
        <v>58.02</v>
      </c>
      <c r="BO715" s="4">
        <v>58.02</v>
      </c>
      <c r="BQ715" t="s">
        <v>246</v>
      </c>
      <c r="BR715" t="s">
        <v>84</v>
      </c>
      <c r="BS715" s="3">
        <v>43776</v>
      </c>
      <c r="BT715" s="5">
        <v>0.35000000000000003</v>
      </c>
      <c r="BU715" t="s">
        <v>1232</v>
      </c>
      <c r="BV715" t="s">
        <v>86</v>
      </c>
      <c r="BY715">
        <v>1200</v>
      </c>
      <c r="CA715" t="s">
        <v>329</v>
      </c>
      <c r="CC715" t="s">
        <v>91</v>
      </c>
      <c r="CD715">
        <v>7405</v>
      </c>
      <c r="CE715" t="s">
        <v>147</v>
      </c>
      <c r="CF715" s="3">
        <v>43777</v>
      </c>
      <c r="CI715">
        <v>1</v>
      </c>
      <c r="CJ715">
        <v>1</v>
      </c>
      <c r="CK715">
        <v>21</v>
      </c>
      <c r="CL715" t="s">
        <v>89</v>
      </c>
    </row>
    <row r="716" spans="1:90">
      <c r="A716" t="s">
        <v>72</v>
      </c>
      <c r="B716" t="s">
        <v>73</v>
      </c>
      <c r="C716" t="s">
        <v>74</v>
      </c>
      <c r="E716" t="str">
        <f>"FES1162721437"</f>
        <v>FES1162721437</v>
      </c>
      <c r="F716" s="3">
        <v>43775</v>
      </c>
      <c r="G716">
        <v>202005</v>
      </c>
      <c r="H716" t="s">
        <v>75</v>
      </c>
      <c r="I716" t="s">
        <v>76</v>
      </c>
      <c r="J716" t="s">
        <v>77</v>
      </c>
      <c r="K716" t="s">
        <v>78</v>
      </c>
      <c r="L716" t="s">
        <v>90</v>
      </c>
      <c r="M716" t="s">
        <v>91</v>
      </c>
      <c r="N716" t="s">
        <v>576</v>
      </c>
      <c r="O716" t="s">
        <v>82</v>
      </c>
      <c r="P716" t="str">
        <f>"2170713522                    "</f>
        <v xml:space="preserve">2170713522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8.58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 s="4">
        <v>50.45</v>
      </c>
      <c r="BM716" s="4">
        <v>7.57</v>
      </c>
      <c r="BN716" s="4">
        <v>58.02</v>
      </c>
      <c r="BO716" s="4">
        <v>58.02</v>
      </c>
      <c r="BQ716" t="s">
        <v>109</v>
      </c>
      <c r="BR716" t="s">
        <v>84</v>
      </c>
      <c r="BS716" s="3">
        <v>43776</v>
      </c>
      <c r="BT716" s="5">
        <v>0.35416666666666669</v>
      </c>
      <c r="BU716" t="s">
        <v>1145</v>
      </c>
      <c r="BV716" t="s">
        <v>86</v>
      </c>
      <c r="BY716">
        <v>1200</v>
      </c>
      <c r="CA716" t="s">
        <v>1146</v>
      </c>
      <c r="CC716" t="s">
        <v>91</v>
      </c>
      <c r="CD716">
        <v>7441</v>
      </c>
      <c r="CE716" t="s">
        <v>147</v>
      </c>
      <c r="CF716" s="3">
        <v>43777</v>
      </c>
      <c r="CI716">
        <v>1</v>
      </c>
      <c r="CJ716">
        <v>1</v>
      </c>
      <c r="CK716">
        <v>21</v>
      </c>
      <c r="CL716" t="s">
        <v>89</v>
      </c>
    </row>
    <row r="717" spans="1:90">
      <c r="A717" t="s">
        <v>72</v>
      </c>
      <c r="B717" t="s">
        <v>73</v>
      </c>
      <c r="C717" t="s">
        <v>74</v>
      </c>
      <c r="E717" t="str">
        <f>"FES1162721562"</f>
        <v>FES1162721562</v>
      </c>
      <c r="F717" s="3">
        <v>43775</v>
      </c>
      <c r="G717">
        <v>202005</v>
      </c>
      <c r="H717" t="s">
        <v>75</v>
      </c>
      <c r="I717" t="s">
        <v>76</v>
      </c>
      <c r="J717" t="s">
        <v>77</v>
      </c>
      <c r="K717" t="s">
        <v>78</v>
      </c>
      <c r="L717" t="s">
        <v>90</v>
      </c>
      <c r="M717" t="s">
        <v>91</v>
      </c>
      <c r="N717" t="s">
        <v>538</v>
      </c>
      <c r="O717" t="s">
        <v>82</v>
      </c>
      <c r="P717" t="str">
        <f>"2170715742                    "</f>
        <v xml:space="preserve">2170715742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8.58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 s="4">
        <v>50.45</v>
      </c>
      <c r="BM717" s="4">
        <v>7.57</v>
      </c>
      <c r="BN717" s="4">
        <v>58.02</v>
      </c>
      <c r="BO717" s="4">
        <v>58.02</v>
      </c>
      <c r="BQ717" t="s">
        <v>109</v>
      </c>
      <c r="BR717" t="s">
        <v>84</v>
      </c>
      <c r="BS717" s="3">
        <v>43776</v>
      </c>
      <c r="BT717" s="5">
        <v>0.3263888888888889</v>
      </c>
      <c r="BU717" t="s">
        <v>1024</v>
      </c>
      <c r="BV717" t="s">
        <v>86</v>
      </c>
      <c r="BY717">
        <v>1200</v>
      </c>
      <c r="CA717" t="s">
        <v>540</v>
      </c>
      <c r="CC717" t="s">
        <v>91</v>
      </c>
      <c r="CD717">
        <v>7530</v>
      </c>
      <c r="CE717" t="s">
        <v>147</v>
      </c>
      <c r="CF717" s="3">
        <v>43777</v>
      </c>
      <c r="CI717">
        <v>1</v>
      </c>
      <c r="CJ717">
        <v>1</v>
      </c>
      <c r="CK717">
        <v>21</v>
      </c>
      <c r="CL717" t="s">
        <v>89</v>
      </c>
    </row>
    <row r="718" spans="1:90">
      <c r="A718" t="s">
        <v>72</v>
      </c>
      <c r="B718" t="s">
        <v>73</v>
      </c>
      <c r="C718" t="s">
        <v>74</v>
      </c>
      <c r="E718" t="str">
        <f>"FES1162721588"</f>
        <v>FES1162721588</v>
      </c>
      <c r="F718" s="3">
        <v>43775</v>
      </c>
      <c r="G718">
        <v>202005</v>
      </c>
      <c r="H718" t="s">
        <v>75</v>
      </c>
      <c r="I718" t="s">
        <v>76</v>
      </c>
      <c r="J718" t="s">
        <v>77</v>
      </c>
      <c r="K718" t="s">
        <v>78</v>
      </c>
      <c r="L718" t="s">
        <v>90</v>
      </c>
      <c r="M718" t="s">
        <v>91</v>
      </c>
      <c r="N718" t="s">
        <v>401</v>
      </c>
      <c r="O718" t="s">
        <v>82</v>
      </c>
      <c r="P718" t="str">
        <f>"21707145706                   "</f>
        <v xml:space="preserve">21707145706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8.58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 s="4">
        <v>50.45</v>
      </c>
      <c r="BM718" s="4">
        <v>7.57</v>
      </c>
      <c r="BN718" s="4">
        <v>58.02</v>
      </c>
      <c r="BO718" s="4">
        <v>58.02</v>
      </c>
      <c r="BQ718" t="s">
        <v>109</v>
      </c>
      <c r="BR718" t="s">
        <v>84</v>
      </c>
      <c r="BS718" s="3">
        <v>43776</v>
      </c>
      <c r="BT718" s="5">
        <v>0.33680555555555558</v>
      </c>
      <c r="BU718" t="s">
        <v>1019</v>
      </c>
      <c r="BV718" t="s">
        <v>86</v>
      </c>
      <c r="BY718">
        <v>1200</v>
      </c>
      <c r="CA718" t="s">
        <v>221</v>
      </c>
      <c r="CC718" t="s">
        <v>91</v>
      </c>
      <c r="CD718">
        <v>7441</v>
      </c>
      <c r="CE718" t="s">
        <v>147</v>
      </c>
      <c r="CF718" s="3">
        <v>43777</v>
      </c>
      <c r="CI718">
        <v>1</v>
      </c>
      <c r="CJ718">
        <v>1</v>
      </c>
      <c r="CK718">
        <v>21</v>
      </c>
      <c r="CL718" t="s">
        <v>89</v>
      </c>
    </row>
    <row r="719" spans="1:90">
      <c r="A719" t="s">
        <v>72</v>
      </c>
      <c r="B719" t="s">
        <v>73</v>
      </c>
      <c r="C719" t="s">
        <v>74</v>
      </c>
      <c r="E719" t="str">
        <f>"FES1162721424"</f>
        <v>FES1162721424</v>
      </c>
      <c r="F719" s="3">
        <v>43775</v>
      </c>
      <c r="G719">
        <v>202005</v>
      </c>
      <c r="H719" t="s">
        <v>75</v>
      </c>
      <c r="I719" t="s">
        <v>76</v>
      </c>
      <c r="J719" t="s">
        <v>77</v>
      </c>
      <c r="K719" t="s">
        <v>78</v>
      </c>
      <c r="L719" t="s">
        <v>79</v>
      </c>
      <c r="M719" t="s">
        <v>80</v>
      </c>
      <c r="N719" t="s">
        <v>1233</v>
      </c>
      <c r="O719" t="s">
        <v>82</v>
      </c>
      <c r="P719" t="str">
        <f>"2170713425                    "</f>
        <v xml:space="preserve">2170713425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8.58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 s="4">
        <v>50.45</v>
      </c>
      <c r="BM719" s="4">
        <v>7.57</v>
      </c>
      <c r="BN719" s="4">
        <v>58.02</v>
      </c>
      <c r="BO719" s="4">
        <v>58.02</v>
      </c>
      <c r="BQ719" t="s">
        <v>142</v>
      </c>
      <c r="BR719" t="s">
        <v>84</v>
      </c>
      <c r="BS719" s="3">
        <v>43776</v>
      </c>
      <c r="BT719" s="5">
        <v>0.3298611111111111</v>
      </c>
      <c r="BU719" t="s">
        <v>1234</v>
      </c>
      <c r="BV719" t="s">
        <v>86</v>
      </c>
      <c r="BY719">
        <v>1200</v>
      </c>
      <c r="CA719" t="s">
        <v>87</v>
      </c>
      <c r="CC719" t="s">
        <v>80</v>
      </c>
      <c r="CD719">
        <v>6229</v>
      </c>
      <c r="CE719" t="s">
        <v>147</v>
      </c>
      <c r="CF719" s="3">
        <v>43777</v>
      </c>
      <c r="CI719">
        <v>1</v>
      </c>
      <c r="CJ719">
        <v>1</v>
      </c>
      <c r="CK719">
        <v>21</v>
      </c>
      <c r="CL719" t="s">
        <v>89</v>
      </c>
    </row>
    <row r="720" spans="1:90">
      <c r="A720" t="s">
        <v>72</v>
      </c>
      <c r="B720" t="s">
        <v>73</v>
      </c>
      <c r="C720" t="s">
        <v>74</v>
      </c>
      <c r="E720" t="str">
        <f>"FES1162721550"</f>
        <v>FES1162721550</v>
      </c>
      <c r="F720" s="3">
        <v>43775</v>
      </c>
      <c r="G720">
        <v>202005</v>
      </c>
      <c r="H720" t="s">
        <v>75</v>
      </c>
      <c r="I720" t="s">
        <v>76</v>
      </c>
      <c r="J720" t="s">
        <v>77</v>
      </c>
      <c r="K720" t="s">
        <v>78</v>
      </c>
      <c r="L720" t="s">
        <v>90</v>
      </c>
      <c r="M720" t="s">
        <v>91</v>
      </c>
      <c r="N720" t="s">
        <v>533</v>
      </c>
      <c r="O720" t="s">
        <v>82</v>
      </c>
      <c r="P720" t="str">
        <f>"2170713021                    "</f>
        <v xml:space="preserve">2170713021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8.58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0.7</v>
      </c>
      <c r="BJ720">
        <v>0.8</v>
      </c>
      <c r="BK720">
        <v>1</v>
      </c>
      <c r="BL720" s="4">
        <v>50.45</v>
      </c>
      <c r="BM720" s="4">
        <v>7.57</v>
      </c>
      <c r="BN720" s="4">
        <v>58.02</v>
      </c>
      <c r="BO720" s="4">
        <v>58.02</v>
      </c>
      <c r="BQ720" t="s">
        <v>161</v>
      </c>
      <c r="BR720" t="s">
        <v>84</v>
      </c>
      <c r="BS720" s="3">
        <v>43776</v>
      </c>
      <c r="BT720" s="5">
        <v>0.36458333333333331</v>
      </c>
      <c r="BU720" t="s">
        <v>1235</v>
      </c>
      <c r="BV720" t="s">
        <v>86</v>
      </c>
      <c r="BY720">
        <v>3986.35</v>
      </c>
      <c r="CA720" t="s">
        <v>323</v>
      </c>
      <c r="CC720" t="s">
        <v>91</v>
      </c>
      <c r="CD720">
        <v>7460</v>
      </c>
      <c r="CE720" t="s">
        <v>88</v>
      </c>
      <c r="CF720" s="3">
        <v>43777</v>
      </c>
      <c r="CI720">
        <v>1</v>
      </c>
      <c r="CJ720">
        <v>1</v>
      </c>
      <c r="CK720">
        <v>21</v>
      </c>
      <c r="CL720" t="s">
        <v>89</v>
      </c>
    </row>
    <row r="721" spans="1:90">
      <c r="A721" t="s">
        <v>72</v>
      </c>
      <c r="B721" t="s">
        <v>73</v>
      </c>
      <c r="C721" t="s">
        <v>74</v>
      </c>
      <c r="E721" t="str">
        <f>"FES1162721442"</f>
        <v>FES1162721442</v>
      </c>
      <c r="F721" s="3">
        <v>43775</v>
      </c>
      <c r="G721">
        <v>202005</v>
      </c>
      <c r="H721" t="s">
        <v>75</v>
      </c>
      <c r="I721" t="s">
        <v>76</v>
      </c>
      <c r="J721" t="s">
        <v>77</v>
      </c>
      <c r="K721" t="s">
        <v>78</v>
      </c>
      <c r="L721" t="s">
        <v>214</v>
      </c>
      <c r="M721" t="s">
        <v>214</v>
      </c>
      <c r="N721" t="s">
        <v>403</v>
      </c>
      <c r="O721" t="s">
        <v>82</v>
      </c>
      <c r="P721" t="str">
        <f>"2170713542                    "</f>
        <v xml:space="preserve">2170713542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16.63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1.8</v>
      </c>
      <c r="BJ721">
        <v>0.8</v>
      </c>
      <c r="BK721">
        <v>2</v>
      </c>
      <c r="BL721" s="4">
        <v>97.75</v>
      </c>
      <c r="BM721" s="4">
        <v>14.66</v>
      </c>
      <c r="BN721" s="4">
        <v>112.41</v>
      </c>
      <c r="BO721" s="4">
        <v>112.41</v>
      </c>
      <c r="BQ721" t="s">
        <v>121</v>
      </c>
      <c r="BR721" t="s">
        <v>84</v>
      </c>
      <c r="BS721" s="3">
        <v>43776</v>
      </c>
      <c r="BT721" s="5">
        <v>0.46111111111111108</v>
      </c>
      <c r="BU721" t="s">
        <v>1150</v>
      </c>
      <c r="BV721" t="s">
        <v>86</v>
      </c>
      <c r="BY721">
        <v>3769.36</v>
      </c>
      <c r="CA721" t="s">
        <v>217</v>
      </c>
      <c r="CC721" t="s">
        <v>214</v>
      </c>
      <c r="CD721">
        <v>7646</v>
      </c>
      <c r="CE721" t="s">
        <v>88</v>
      </c>
      <c r="CF721" s="3">
        <v>43777</v>
      </c>
      <c r="CI721">
        <v>1</v>
      </c>
      <c r="CJ721">
        <v>1</v>
      </c>
      <c r="CK721">
        <v>23</v>
      </c>
      <c r="CL721" t="s">
        <v>89</v>
      </c>
    </row>
    <row r="722" spans="1:90">
      <c r="A722" t="s">
        <v>72</v>
      </c>
      <c r="B722" t="s">
        <v>73</v>
      </c>
      <c r="C722" t="s">
        <v>74</v>
      </c>
      <c r="E722" t="str">
        <f>"FES1162721423"</f>
        <v>FES1162721423</v>
      </c>
      <c r="F722" s="3">
        <v>43775</v>
      </c>
      <c r="G722">
        <v>202005</v>
      </c>
      <c r="H722" t="s">
        <v>75</v>
      </c>
      <c r="I722" t="s">
        <v>76</v>
      </c>
      <c r="J722" t="s">
        <v>77</v>
      </c>
      <c r="K722" t="s">
        <v>78</v>
      </c>
      <c r="L722" t="s">
        <v>90</v>
      </c>
      <c r="M722" t="s">
        <v>91</v>
      </c>
      <c r="N722" t="s">
        <v>1236</v>
      </c>
      <c r="O722" t="s">
        <v>82</v>
      </c>
      <c r="P722" t="str">
        <f>"2170713401                    "</f>
        <v xml:space="preserve">2170713401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10.73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2.4</v>
      </c>
      <c r="BJ722">
        <v>1</v>
      </c>
      <c r="BK722">
        <v>2.5</v>
      </c>
      <c r="BL722" s="4">
        <v>63.06</v>
      </c>
      <c r="BM722" s="4">
        <v>9.4600000000000009</v>
      </c>
      <c r="BN722" s="4">
        <v>72.52</v>
      </c>
      <c r="BO722" s="4">
        <v>72.52</v>
      </c>
      <c r="BQ722" t="s">
        <v>109</v>
      </c>
      <c r="BR722" t="s">
        <v>84</v>
      </c>
      <c r="BS722" s="3">
        <v>43776</v>
      </c>
      <c r="BT722" s="5">
        <v>0.3611111111111111</v>
      </c>
      <c r="BU722" t="s">
        <v>1237</v>
      </c>
      <c r="BV722" t="s">
        <v>86</v>
      </c>
      <c r="BY722">
        <v>4879.68</v>
      </c>
      <c r="CA722" t="s">
        <v>1238</v>
      </c>
      <c r="CC722" t="s">
        <v>91</v>
      </c>
      <c r="CD722">
        <v>7441</v>
      </c>
      <c r="CE722" t="s">
        <v>88</v>
      </c>
      <c r="CF722" s="3">
        <v>43777</v>
      </c>
      <c r="CI722">
        <v>1</v>
      </c>
      <c r="CJ722">
        <v>1</v>
      </c>
      <c r="CK722">
        <v>21</v>
      </c>
      <c r="CL722" t="s">
        <v>89</v>
      </c>
    </row>
    <row r="723" spans="1:90">
      <c r="A723" t="s">
        <v>72</v>
      </c>
      <c r="B723" t="s">
        <v>73</v>
      </c>
      <c r="C723" t="s">
        <v>74</v>
      </c>
      <c r="E723" t="str">
        <f>"FES1162721472"</f>
        <v>FES1162721472</v>
      </c>
      <c r="F723" s="3">
        <v>43775</v>
      </c>
      <c r="G723">
        <v>202005</v>
      </c>
      <c r="H723" t="s">
        <v>75</v>
      </c>
      <c r="I723" t="s">
        <v>76</v>
      </c>
      <c r="J723" t="s">
        <v>77</v>
      </c>
      <c r="K723" t="s">
        <v>78</v>
      </c>
      <c r="L723" t="s">
        <v>79</v>
      </c>
      <c r="M723" t="s">
        <v>80</v>
      </c>
      <c r="N723" t="s">
        <v>511</v>
      </c>
      <c r="O723" t="s">
        <v>82</v>
      </c>
      <c r="P723" t="str">
        <f>"2170717432                    "</f>
        <v xml:space="preserve">2170717432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8.58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 s="4">
        <v>50.45</v>
      </c>
      <c r="BM723" s="4">
        <v>7.57</v>
      </c>
      <c r="BN723" s="4">
        <v>58.02</v>
      </c>
      <c r="BO723" s="4">
        <v>58.02</v>
      </c>
      <c r="BQ723" t="s">
        <v>109</v>
      </c>
      <c r="BR723" t="s">
        <v>84</v>
      </c>
      <c r="BS723" s="3">
        <v>43776</v>
      </c>
      <c r="BT723" s="5">
        <v>0.33680555555555558</v>
      </c>
      <c r="BU723" t="s">
        <v>752</v>
      </c>
      <c r="BV723" t="s">
        <v>86</v>
      </c>
      <c r="BY723">
        <v>1200</v>
      </c>
      <c r="CA723" t="s">
        <v>87</v>
      </c>
      <c r="CC723" t="s">
        <v>80</v>
      </c>
      <c r="CD723">
        <v>6229</v>
      </c>
      <c r="CE723" t="s">
        <v>147</v>
      </c>
      <c r="CF723" s="3">
        <v>43777</v>
      </c>
      <c r="CI723">
        <v>1</v>
      </c>
      <c r="CJ723">
        <v>1</v>
      </c>
      <c r="CK723">
        <v>21</v>
      </c>
      <c r="CL723" t="s">
        <v>89</v>
      </c>
    </row>
    <row r="724" spans="1:90">
      <c r="A724" t="s">
        <v>72</v>
      </c>
      <c r="B724" t="s">
        <v>73</v>
      </c>
      <c r="C724" t="s">
        <v>74</v>
      </c>
      <c r="E724" t="str">
        <f>"FES1162721599"</f>
        <v>FES1162721599</v>
      </c>
      <c r="F724" s="3">
        <v>43775</v>
      </c>
      <c r="G724">
        <v>202005</v>
      </c>
      <c r="H724" t="s">
        <v>75</v>
      </c>
      <c r="I724" t="s">
        <v>76</v>
      </c>
      <c r="J724" t="s">
        <v>77</v>
      </c>
      <c r="K724" t="s">
        <v>78</v>
      </c>
      <c r="L724" t="s">
        <v>1239</v>
      </c>
      <c r="M724" t="s">
        <v>1240</v>
      </c>
      <c r="N724" t="s">
        <v>1241</v>
      </c>
      <c r="O724" t="s">
        <v>82</v>
      </c>
      <c r="P724" t="str">
        <f>"2170715777                    "</f>
        <v xml:space="preserve">2170715777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16.63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 s="4">
        <v>97.75</v>
      </c>
      <c r="BM724" s="4">
        <v>14.66</v>
      </c>
      <c r="BN724" s="4">
        <v>112.41</v>
      </c>
      <c r="BO724" s="4">
        <v>112.41</v>
      </c>
      <c r="BQ724" t="s">
        <v>142</v>
      </c>
      <c r="BR724" t="s">
        <v>84</v>
      </c>
      <c r="BS724" s="3">
        <v>43776</v>
      </c>
      <c r="BT724" s="5">
        <v>0.68819444444444444</v>
      </c>
      <c r="BU724" t="s">
        <v>1242</v>
      </c>
      <c r="BV724" t="s">
        <v>86</v>
      </c>
      <c r="BY724">
        <v>1200</v>
      </c>
      <c r="CC724" t="s">
        <v>1240</v>
      </c>
      <c r="CD724">
        <v>6300</v>
      </c>
      <c r="CE724" t="s">
        <v>147</v>
      </c>
      <c r="CF724" s="3">
        <v>43781</v>
      </c>
      <c r="CI724">
        <v>3</v>
      </c>
      <c r="CJ724">
        <v>1</v>
      </c>
      <c r="CK724">
        <v>23</v>
      </c>
      <c r="CL724" t="s">
        <v>89</v>
      </c>
    </row>
    <row r="725" spans="1:90">
      <c r="A725" t="s">
        <v>72</v>
      </c>
      <c r="B725" t="s">
        <v>73</v>
      </c>
      <c r="C725" t="s">
        <v>74</v>
      </c>
      <c r="E725" t="str">
        <f>"FES1162721524"</f>
        <v>FES1162721524</v>
      </c>
      <c r="F725" s="3">
        <v>43775</v>
      </c>
      <c r="G725">
        <v>202005</v>
      </c>
      <c r="H725" t="s">
        <v>75</v>
      </c>
      <c r="I725" t="s">
        <v>76</v>
      </c>
      <c r="J725" t="s">
        <v>77</v>
      </c>
      <c r="K725" t="s">
        <v>78</v>
      </c>
      <c r="L725" t="s">
        <v>106</v>
      </c>
      <c r="M725" t="s">
        <v>107</v>
      </c>
      <c r="N725" t="s">
        <v>580</v>
      </c>
      <c r="O725" t="s">
        <v>82</v>
      </c>
      <c r="P725" t="str">
        <f>"2170715538                    "</f>
        <v xml:space="preserve">2170715538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8.58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 s="4">
        <v>50.45</v>
      </c>
      <c r="BM725" s="4">
        <v>7.57</v>
      </c>
      <c r="BN725" s="4">
        <v>58.02</v>
      </c>
      <c r="BO725" s="4">
        <v>58.02</v>
      </c>
      <c r="BQ725" t="s">
        <v>109</v>
      </c>
      <c r="BR725" t="s">
        <v>84</v>
      </c>
      <c r="BS725" s="3">
        <v>43776</v>
      </c>
      <c r="BT725" s="5">
        <v>0.36180555555555555</v>
      </c>
      <c r="BU725" t="s">
        <v>1033</v>
      </c>
      <c r="BV725" t="s">
        <v>86</v>
      </c>
      <c r="BY725">
        <v>1200</v>
      </c>
      <c r="CA725" t="s">
        <v>773</v>
      </c>
      <c r="CC725" t="s">
        <v>107</v>
      </c>
      <c r="CD725">
        <v>6001</v>
      </c>
      <c r="CE725" t="s">
        <v>147</v>
      </c>
      <c r="CF725" s="3">
        <v>43777</v>
      </c>
      <c r="CI725">
        <v>1</v>
      </c>
      <c r="CJ725">
        <v>1</v>
      </c>
      <c r="CK725">
        <v>21</v>
      </c>
      <c r="CL725" t="s">
        <v>89</v>
      </c>
    </row>
    <row r="726" spans="1:90">
      <c r="A726" t="s">
        <v>72</v>
      </c>
      <c r="B726" t="s">
        <v>73</v>
      </c>
      <c r="C726" t="s">
        <v>74</v>
      </c>
      <c r="E726" t="str">
        <f>"FES1162721432"</f>
        <v>FES1162721432</v>
      </c>
      <c r="F726" s="3">
        <v>43775</v>
      </c>
      <c r="G726">
        <v>202005</v>
      </c>
      <c r="H726" t="s">
        <v>75</v>
      </c>
      <c r="I726" t="s">
        <v>76</v>
      </c>
      <c r="J726" t="s">
        <v>77</v>
      </c>
      <c r="K726" t="s">
        <v>78</v>
      </c>
      <c r="L726" t="s">
        <v>106</v>
      </c>
      <c r="M726" t="s">
        <v>107</v>
      </c>
      <c r="N726" t="s">
        <v>771</v>
      </c>
      <c r="O726" t="s">
        <v>82</v>
      </c>
      <c r="P726" t="str">
        <f>"2170713494                    "</f>
        <v xml:space="preserve">2170713494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8.58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 s="4">
        <v>50.45</v>
      </c>
      <c r="BM726" s="4">
        <v>7.57</v>
      </c>
      <c r="BN726" s="4">
        <v>58.02</v>
      </c>
      <c r="BO726" s="4">
        <v>58.02</v>
      </c>
      <c r="BQ726" t="s">
        <v>109</v>
      </c>
      <c r="BR726" t="s">
        <v>84</v>
      </c>
      <c r="BS726" s="3">
        <v>43776</v>
      </c>
      <c r="BT726" s="5">
        <v>0.41319444444444442</v>
      </c>
      <c r="BU726" t="s">
        <v>1243</v>
      </c>
      <c r="BV726" t="s">
        <v>86</v>
      </c>
      <c r="BY726">
        <v>1200</v>
      </c>
      <c r="CA726" t="s">
        <v>773</v>
      </c>
      <c r="CC726" t="s">
        <v>107</v>
      </c>
      <c r="CD726">
        <v>6012</v>
      </c>
      <c r="CE726" t="s">
        <v>147</v>
      </c>
      <c r="CF726" s="3">
        <v>43777</v>
      </c>
      <c r="CI726">
        <v>1</v>
      </c>
      <c r="CJ726">
        <v>1</v>
      </c>
      <c r="CK726">
        <v>21</v>
      </c>
      <c r="CL726" t="s">
        <v>89</v>
      </c>
    </row>
    <row r="727" spans="1:90">
      <c r="A727" t="s">
        <v>72</v>
      </c>
      <c r="B727" t="s">
        <v>73</v>
      </c>
      <c r="C727" t="s">
        <v>74</v>
      </c>
      <c r="E727" t="str">
        <f>"FES1162721492"</f>
        <v>FES1162721492</v>
      </c>
      <c r="F727" s="3">
        <v>43775</v>
      </c>
      <c r="G727">
        <v>202005</v>
      </c>
      <c r="H727" t="s">
        <v>75</v>
      </c>
      <c r="I727" t="s">
        <v>76</v>
      </c>
      <c r="J727" t="s">
        <v>77</v>
      </c>
      <c r="K727" t="s">
        <v>78</v>
      </c>
      <c r="L727" t="s">
        <v>106</v>
      </c>
      <c r="M727" t="s">
        <v>107</v>
      </c>
      <c r="N727" t="s">
        <v>1244</v>
      </c>
      <c r="O727" t="s">
        <v>82</v>
      </c>
      <c r="P727" t="str">
        <f>"2170713977                    "</f>
        <v xml:space="preserve">2170713977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8.58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 s="4">
        <v>50.45</v>
      </c>
      <c r="BM727" s="4">
        <v>7.57</v>
      </c>
      <c r="BN727" s="4">
        <v>58.02</v>
      </c>
      <c r="BO727" s="4">
        <v>58.02</v>
      </c>
      <c r="BQ727" t="s">
        <v>1245</v>
      </c>
      <c r="BR727" t="s">
        <v>84</v>
      </c>
      <c r="BS727" s="3">
        <v>43776</v>
      </c>
      <c r="BT727" s="5">
        <v>0.3979166666666667</v>
      </c>
      <c r="BU727" t="s">
        <v>1246</v>
      </c>
      <c r="BV727" t="s">
        <v>86</v>
      </c>
      <c r="BY727">
        <v>1200</v>
      </c>
      <c r="CA727" t="s">
        <v>1247</v>
      </c>
      <c r="CC727" t="s">
        <v>107</v>
      </c>
      <c r="CD727">
        <v>6001</v>
      </c>
      <c r="CE727" t="s">
        <v>147</v>
      </c>
      <c r="CF727" s="3">
        <v>43777</v>
      </c>
      <c r="CI727">
        <v>1</v>
      </c>
      <c r="CJ727">
        <v>1</v>
      </c>
      <c r="CK727">
        <v>21</v>
      </c>
      <c r="CL727" t="s">
        <v>89</v>
      </c>
    </row>
    <row r="728" spans="1:90">
      <c r="A728" t="s">
        <v>72</v>
      </c>
      <c r="B728" t="s">
        <v>73</v>
      </c>
      <c r="C728" t="s">
        <v>74</v>
      </c>
      <c r="E728" t="str">
        <f>"FES1162721501"</f>
        <v>FES1162721501</v>
      </c>
      <c r="F728" s="3">
        <v>43775</v>
      </c>
      <c r="G728">
        <v>202005</v>
      </c>
      <c r="H728" t="s">
        <v>75</v>
      </c>
      <c r="I728" t="s">
        <v>76</v>
      </c>
      <c r="J728" t="s">
        <v>77</v>
      </c>
      <c r="K728" t="s">
        <v>78</v>
      </c>
      <c r="L728" t="s">
        <v>133</v>
      </c>
      <c r="M728" t="s">
        <v>134</v>
      </c>
      <c r="N728" t="s">
        <v>986</v>
      </c>
      <c r="O728" t="s">
        <v>82</v>
      </c>
      <c r="P728" t="str">
        <f>"2170714101                    "</f>
        <v xml:space="preserve">2170714101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8.58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 s="4">
        <v>50.45</v>
      </c>
      <c r="BM728" s="4">
        <v>7.57</v>
      </c>
      <c r="BN728" s="4">
        <v>58.02</v>
      </c>
      <c r="BO728" s="4">
        <v>58.02</v>
      </c>
      <c r="BR728" t="s">
        <v>84</v>
      </c>
      <c r="BS728" s="3">
        <v>43776</v>
      </c>
      <c r="BT728" s="5">
        <v>0.41666666666666669</v>
      </c>
      <c r="BU728" t="s">
        <v>1202</v>
      </c>
      <c r="BV728" t="s">
        <v>86</v>
      </c>
      <c r="BY728">
        <v>1200</v>
      </c>
      <c r="CC728" t="s">
        <v>134</v>
      </c>
      <c r="CD728">
        <v>5200</v>
      </c>
      <c r="CE728" t="s">
        <v>147</v>
      </c>
      <c r="CF728" s="3">
        <v>43780</v>
      </c>
      <c r="CI728">
        <v>1</v>
      </c>
      <c r="CJ728">
        <v>1</v>
      </c>
      <c r="CK728">
        <v>21</v>
      </c>
      <c r="CL728" t="s">
        <v>89</v>
      </c>
    </row>
    <row r="729" spans="1:90">
      <c r="A729" t="s">
        <v>72</v>
      </c>
      <c r="B729" t="s">
        <v>73</v>
      </c>
      <c r="C729" t="s">
        <v>74</v>
      </c>
      <c r="E729" t="str">
        <f>"FES1162721564"</f>
        <v>FES1162721564</v>
      </c>
      <c r="F729" s="3">
        <v>43775</v>
      </c>
      <c r="G729">
        <v>202005</v>
      </c>
      <c r="H729" t="s">
        <v>75</v>
      </c>
      <c r="I729" t="s">
        <v>76</v>
      </c>
      <c r="J729" t="s">
        <v>77</v>
      </c>
      <c r="K729" t="s">
        <v>78</v>
      </c>
      <c r="L729" t="s">
        <v>106</v>
      </c>
      <c r="M729" t="s">
        <v>107</v>
      </c>
      <c r="N729" t="s">
        <v>128</v>
      </c>
      <c r="O729" t="s">
        <v>82</v>
      </c>
      <c r="P729" t="str">
        <f>"2170713134                    "</f>
        <v xml:space="preserve">2170713134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8.58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 s="4">
        <v>50.45</v>
      </c>
      <c r="BM729" s="4">
        <v>7.57</v>
      </c>
      <c r="BN729" s="4">
        <v>58.02</v>
      </c>
      <c r="BO729" s="4">
        <v>58.02</v>
      </c>
      <c r="BQ729" t="s">
        <v>121</v>
      </c>
      <c r="BR729" t="s">
        <v>84</v>
      </c>
      <c r="BS729" s="3">
        <v>43776</v>
      </c>
      <c r="BT729" s="5">
        <v>0.33333333333333331</v>
      </c>
      <c r="BU729" t="s">
        <v>1056</v>
      </c>
      <c r="BV729" t="s">
        <v>86</v>
      </c>
      <c r="BY729">
        <v>1200</v>
      </c>
      <c r="CA729" t="s">
        <v>854</v>
      </c>
      <c r="CC729" t="s">
        <v>107</v>
      </c>
      <c r="CD729">
        <v>6001</v>
      </c>
      <c r="CE729" t="s">
        <v>147</v>
      </c>
      <c r="CF729" s="3">
        <v>43777</v>
      </c>
      <c r="CI729">
        <v>1</v>
      </c>
      <c r="CJ729">
        <v>1</v>
      </c>
      <c r="CK729">
        <v>21</v>
      </c>
      <c r="CL729" t="s">
        <v>89</v>
      </c>
    </row>
    <row r="730" spans="1:90">
      <c r="A730" t="s">
        <v>72</v>
      </c>
      <c r="B730" t="s">
        <v>73</v>
      </c>
      <c r="C730" t="s">
        <v>74</v>
      </c>
      <c r="E730" t="str">
        <f>"FES1162721460"</f>
        <v>FES1162721460</v>
      </c>
      <c r="F730" s="3">
        <v>43775</v>
      </c>
      <c r="G730">
        <v>202005</v>
      </c>
      <c r="H730" t="s">
        <v>75</v>
      </c>
      <c r="I730" t="s">
        <v>76</v>
      </c>
      <c r="J730" t="s">
        <v>77</v>
      </c>
      <c r="K730" t="s">
        <v>78</v>
      </c>
      <c r="L730" t="s">
        <v>133</v>
      </c>
      <c r="M730" t="s">
        <v>134</v>
      </c>
      <c r="N730" t="s">
        <v>310</v>
      </c>
      <c r="O730" t="s">
        <v>82</v>
      </c>
      <c r="P730" t="str">
        <f>"2170713692                    "</f>
        <v xml:space="preserve">2170713692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8.58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 s="4">
        <v>50.45</v>
      </c>
      <c r="BM730" s="4">
        <v>7.57</v>
      </c>
      <c r="BN730" s="4">
        <v>58.02</v>
      </c>
      <c r="BO730" s="4">
        <v>58.02</v>
      </c>
      <c r="BQ730" t="s">
        <v>121</v>
      </c>
      <c r="BR730" t="s">
        <v>84</v>
      </c>
      <c r="BS730" s="3">
        <v>43776</v>
      </c>
      <c r="BT730" s="5">
        <v>0.42708333333333331</v>
      </c>
      <c r="BU730" t="s">
        <v>1126</v>
      </c>
      <c r="BV730" t="s">
        <v>86</v>
      </c>
      <c r="BY730">
        <v>1200</v>
      </c>
      <c r="CA730" t="s">
        <v>137</v>
      </c>
      <c r="CC730" t="s">
        <v>134</v>
      </c>
      <c r="CD730">
        <v>5201</v>
      </c>
      <c r="CE730" t="s">
        <v>147</v>
      </c>
      <c r="CF730" s="3">
        <v>43780</v>
      </c>
      <c r="CI730">
        <v>1</v>
      </c>
      <c r="CJ730">
        <v>1</v>
      </c>
      <c r="CK730">
        <v>21</v>
      </c>
      <c r="CL730" t="s">
        <v>89</v>
      </c>
    </row>
    <row r="731" spans="1:90">
      <c r="A731" t="s">
        <v>72</v>
      </c>
      <c r="B731" t="s">
        <v>73</v>
      </c>
      <c r="C731" t="s">
        <v>74</v>
      </c>
      <c r="E731" t="str">
        <f>"FES1162721499"</f>
        <v>FES1162721499</v>
      </c>
      <c r="F731" s="3">
        <v>43775</v>
      </c>
      <c r="G731">
        <v>202005</v>
      </c>
      <c r="H731" t="s">
        <v>75</v>
      </c>
      <c r="I731" t="s">
        <v>76</v>
      </c>
      <c r="J731" t="s">
        <v>77</v>
      </c>
      <c r="K731" t="s">
        <v>78</v>
      </c>
      <c r="L731" t="s">
        <v>106</v>
      </c>
      <c r="M731" t="s">
        <v>107</v>
      </c>
      <c r="N731" t="s">
        <v>108</v>
      </c>
      <c r="O731" t="s">
        <v>82</v>
      </c>
      <c r="P731" t="str">
        <f>"2170714061                    "</f>
        <v xml:space="preserve">2170714061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8.58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 s="4">
        <v>50.45</v>
      </c>
      <c r="BM731" s="4">
        <v>7.57</v>
      </c>
      <c r="BN731" s="4">
        <v>58.02</v>
      </c>
      <c r="BO731" s="4">
        <v>58.02</v>
      </c>
      <c r="BQ731" t="s">
        <v>109</v>
      </c>
      <c r="BR731" t="s">
        <v>84</v>
      </c>
      <c r="BS731" s="3">
        <v>43776</v>
      </c>
      <c r="BT731" s="5">
        <v>0.35694444444444445</v>
      </c>
      <c r="BU731" t="s">
        <v>1248</v>
      </c>
      <c r="BV731" t="s">
        <v>86</v>
      </c>
      <c r="BY731">
        <v>1200</v>
      </c>
      <c r="CA731" t="s">
        <v>111</v>
      </c>
      <c r="CC731" t="s">
        <v>107</v>
      </c>
      <c r="CD731">
        <v>6001</v>
      </c>
      <c r="CE731" t="s">
        <v>147</v>
      </c>
      <c r="CF731" s="3">
        <v>43777</v>
      </c>
      <c r="CI731">
        <v>1</v>
      </c>
      <c r="CJ731">
        <v>1</v>
      </c>
      <c r="CK731">
        <v>21</v>
      </c>
      <c r="CL731" t="s">
        <v>89</v>
      </c>
    </row>
    <row r="732" spans="1:90">
      <c r="A732" t="s">
        <v>72</v>
      </c>
      <c r="B732" t="s">
        <v>73</v>
      </c>
      <c r="C732" t="s">
        <v>74</v>
      </c>
      <c r="E732" t="str">
        <f>"FES1162721487"</f>
        <v>FES1162721487</v>
      </c>
      <c r="F732" s="3">
        <v>43775</v>
      </c>
      <c r="G732">
        <v>202005</v>
      </c>
      <c r="H732" t="s">
        <v>75</v>
      </c>
      <c r="I732" t="s">
        <v>76</v>
      </c>
      <c r="J732" t="s">
        <v>77</v>
      </c>
      <c r="K732" t="s">
        <v>78</v>
      </c>
      <c r="L732" t="s">
        <v>133</v>
      </c>
      <c r="M732" t="s">
        <v>134</v>
      </c>
      <c r="N732" t="s">
        <v>696</v>
      </c>
      <c r="O732" t="s">
        <v>82</v>
      </c>
      <c r="P732" t="str">
        <f>"2170713878                    "</f>
        <v xml:space="preserve">2170713878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8.58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 s="4">
        <v>50.45</v>
      </c>
      <c r="BM732" s="4">
        <v>7.57</v>
      </c>
      <c r="BN732" s="4">
        <v>58.02</v>
      </c>
      <c r="BO732" s="4">
        <v>58.02</v>
      </c>
      <c r="BQ732" t="s">
        <v>121</v>
      </c>
      <c r="BR732" t="s">
        <v>84</v>
      </c>
      <c r="BS732" s="3">
        <v>43776</v>
      </c>
      <c r="BT732" s="5">
        <v>0.36458333333333331</v>
      </c>
      <c r="BU732" t="s">
        <v>697</v>
      </c>
      <c r="BV732" t="s">
        <v>86</v>
      </c>
      <c r="BY732">
        <v>1200</v>
      </c>
      <c r="CA732" t="s">
        <v>698</v>
      </c>
      <c r="CC732" t="s">
        <v>134</v>
      </c>
      <c r="CD732">
        <v>5201</v>
      </c>
      <c r="CE732" t="s">
        <v>147</v>
      </c>
      <c r="CF732" s="3">
        <v>43777</v>
      </c>
      <c r="CI732">
        <v>1</v>
      </c>
      <c r="CJ732">
        <v>1</v>
      </c>
      <c r="CK732">
        <v>21</v>
      </c>
      <c r="CL732" t="s">
        <v>89</v>
      </c>
    </row>
    <row r="733" spans="1:90">
      <c r="A733" t="s">
        <v>72</v>
      </c>
      <c r="B733" t="s">
        <v>73</v>
      </c>
      <c r="C733" t="s">
        <v>74</v>
      </c>
      <c r="E733" t="str">
        <f>"FES1162721415"</f>
        <v>FES1162721415</v>
      </c>
      <c r="F733" s="3">
        <v>43775</v>
      </c>
      <c r="G733">
        <v>202005</v>
      </c>
      <c r="H733" t="s">
        <v>75</v>
      </c>
      <c r="I733" t="s">
        <v>76</v>
      </c>
      <c r="J733" t="s">
        <v>77</v>
      </c>
      <c r="K733" t="s">
        <v>78</v>
      </c>
      <c r="L733" t="s">
        <v>106</v>
      </c>
      <c r="M733" t="s">
        <v>107</v>
      </c>
      <c r="N733" t="s">
        <v>1249</v>
      </c>
      <c r="O733" t="s">
        <v>82</v>
      </c>
      <c r="P733" t="str">
        <f>"2170712840                    "</f>
        <v xml:space="preserve">2170712840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8.58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 s="4">
        <v>50.45</v>
      </c>
      <c r="BM733" s="4">
        <v>7.57</v>
      </c>
      <c r="BN733" s="4">
        <v>58.02</v>
      </c>
      <c r="BO733" s="4">
        <v>58.02</v>
      </c>
      <c r="BQ733" t="s">
        <v>1250</v>
      </c>
      <c r="BR733" t="s">
        <v>84</v>
      </c>
      <c r="BS733" s="3">
        <v>43776</v>
      </c>
      <c r="BT733" s="5">
        <v>0.4201388888888889</v>
      </c>
      <c r="BU733" t="s">
        <v>318</v>
      </c>
      <c r="BV733" t="s">
        <v>86</v>
      </c>
      <c r="BY733">
        <v>1200</v>
      </c>
      <c r="CA733" t="s">
        <v>773</v>
      </c>
      <c r="CC733" t="s">
        <v>107</v>
      </c>
      <c r="CD733">
        <v>6001</v>
      </c>
      <c r="CE733" t="s">
        <v>147</v>
      </c>
      <c r="CF733" s="3">
        <v>43777</v>
      </c>
      <c r="CI733">
        <v>1</v>
      </c>
      <c r="CJ733">
        <v>1</v>
      </c>
      <c r="CK733">
        <v>21</v>
      </c>
      <c r="CL733" t="s">
        <v>89</v>
      </c>
    </row>
    <row r="734" spans="1:90">
      <c r="A734" t="s">
        <v>72</v>
      </c>
      <c r="B734" t="s">
        <v>73</v>
      </c>
      <c r="C734" t="s">
        <v>74</v>
      </c>
      <c r="E734" t="str">
        <f>"FES1162721416"</f>
        <v>FES1162721416</v>
      </c>
      <c r="F734" s="3">
        <v>43775</v>
      </c>
      <c r="G734">
        <v>202005</v>
      </c>
      <c r="H734" t="s">
        <v>75</v>
      </c>
      <c r="I734" t="s">
        <v>76</v>
      </c>
      <c r="J734" t="s">
        <v>77</v>
      </c>
      <c r="K734" t="s">
        <v>78</v>
      </c>
      <c r="L734" t="s">
        <v>106</v>
      </c>
      <c r="M734" t="s">
        <v>107</v>
      </c>
      <c r="N734" t="s">
        <v>128</v>
      </c>
      <c r="O734" t="s">
        <v>82</v>
      </c>
      <c r="P734" t="str">
        <f>"2170719121                    "</f>
        <v xml:space="preserve">2170719121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8.58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 s="4">
        <v>50.45</v>
      </c>
      <c r="BM734" s="4">
        <v>7.57</v>
      </c>
      <c r="BN734" s="4">
        <v>58.02</v>
      </c>
      <c r="BO734" s="4">
        <v>58.02</v>
      </c>
      <c r="BQ734" t="s">
        <v>121</v>
      </c>
      <c r="BR734" t="s">
        <v>84</v>
      </c>
      <c r="BS734" s="3">
        <v>43776</v>
      </c>
      <c r="BT734" s="5">
        <v>0.33333333333333331</v>
      </c>
      <c r="BU734" t="s">
        <v>1056</v>
      </c>
      <c r="BV734" t="s">
        <v>86</v>
      </c>
      <c r="BY734">
        <v>1200</v>
      </c>
      <c r="CA734" t="s">
        <v>854</v>
      </c>
      <c r="CC734" t="s">
        <v>107</v>
      </c>
      <c r="CD734">
        <v>6001</v>
      </c>
      <c r="CE734" t="s">
        <v>147</v>
      </c>
      <c r="CF734" s="3">
        <v>43777</v>
      </c>
      <c r="CI734">
        <v>1</v>
      </c>
      <c r="CJ734">
        <v>1</v>
      </c>
      <c r="CK734">
        <v>21</v>
      </c>
      <c r="CL734" t="s">
        <v>89</v>
      </c>
    </row>
    <row r="735" spans="1:90">
      <c r="A735" t="s">
        <v>72</v>
      </c>
      <c r="B735" t="s">
        <v>73</v>
      </c>
      <c r="C735" t="s">
        <v>74</v>
      </c>
      <c r="E735" t="str">
        <f>"FES1162721451"</f>
        <v>FES1162721451</v>
      </c>
      <c r="F735" s="3">
        <v>43775</v>
      </c>
      <c r="G735">
        <v>202005</v>
      </c>
      <c r="H735" t="s">
        <v>75</v>
      </c>
      <c r="I735" t="s">
        <v>76</v>
      </c>
      <c r="J735" t="s">
        <v>77</v>
      </c>
      <c r="K735" t="s">
        <v>78</v>
      </c>
      <c r="L735" t="s">
        <v>124</v>
      </c>
      <c r="M735" t="s">
        <v>125</v>
      </c>
      <c r="N735" t="s">
        <v>218</v>
      </c>
      <c r="O735" t="s">
        <v>82</v>
      </c>
      <c r="P735" t="str">
        <f>"2170713610                    "</f>
        <v xml:space="preserve">2170713610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6.71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 s="4">
        <v>39.42</v>
      </c>
      <c r="BM735" s="4">
        <v>5.91</v>
      </c>
      <c r="BN735" s="4">
        <v>45.33</v>
      </c>
      <c r="BO735" s="4">
        <v>45.33</v>
      </c>
      <c r="BQ735" t="s">
        <v>121</v>
      </c>
      <c r="BR735" t="s">
        <v>84</v>
      </c>
      <c r="BS735" s="3">
        <v>43776</v>
      </c>
      <c r="BT735" s="5">
        <v>0.4201388888888889</v>
      </c>
      <c r="BU735" t="s">
        <v>1166</v>
      </c>
      <c r="BV735" t="s">
        <v>86</v>
      </c>
      <c r="BY735">
        <v>1200</v>
      </c>
      <c r="CA735" t="s">
        <v>123</v>
      </c>
      <c r="CC735" t="s">
        <v>125</v>
      </c>
      <c r="CD735">
        <v>2094</v>
      </c>
      <c r="CE735" t="s">
        <v>147</v>
      </c>
      <c r="CF735" s="3">
        <v>43777</v>
      </c>
      <c r="CI735">
        <v>1</v>
      </c>
      <c r="CJ735">
        <v>1</v>
      </c>
      <c r="CK735">
        <v>22</v>
      </c>
      <c r="CL735" t="s">
        <v>89</v>
      </c>
    </row>
    <row r="736" spans="1:90">
      <c r="A736" t="s">
        <v>72</v>
      </c>
      <c r="B736" t="s">
        <v>73</v>
      </c>
      <c r="C736" t="s">
        <v>74</v>
      </c>
      <c r="E736" t="str">
        <f>"FES1162721474"</f>
        <v>FES1162721474</v>
      </c>
      <c r="F736" s="3">
        <v>43775</v>
      </c>
      <c r="G736">
        <v>202005</v>
      </c>
      <c r="H736" t="s">
        <v>75</v>
      </c>
      <c r="I736" t="s">
        <v>76</v>
      </c>
      <c r="J736" t="s">
        <v>77</v>
      </c>
      <c r="K736" t="s">
        <v>78</v>
      </c>
      <c r="L736" t="s">
        <v>124</v>
      </c>
      <c r="M736" t="s">
        <v>125</v>
      </c>
      <c r="N736" t="s">
        <v>1251</v>
      </c>
      <c r="O736" t="s">
        <v>82</v>
      </c>
      <c r="P736" t="str">
        <f>"2170713752                    "</f>
        <v xml:space="preserve">2170713752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6.71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 s="4">
        <v>39.42</v>
      </c>
      <c r="BM736" s="4">
        <v>5.91</v>
      </c>
      <c r="BN736" s="4">
        <v>45.33</v>
      </c>
      <c r="BO736" s="4">
        <v>45.33</v>
      </c>
      <c r="BQ736" t="s">
        <v>121</v>
      </c>
      <c r="BR736" t="s">
        <v>84</v>
      </c>
      <c r="BS736" s="3">
        <v>43776</v>
      </c>
      <c r="BT736" s="5">
        <v>0.43055555555555558</v>
      </c>
      <c r="BU736" t="s">
        <v>1252</v>
      </c>
      <c r="BV736" t="s">
        <v>86</v>
      </c>
      <c r="BY736">
        <v>1200</v>
      </c>
      <c r="CC736" t="s">
        <v>125</v>
      </c>
      <c r="CD736">
        <v>2094</v>
      </c>
      <c r="CE736" t="s">
        <v>147</v>
      </c>
      <c r="CF736" s="3">
        <v>43777</v>
      </c>
      <c r="CI736">
        <v>1</v>
      </c>
      <c r="CJ736">
        <v>1</v>
      </c>
      <c r="CK736">
        <v>22</v>
      </c>
      <c r="CL736" t="s">
        <v>89</v>
      </c>
    </row>
    <row r="737" spans="1:90">
      <c r="A737" t="s">
        <v>72</v>
      </c>
      <c r="B737" t="s">
        <v>73</v>
      </c>
      <c r="C737" t="s">
        <v>74</v>
      </c>
      <c r="E737" t="str">
        <f>"FES1162721357"</f>
        <v>FES1162721357</v>
      </c>
      <c r="F737" s="3">
        <v>43775</v>
      </c>
      <c r="G737">
        <v>202005</v>
      </c>
      <c r="H737" t="s">
        <v>75</v>
      </c>
      <c r="I737" t="s">
        <v>76</v>
      </c>
      <c r="J737" t="s">
        <v>77</v>
      </c>
      <c r="K737" t="s">
        <v>78</v>
      </c>
      <c r="L737" t="s">
        <v>681</v>
      </c>
      <c r="M737" t="s">
        <v>682</v>
      </c>
      <c r="N737" t="s">
        <v>1253</v>
      </c>
      <c r="O737" t="s">
        <v>82</v>
      </c>
      <c r="P737" t="str">
        <f>"2170715656                    "</f>
        <v xml:space="preserve">2170715656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12.07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 s="4">
        <v>70.95</v>
      </c>
      <c r="BM737" s="4">
        <v>10.64</v>
      </c>
      <c r="BN737" s="4">
        <v>81.59</v>
      </c>
      <c r="BO737" s="4">
        <v>81.59</v>
      </c>
      <c r="BQ737" t="s">
        <v>187</v>
      </c>
      <c r="BR737" t="s">
        <v>84</v>
      </c>
      <c r="BS737" s="3">
        <v>43776</v>
      </c>
      <c r="BT737" s="5">
        <v>0.41666666666666669</v>
      </c>
      <c r="BU737" t="s">
        <v>1254</v>
      </c>
      <c r="BV737" t="s">
        <v>86</v>
      </c>
      <c r="BY737">
        <v>1200</v>
      </c>
      <c r="CA737" t="s">
        <v>1224</v>
      </c>
      <c r="CC737" t="s">
        <v>682</v>
      </c>
      <c r="CD737">
        <v>1939</v>
      </c>
      <c r="CE737" t="s">
        <v>147</v>
      </c>
      <c r="CF737" s="3">
        <v>43777</v>
      </c>
      <c r="CI737">
        <v>1</v>
      </c>
      <c r="CJ737">
        <v>1</v>
      </c>
      <c r="CK737">
        <v>24</v>
      </c>
      <c r="CL737" t="s">
        <v>89</v>
      </c>
    </row>
    <row r="738" spans="1:90">
      <c r="A738" t="s">
        <v>72</v>
      </c>
      <c r="B738" t="s">
        <v>73</v>
      </c>
      <c r="C738" t="s">
        <v>74</v>
      </c>
      <c r="E738" t="str">
        <f>"FES1162721541"</f>
        <v>FES1162721541</v>
      </c>
      <c r="F738" s="3">
        <v>43775</v>
      </c>
      <c r="G738">
        <v>202005</v>
      </c>
      <c r="H738" t="s">
        <v>75</v>
      </c>
      <c r="I738" t="s">
        <v>76</v>
      </c>
      <c r="J738" t="s">
        <v>77</v>
      </c>
      <c r="K738" t="s">
        <v>78</v>
      </c>
      <c r="L738" t="s">
        <v>124</v>
      </c>
      <c r="M738" t="s">
        <v>125</v>
      </c>
      <c r="N738" t="s">
        <v>218</v>
      </c>
      <c r="O738" t="s">
        <v>82</v>
      </c>
      <c r="P738" t="str">
        <f>"2170715729                    "</f>
        <v xml:space="preserve">2170715729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6.71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 s="4">
        <v>39.42</v>
      </c>
      <c r="BM738" s="4">
        <v>5.91</v>
      </c>
      <c r="BN738" s="4">
        <v>45.33</v>
      </c>
      <c r="BO738" s="4">
        <v>45.33</v>
      </c>
      <c r="BQ738" t="s">
        <v>121</v>
      </c>
      <c r="BR738" t="s">
        <v>84</v>
      </c>
      <c r="BS738" s="3">
        <v>43776</v>
      </c>
      <c r="BT738" s="5">
        <v>0.4201388888888889</v>
      </c>
      <c r="BU738" t="s">
        <v>1255</v>
      </c>
      <c r="BV738" t="s">
        <v>86</v>
      </c>
      <c r="BY738">
        <v>1200</v>
      </c>
      <c r="CA738" t="s">
        <v>415</v>
      </c>
      <c r="CC738" t="s">
        <v>125</v>
      </c>
      <c r="CD738">
        <v>2094</v>
      </c>
      <c r="CE738" t="s">
        <v>147</v>
      </c>
      <c r="CF738" s="3">
        <v>43777</v>
      </c>
      <c r="CI738">
        <v>1</v>
      </c>
      <c r="CJ738">
        <v>1</v>
      </c>
      <c r="CK738">
        <v>22</v>
      </c>
      <c r="CL738" t="s">
        <v>89</v>
      </c>
    </row>
    <row r="739" spans="1:90">
      <c r="A739" t="s">
        <v>72</v>
      </c>
      <c r="B739" t="s">
        <v>73</v>
      </c>
      <c r="C739" t="s">
        <v>74</v>
      </c>
      <c r="E739" t="str">
        <f>"FES1162721505"</f>
        <v>FES1162721505</v>
      </c>
      <c r="F739" s="3">
        <v>43775</v>
      </c>
      <c r="G739">
        <v>202005</v>
      </c>
      <c r="H739" t="s">
        <v>75</v>
      </c>
      <c r="I739" t="s">
        <v>76</v>
      </c>
      <c r="J739" t="s">
        <v>77</v>
      </c>
      <c r="K739" t="s">
        <v>78</v>
      </c>
      <c r="L739" t="s">
        <v>482</v>
      </c>
      <c r="M739" t="s">
        <v>483</v>
      </c>
      <c r="N739" t="s">
        <v>1256</v>
      </c>
      <c r="O739" t="s">
        <v>82</v>
      </c>
      <c r="P739" t="str">
        <f>"2170714146                    "</f>
        <v xml:space="preserve">2170714146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6.71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 s="4">
        <v>39.42</v>
      </c>
      <c r="BM739" s="4">
        <v>5.91</v>
      </c>
      <c r="BN739" s="4">
        <v>45.33</v>
      </c>
      <c r="BO739" s="4">
        <v>45.33</v>
      </c>
      <c r="BR739" t="s">
        <v>84</v>
      </c>
      <c r="BS739" s="3">
        <v>43776</v>
      </c>
      <c r="BT739" s="5">
        <v>0.33958333333333335</v>
      </c>
      <c r="BU739" t="s">
        <v>231</v>
      </c>
      <c r="BV739" t="s">
        <v>86</v>
      </c>
      <c r="BY739">
        <v>1200</v>
      </c>
      <c r="CC739" t="s">
        <v>483</v>
      </c>
      <c r="CD739">
        <v>1459</v>
      </c>
      <c r="CE739" t="s">
        <v>147</v>
      </c>
      <c r="CF739" s="3">
        <v>43777</v>
      </c>
      <c r="CI739">
        <v>1</v>
      </c>
      <c r="CJ739">
        <v>1</v>
      </c>
      <c r="CK739">
        <v>22</v>
      </c>
      <c r="CL739" t="s">
        <v>89</v>
      </c>
    </row>
    <row r="740" spans="1:90">
      <c r="A740" t="s">
        <v>72</v>
      </c>
      <c r="B740" t="s">
        <v>73</v>
      </c>
      <c r="C740" t="s">
        <v>74</v>
      </c>
      <c r="E740" t="str">
        <f>"FES1162721496"</f>
        <v>FES1162721496</v>
      </c>
      <c r="F740" s="3">
        <v>43775</v>
      </c>
      <c r="G740">
        <v>202005</v>
      </c>
      <c r="H740" t="s">
        <v>75</v>
      </c>
      <c r="I740" t="s">
        <v>76</v>
      </c>
      <c r="J740" t="s">
        <v>77</v>
      </c>
      <c r="K740" t="s">
        <v>78</v>
      </c>
      <c r="L740" t="s">
        <v>112</v>
      </c>
      <c r="M740" t="s">
        <v>113</v>
      </c>
      <c r="N740" t="s">
        <v>1257</v>
      </c>
      <c r="O740" t="s">
        <v>82</v>
      </c>
      <c r="P740" t="str">
        <f>"2170714022                    "</f>
        <v xml:space="preserve">2170714022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8.58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 s="4">
        <v>50.45</v>
      </c>
      <c r="BM740" s="4">
        <v>7.57</v>
      </c>
      <c r="BN740" s="4">
        <v>58.02</v>
      </c>
      <c r="BO740" s="4">
        <v>58.02</v>
      </c>
      <c r="BQ740" t="s">
        <v>121</v>
      </c>
      <c r="BR740" t="s">
        <v>84</v>
      </c>
      <c r="BS740" s="3">
        <v>43776</v>
      </c>
      <c r="BT740" s="5">
        <v>0.36249999999999999</v>
      </c>
      <c r="BU740" t="s">
        <v>1258</v>
      </c>
      <c r="BV740" t="s">
        <v>86</v>
      </c>
      <c r="BY740">
        <v>1200</v>
      </c>
      <c r="CA740" t="s">
        <v>117</v>
      </c>
      <c r="CC740" t="s">
        <v>113</v>
      </c>
      <c r="CD740">
        <v>4013</v>
      </c>
      <c r="CE740" t="s">
        <v>147</v>
      </c>
      <c r="CF740" s="3">
        <v>43777</v>
      </c>
      <c r="CI740">
        <v>1</v>
      </c>
      <c r="CJ740">
        <v>1</v>
      </c>
      <c r="CK740">
        <v>21</v>
      </c>
      <c r="CL740" t="s">
        <v>89</v>
      </c>
    </row>
    <row r="741" spans="1:90">
      <c r="A741" t="s">
        <v>72</v>
      </c>
      <c r="B741" t="s">
        <v>73</v>
      </c>
      <c r="C741" t="s">
        <v>74</v>
      </c>
      <c r="E741" t="str">
        <f>"FES1162721581"</f>
        <v>FES1162721581</v>
      </c>
      <c r="F741" s="3">
        <v>43775</v>
      </c>
      <c r="G741">
        <v>202005</v>
      </c>
      <c r="H741" t="s">
        <v>75</v>
      </c>
      <c r="I741" t="s">
        <v>76</v>
      </c>
      <c r="J741" t="s">
        <v>77</v>
      </c>
      <c r="K741" t="s">
        <v>78</v>
      </c>
      <c r="L741" t="s">
        <v>292</v>
      </c>
      <c r="M741" t="s">
        <v>293</v>
      </c>
      <c r="N741" t="s">
        <v>294</v>
      </c>
      <c r="O741" t="s">
        <v>82</v>
      </c>
      <c r="P741" t="str">
        <f>"2170714573                    "</f>
        <v xml:space="preserve">2170714573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16.63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0.7</v>
      </c>
      <c r="BJ741">
        <v>1.6</v>
      </c>
      <c r="BK741">
        <v>2</v>
      </c>
      <c r="BL741" s="4">
        <v>97.75</v>
      </c>
      <c r="BM741" s="4">
        <v>14.66</v>
      </c>
      <c r="BN741" s="4">
        <v>112.41</v>
      </c>
      <c r="BO741" s="4">
        <v>112.41</v>
      </c>
      <c r="BQ741" t="s">
        <v>121</v>
      </c>
      <c r="BR741" t="s">
        <v>84</v>
      </c>
      <c r="BS741" s="3">
        <v>43776</v>
      </c>
      <c r="BT741" s="5">
        <v>0.38541666666666669</v>
      </c>
      <c r="BU741" t="s">
        <v>1259</v>
      </c>
      <c r="BV741" t="s">
        <v>86</v>
      </c>
      <c r="BY741">
        <v>8168.13</v>
      </c>
      <c r="CC741" t="s">
        <v>293</v>
      </c>
      <c r="CD741">
        <v>1947</v>
      </c>
      <c r="CE741" t="s">
        <v>147</v>
      </c>
      <c r="CF741" s="3">
        <v>43777</v>
      </c>
      <c r="CI741">
        <v>1</v>
      </c>
      <c r="CJ741">
        <v>1</v>
      </c>
      <c r="CK741">
        <v>23</v>
      </c>
      <c r="CL741" t="s">
        <v>89</v>
      </c>
    </row>
    <row r="742" spans="1:90">
      <c r="A742" t="s">
        <v>72</v>
      </c>
      <c r="B742" t="s">
        <v>73</v>
      </c>
      <c r="C742" t="s">
        <v>74</v>
      </c>
      <c r="E742" t="str">
        <f>"FES1162721531"</f>
        <v>FES1162721531</v>
      </c>
      <c r="F742" s="3">
        <v>43775</v>
      </c>
      <c r="G742">
        <v>202005</v>
      </c>
      <c r="H742" t="s">
        <v>75</v>
      </c>
      <c r="I742" t="s">
        <v>76</v>
      </c>
      <c r="J742" t="s">
        <v>77</v>
      </c>
      <c r="K742" t="s">
        <v>78</v>
      </c>
      <c r="L742" t="s">
        <v>296</v>
      </c>
      <c r="M742" t="s">
        <v>297</v>
      </c>
      <c r="N742" t="s">
        <v>672</v>
      </c>
      <c r="O742" t="s">
        <v>82</v>
      </c>
      <c r="P742" t="str">
        <f>"2170715714                    "</f>
        <v xml:space="preserve">2170715714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16.63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 s="4">
        <v>97.75</v>
      </c>
      <c r="BM742" s="4">
        <v>14.66</v>
      </c>
      <c r="BN742" s="4">
        <v>112.41</v>
      </c>
      <c r="BO742" s="4">
        <v>112.41</v>
      </c>
      <c r="BQ742" t="s">
        <v>142</v>
      </c>
      <c r="BR742" t="s">
        <v>84</v>
      </c>
      <c r="BS742" s="3">
        <v>43777</v>
      </c>
      <c r="BT742" s="5">
        <v>0.36249999999999999</v>
      </c>
      <c r="BU742" t="s">
        <v>1260</v>
      </c>
      <c r="BV742" t="s">
        <v>86</v>
      </c>
      <c r="BY742">
        <v>1200</v>
      </c>
      <c r="CA742" t="s">
        <v>300</v>
      </c>
      <c r="CC742" t="s">
        <v>297</v>
      </c>
      <c r="CD742">
        <v>6850</v>
      </c>
      <c r="CE742" t="s">
        <v>147</v>
      </c>
      <c r="CF742" s="3">
        <v>43780</v>
      </c>
      <c r="CI742">
        <v>3</v>
      </c>
      <c r="CJ742">
        <v>2</v>
      </c>
      <c r="CK742">
        <v>23</v>
      </c>
      <c r="CL742" t="s">
        <v>89</v>
      </c>
    </row>
    <row r="743" spans="1:90">
      <c r="A743" t="s">
        <v>72</v>
      </c>
      <c r="B743" t="s">
        <v>73</v>
      </c>
      <c r="C743" t="s">
        <v>74</v>
      </c>
      <c r="E743" t="str">
        <f>"FES1162721447"</f>
        <v>FES1162721447</v>
      </c>
      <c r="F743" s="3">
        <v>43775</v>
      </c>
      <c r="G743">
        <v>202005</v>
      </c>
      <c r="H743" t="s">
        <v>75</v>
      </c>
      <c r="I743" t="s">
        <v>76</v>
      </c>
      <c r="J743" t="s">
        <v>77</v>
      </c>
      <c r="K743" t="s">
        <v>78</v>
      </c>
      <c r="L743" t="s">
        <v>176</v>
      </c>
      <c r="M743" t="s">
        <v>177</v>
      </c>
      <c r="N743" t="s">
        <v>1261</v>
      </c>
      <c r="O743" t="s">
        <v>82</v>
      </c>
      <c r="P743" t="str">
        <f>"2170713588                    "</f>
        <v xml:space="preserve">2170713588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8.58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 s="4">
        <v>50.45</v>
      </c>
      <c r="BM743" s="4">
        <v>7.57</v>
      </c>
      <c r="BN743" s="4">
        <v>58.02</v>
      </c>
      <c r="BO743" s="4">
        <v>58.02</v>
      </c>
      <c r="BR743" t="s">
        <v>84</v>
      </c>
      <c r="BS743" s="3">
        <v>43776</v>
      </c>
      <c r="BT743" s="5">
        <v>0.42083333333333334</v>
      </c>
      <c r="BU743" t="s">
        <v>1262</v>
      </c>
      <c r="BV743" t="s">
        <v>86</v>
      </c>
      <c r="BY743">
        <v>1200</v>
      </c>
      <c r="CA743" t="s">
        <v>224</v>
      </c>
      <c r="CC743" t="s">
        <v>177</v>
      </c>
      <c r="CD743">
        <v>3610</v>
      </c>
      <c r="CE743" t="s">
        <v>147</v>
      </c>
      <c r="CF743" s="3">
        <v>43777</v>
      </c>
      <c r="CI743">
        <v>1</v>
      </c>
      <c r="CJ743">
        <v>1</v>
      </c>
      <c r="CK743">
        <v>21</v>
      </c>
      <c r="CL743" t="s">
        <v>89</v>
      </c>
    </row>
    <row r="744" spans="1:90">
      <c r="A744" t="s">
        <v>72</v>
      </c>
      <c r="B744" t="s">
        <v>73</v>
      </c>
      <c r="C744" t="s">
        <v>74</v>
      </c>
      <c r="E744" t="str">
        <f>"FES1162721500"</f>
        <v>FES1162721500</v>
      </c>
      <c r="F744" s="3">
        <v>43775</v>
      </c>
      <c r="G744">
        <v>202005</v>
      </c>
      <c r="H744" t="s">
        <v>75</v>
      </c>
      <c r="I744" t="s">
        <v>76</v>
      </c>
      <c r="J744" t="s">
        <v>77</v>
      </c>
      <c r="K744" t="s">
        <v>78</v>
      </c>
      <c r="L744" t="s">
        <v>691</v>
      </c>
      <c r="M744" t="s">
        <v>692</v>
      </c>
      <c r="N744" t="s">
        <v>1217</v>
      </c>
      <c r="O744" t="s">
        <v>82</v>
      </c>
      <c r="P744" t="str">
        <f>"2170714085                    "</f>
        <v xml:space="preserve">2170714085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6.71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 s="4">
        <v>39.42</v>
      </c>
      <c r="BM744" s="4">
        <v>5.91</v>
      </c>
      <c r="BN744" s="4">
        <v>45.33</v>
      </c>
      <c r="BO744" s="4">
        <v>45.33</v>
      </c>
      <c r="BQ744" t="s">
        <v>109</v>
      </c>
      <c r="BR744" t="s">
        <v>84</v>
      </c>
      <c r="BS744" s="3">
        <v>43776</v>
      </c>
      <c r="BT744" s="5">
        <v>0.375</v>
      </c>
      <c r="BU744" t="s">
        <v>1263</v>
      </c>
      <c r="BV744" t="s">
        <v>86</v>
      </c>
      <c r="BY744">
        <v>1200</v>
      </c>
      <c r="CC744" t="s">
        <v>692</v>
      </c>
      <c r="CD744">
        <v>1559</v>
      </c>
      <c r="CE744" t="s">
        <v>147</v>
      </c>
      <c r="CF744" s="3">
        <v>43777</v>
      </c>
      <c r="CI744">
        <v>1</v>
      </c>
      <c r="CJ744">
        <v>1</v>
      </c>
      <c r="CK744">
        <v>22</v>
      </c>
      <c r="CL744" t="s">
        <v>89</v>
      </c>
    </row>
    <row r="745" spans="1:90">
      <c r="A745" t="s">
        <v>72</v>
      </c>
      <c r="B745" t="s">
        <v>73</v>
      </c>
      <c r="C745" t="s">
        <v>74</v>
      </c>
      <c r="E745" t="str">
        <f>"FES1162721362"</f>
        <v>FES1162721362</v>
      </c>
      <c r="F745" s="3">
        <v>43775</v>
      </c>
      <c r="G745">
        <v>202005</v>
      </c>
      <c r="H745" t="s">
        <v>75</v>
      </c>
      <c r="I745" t="s">
        <v>76</v>
      </c>
      <c r="J745" t="s">
        <v>77</v>
      </c>
      <c r="K745" t="s">
        <v>78</v>
      </c>
      <c r="L745" t="s">
        <v>155</v>
      </c>
      <c r="M745" t="s">
        <v>156</v>
      </c>
      <c r="N745" t="s">
        <v>1264</v>
      </c>
      <c r="O745" t="s">
        <v>82</v>
      </c>
      <c r="P745" t="str">
        <f>"2170715330                    "</f>
        <v xml:space="preserve">2170715330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6.71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 s="4">
        <v>39.42</v>
      </c>
      <c r="BM745" s="4">
        <v>5.91</v>
      </c>
      <c r="BN745" s="4">
        <v>45.33</v>
      </c>
      <c r="BO745" s="4">
        <v>45.33</v>
      </c>
      <c r="BQ745" t="s">
        <v>1265</v>
      </c>
      <c r="BR745" t="s">
        <v>84</v>
      </c>
      <c r="BS745" s="3">
        <v>43776</v>
      </c>
      <c r="BT745" s="5">
        <v>0.33333333333333331</v>
      </c>
      <c r="BU745" t="s">
        <v>1266</v>
      </c>
      <c r="BV745" t="s">
        <v>86</v>
      </c>
      <c r="BY745">
        <v>1200</v>
      </c>
      <c r="CA745" t="s">
        <v>1267</v>
      </c>
      <c r="CC745" t="s">
        <v>156</v>
      </c>
      <c r="CD745">
        <v>1684</v>
      </c>
      <c r="CE745" t="s">
        <v>147</v>
      </c>
      <c r="CF745" s="3">
        <v>43777</v>
      </c>
      <c r="CI745">
        <v>1</v>
      </c>
      <c r="CJ745">
        <v>1</v>
      </c>
      <c r="CK745">
        <v>22</v>
      </c>
      <c r="CL745" t="s">
        <v>89</v>
      </c>
    </row>
    <row r="746" spans="1:90">
      <c r="A746" t="s">
        <v>72</v>
      </c>
      <c r="B746" t="s">
        <v>73</v>
      </c>
      <c r="C746" t="s">
        <v>74</v>
      </c>
      <c r="E746" t="str">
        <f>"FES1162721516"</f>
        <v>FES1162721516</v>
      </c>
      <c r="F746" s="3">
        <v>43775</v>
      </c>
      <c r="G746">
        <v>202005</v>
      </c>
      <c r="H746" t="s">
        <v>75</v>
      </c>
      <c r="I746" t="s">
        <v>76</v>
      </c>
      <c r="J746" t="s">
        <v>77</v>
      </c>
      <c r="K746" t="s">
        <v>78</v>
      </c>
      <c r="L746" t="s">
        <v>90</v>
      </c>
      <c r="M746" t="s">
        <v>91</v>
      </c>
      <c r="N746" t="s">
        <v>401</v>
      </c>
      <c r="O746" t="s">
        <v>82</v>
      </c>
      <c r="P746" t="str">
        <f>"21707147963                   "</f>
        <v xml:space="preserve">21707147963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8.58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 s="4">
        <v>50.45</v>
      </c>
      <c r="BM746" s="4">
        <v>7.57</v>
      </c>
      <c r="BN746" s="4">
        <v>58.02</v>
      </c>
      <c r="BO746" s="4">
        <v>58.02</v>
      </c>
      <c r="BQ746" t="s">
        <v>109</v>
      </c>
      <c r="BR746" t="s">
        <v>84</v>
      </c>
      <c r="BS746" s="3">
        <v>43776</v>
      </c>
      <c r="BT746" s="5">
        <v>0.33680555555555558</v>
      </c>
      <c r="BU746" t="s">
        <v>1019</v>
      </c>
      <c r="BV746" t="s">
        <v>86</v>
      </c>
      <c r="BY746">
        <v>1200</v>
      </c>
      <c r="CA746" t="s">
        <v>221</v>
      </c>
      <c r="CC746" t="s">
        <v>91</v>
      </c>
      <c r="CD746">
        <v>7441</v>
      </c>
      <c r="CE746" t="s">
        <v>147</v>
      </c>
      <c r="CF746" s="3">
        <v>43777</v>
      </c>
      <c r="CI746">
        <v>1</v>
      </c>
      <c r="CJ746">
        <v>1</v>
      </c>
      <c r="CK746">
        <v>21</v>
      </c>
      <c r="CL746" t="s">
        <v>89</v>
      </c>
    </row>
    <row r="747" spans="1:90">
      <c r="A747" t="s">
        <v>72</v>
      </c>
      <c r="B747" t="s">
        <v>73</v>
      </c>
      <c r="C747" t="s">
        <v>74</v>
      </c>
      <c r="E747" t="str">
        <f>"FES1162721537"</f>
        <v>FES1162721537</v>
      </c>
      <c r="F747" s="3">
        <v>43775</v>
      </c>
      <c r="G747">
        <v>202005</v>
      </c>
      <c r="H747" t="s">
        <v>75</v>
      </c>
      <c r="I747" t="s">
        <v>76</v>
      </c>
      <c r="J747" t="s">
        <v>77</v>
      </c>
      <c r="K747" t="s">
        <v>78</v>
      </c>
      <c r="L747" t="s">
        <v>1268</v>
      </c>
      <c r="M747" t="s">
        <v>1269</v>
      </c>
      <c r="N747" t="s">
        <v>1270</v>
      </c>
      <c r="O747" t="s">
        <v>82</v>
      </c>
      <c r="P747" t="str">
        <f>"2170715724                    "</f>
        <v xml:space="preserve">2170715724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8.58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 s="4">
        <v>50.45</v>
      </c>
      <c r="BM747" s="4">
        <v>7.57</v>
      </c>
      <c r="BN747" s="4">
        <v>58.02</v>
      </c>
      <c r="BO747" s="4">
        <v>58.02</v>
      </c>
      <c r="BQ747" t="s">
        <v>109</v>
      </c>
      <c r="BR747" t="s">
        <v>84</v>
      </c>
      <c r="BS747" s="3">
        <v>43776</v>
      </c>
      <c r="BT747" s="5">
        <v>0.47500000000000003</v>
      </c>
      <c r="BU747" t="s">
        <v>1271</v>
      </c>
      <c r="BV747" t="s">
        <v>86</v>
      </c>
      <c r="BY747">
        <v>1200</v>
      </c>
      <c r="CA747" t="s">
        <v>1215</v>
      </c>
      <c r="CC747" t="s">
        <v>1269</v>
      </c>
      <c r="CD747">
        <v>3290</v>
      </c>
      <c r="CE747" t="s">
        <v>147</v>
      </c>
      <c r="CF747" s="3">
        <v>43780</v>
      </c>
      <c r="CI747">
        <v>1</v>
      </c>
      <c r="CJ747">
        <v>1</v>
      </c>
      <c r="CK747">
        <v>21</v>
      </c>
      <c r="CL747" t="s">
        <v>89</v>
      </c>
    </row>
    <row r="748" spans="1:90">
      <c r="A748" t="s">
        <v>72</v>
      </c>
      <c r="B748" t="s">
        <v>73</v>
      </c>
      <c r="C748" t="s">
        <v>74</v>
      </c>
      <c r="E748" t="str">
        <f>"FES1162721596"</f>
        <v>FES1162721596</v>
      </c>
      <c r="F748" s="3">
        <v>43775</v>
      </c>
      <c r="G748">
        <v>202005</v>
      </c>
      <c r="H748" t="s">
        <v>75</v>
      </c>
      <c r="I748" t="s">
        <v>76</v>
      </c>
      <c r="J748" t="s">
        <v>77</v>
      </c>
      <c r="K748" t="s">
        <v>78</v>
      </c>
      <c r="L748" t="s">
        <v>75</v>
      </c>
      <c r="M748" t="s">
        <v>76</v>
      </c>
      <c r="N748" t="s">
        <v>1272</v>
      </c>
      <c r="O748" t="s">
        <v>82</v>
      </c>
      <c r="P748" t="str">
        <f>"2170715770                    "</f>
        <v xml:space="preserve">2170715770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6.71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 s="4">
        <v>39.42</v>
      </c>
      <c r="BM748" s="4">
        <v>5.91</v>
      </c>
      <c r="BN748" s="4">
        <v>45.33</v>
      </c>
      <c r="BO748" s="4">
        <v>45.33</v>
      </c>
      <c r="BQ748" t="s">
        <v>109</v>
      </c>
      <c r="BR748" t="s">
        <v>84</v>
      </c>
      <c r="BS748" s="3">
        <v>43776</v>
      </c>
      <c r="BT748" s="5">
        <v>0.35416666666666669</v>
      </c>
      <c r="BU748" t="s">
        <v>1273</v>
      </c>
      <c r="BV748" t="s">
        <v>86</v>
      </c>
      <c r="BY748">
        <v>1200</v>
      </c>
      <c r="CA748" t="s">
        <v>123</v>
      </c>
      <c r="CC748" t="s">
        <v>76</v>
      </c>
      <c r="CD748">
        <v>1665</v>
      </c>
      <c r="CE748" t="s">
        <v>147</v>
      </c>
      <c r="CF748" s="3">
        <v>43777</v>
      </c>
      <c r="CI748">
        <v>1</v>
      </c>
      <c r="CJ748">
        <v>1</v>
      </c>
      <c r="CK748">
        <v>22</v>
      </c>
      <c r="CL748" t="s">
        <v>89</v>
      </c>
    </row>
    <row r="749" spans="1:90">
      <c r="A749" t="s">
        <v>72</v>
      </c>
      <c r="B749" t="s">
        <v>73</v>
      </c>
      <c r="C749" t="s">
        <v>74</v>
      </c>
      <c r="E749" t="str">
        <f>"FES1162721632"</f>
        <v>FES1162721632</v>
      </c>
      <c r="F749" s="3">
        <v>43775</v>
      </c>
      <c r="G749">
        <v>202005</v>
      </c>
      <c r="H749" t="s">
        <v>75</v>
      </c>
      <c r="I749" t="s">
        <v>76</v>
      </c>
      <c r="J749" t="s">
        <v>77</v>
      </c>
      <c r="K749" t="s">
        <v>78</v>
      </c>
      <c r="L749" t="s">
        <v>101</v>
      </c>
      <c r="M749" t="s">
        <v>102</v>
      </c>
      <c r="N749" t="s">
        <v>234</v>
      </c>
      <c r="O749" t="s">
        <v>82</v>
      </c>
      <c r="P749" t="str">
        <f>"2170715833                    "</f>
        <v xml:space="preserve">2170715833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8.58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 s="4">
        <v>50.45</v>
      </c>
      <c r="BM749" s="4">
        <v>7.57</v>
      </c>
      <c r="BN749" s="4">
        <v>58.02</v>
      </c>
      <c r="BO749" s="4">
        <v>58.02</v>
      </c>
      <c r="BQ749" t="s">
        <v>109</v>
      </c>
      <c r="BR749" t="s">
        <v>84</v>
      </c>
      <c r="BS749" s="3">
        <v>43776</v>
      </c>
      <c r="BT749" s="5">
        <v>0.375</v>
      </c>
      <c r="BU749" t="s">
        <v>235</v>
      </c>
      <c r="BV749" t="s">
        <v>86</v>
      </c>
      <c r="BY749">
        <v>1200</v>
      </c>
      <c r="CA749" t="s">
        <v>183</v>
      </c>
      <c r="CC749" t="s">
        <v>102</v>
      </c>
      <c r="CD749">
        <v>200</v>
      </c>
      <c r="CE749" t="s">
        <v>147</v>
      </c>
      <c r="CF749" s="3">
        <v>43777</v>
      </c>
      <c r="CI749">
        <v>1</v>
      </c>
      <c r="CJ749">
        <v>1</v>
      </c>
      <c r="CK749">
        <v>21</v>
      </c>
      <c r="CL749" t="s">
        <v>89</v>
      </c>
    </row>
    <row r="750" spans="1:90">
      <c r="A750" t="s">
        <v>72</v>
      </c>
      <c r="B750" t="s">
        <v>73</v>
      </c>
      <c r="C750" t="s">
        <v>74</v>
      </c>
      <c r="E750" t="str">
        <f>"FES1162721625"</f>
        <v>FES1162721625</v>
      </c>
      <c r="F750" s="3">
        <v>43775</v>
      </c>
      <c r="G750">
        <v>202005</v>
      </c>
      <c r="H750" t="s">
        <v>75</v>
      </c>
      <c r="I750" t="s">
        <v>76</v>
      </c>
      <c r="J750" t="s">
        <v>77</v>
      </c>
      <c r="K750" t="s">
        <v>78</v>
      </c>
      <c r="L750" t="s">
        <v>101</v>
      </c>
      <c r="M750" t="s">
        <v>102</v>
      </c>
      <c r="N750" t="s">
        <v>707</v>
      </c>
      <c r="O750" t="s">
        <v>82</v>
      </c>
      <c r="P750" t="str">
        <f>"2170715820                    "</f>
        <v xml:space="preserve">2170715820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8.58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 s="4">
        <v>50.45</v>
      </c>
      <c r="BM750" s="4">
        <v>7.57</v>
      </c>
      <c r="BN750" s="4">
        <v>58.02</v>
      </c>
      <c r="BO750" s="4">
        <v>58.02</v>
      </c>
      <c r="BQ750" t="s">
        <v>121</v>
      </c>
      <c r="BR750" t="s">
        <v>84</v>
      </c>
      <c r="BS750" s="3">
        <v>43776</v>
      </c>
      <c r="BT750" s="5">
        <v>0.33124999999999999</v>
      </c>
      <c r="BU750" t="s">
        <v>708</v>
      </c>
      <c r="BV750" t="s">
        <v>86</v>
      </c>
      <c r="BY750">
        <v>1200</v>
      </c>
      <c r="CA750" t="s">
        <v>709</v>
      </c>
      <c r="CC750" t="s">
        <v>102</v>
      </c>
      <c r="CD750">
        <v>1</v>
      </c>
      <c r="CE750" t="s">
        <v>147</v>
      </c>
      <c r="CF750" s="3">
        <v>43777</v>
      </c>
      <c r="CI750">
        <v>1</v>
      </c>
      <c r="CJ750">
        <v>1</v>
      </c>
      <c r="CK750">
        <v>21</v>
      </c>
      <c r="CL750" t="s">
        <v>89</v>
      </c>
    </row>
    <row r="751" spans="1:90">
      <c r="A751" t="s">
        <v>72</v>
      </c>
      <c r="B751" t="s">
        <v>73</v>
      </c>
      <c r="C751" t="s">
        <v>74</v>
      </c>
      <c r="E751" t="str">
        <f>"FES1162721641"</f>
        <v>FES1162721641</v>
      </c>
      <c r="F751" s="3">
        <v>43775</v>
      </c>
      <c r="G751">
        <v>202005</v>
      </c>
      <c r="H751" t="s">
        <v>75</v>
      </c>
      <c r="I751" t="s">
        <v>76</v>
      </c>
      <c r="J751" t="s">
        <v>77</v>
      </c>
      <c r="K751" t="s">
        <v>78</v>
      </c>
      <c r="L751" t="s">
        <v>101</v>
      </c>
      <c r="M751" t="s">
        <v>102</v>
      </c>
      <c r="N751" t="s">
        <v>1274</v>
      </c>
      <c r="O751" t="s">
        <v>82</v>
      </c>
      <c r="P751" t="str">
        <f>"2170715843                    "</f>
        <v xml:space="preserve">2170715843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8.58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 s="4">
        <v>50.45</v>
      </c>
      <c r="BM751" s="4">
        <v>7.57</v>
      </c>
      <c r="BN751" s="4">
        <v>58.02</v>
      </c>
      <c r="BO751" s="4">
        <v>58.02</v>
      </c>
      <c r="BQ751" t="s">
        <v>187</v>
      </c>
      <c r="BR751" t="s">
        <v>84</v>
      </c>
      <c r="BS751" s="3">
        <v>43776</v>
      </c>
      <c r="BT751" s="5">
        <v>0.41666666666666669</v>
      </c>
      <c r="BU751" t="s">
        <v>1275</v>
      </c>
      <c r="BV751" t="s">
        <v>86</v>
      </c>
      <c r="BY751">
        <v>1200</v>
      </c>
      <c r="CA751" t="s">
        <v>916</v>
      </c>
      <c r="CC751" t="s">
        <v>102</v>
      </c>
      <c r="CD751">
        <v>84</v>
      </c>
      <c r="CE751" t="s">
        <v>147</v>
      </c>
      <c r="CF751" s="3">
        <v>43777</v>
      </c>
      <c r="CI751">
        <v>1</v>
      </c>
      <c r="CJ751">
        <v>1</v>
      </c>
      <c r="CK751">
        <v>21</v>
      </c>
      <c r="CL751" t="s">
        <v>89</v>
      </c>
    </row>
    <row r="752" spans="1:90">
      <c r="A752" t="s">
        <v>72</v>
      </c>
      <c r="B752" t="s">
        <v>73</v>
      </c>
      <c r="C752" t="s">
        <v>74</v>
      </c>
      <c r="E752" t="str">
        <f>"FES1162721491"</f>
        <v>FES1162721491</v>
      </c>
      <c r="F752" s="3">
        <v>43775</v>
      </c>
      <c r="G752">
        <v>202005</v>
      </c>
      <c r="H752" t="s">
        <v>75</v>
      </c>
      <c r="I752" t="s">
        <v>76</v>
      </c>
      <c r="J752" t="s">
        <v>77</v>
      </c>
      <c r="K752" t="s">
        <v>78</v>
      </c>
      <c r="L752" t="s">
        <v>605</v>
      </c>
      <c r="M752" t="s">
        <v>606</v>
      </c>
      <c r="N752" t="s">
        <v>1276</v>
      </c>
      <c r="O752" t="s">
        <v>82</v>
      </c>
      <c r="P752" t="str">
        <f>"2170713917                    "</f>
        <v xml:space="preserve">2170713917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12.07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 s="4">
        <v>70.95</v>
      </c>
      <c r="BM752" s="4">
        <v>10.64</v>
      </c>
      <c r="BN752" s="4">
        <v>81.59</v>
      </c>
      <c r="BO752" s="4">
        <v>81.59</v>
      </c>
      <c r="BQ752" t="s">
        <v>1277</v>
      </c>
      <c r="BR752" t="s">
        <v>84</v>
      </c>
      <c r="BS752" s="3">
        <v>43776</v>
      </c>
      <c r="BT752" s="5">
        <v>0.3923611111111111</v>
      </c>
      <c r="BU752" t="s">
        <v>1278</v>
      </c>
      <c r="BV752" t="s">
        <v>86</v>
      </c>
      <c r="BY752">
        <v>1200</v>
      </c>
      <c r="CA752" t="s">
        <v>889</v>
      </c>
      <c r="CC752" t="s">
        <v>606</v>
      </c>
      <c r="CD752">
        <v>208</v>
      </c>
      <c r="CE752" t="s">
        <v>147</v>
      </c>
      <c r="CF752" s="3">
        <v>43777</v>
      </c>
      <c r="CI752">
        <v>1</v>
      </c>
      <c r="CJ752">
        <v>1</v>
      </c>
      <c r="CK752">
        <v>24</v>
      </c>
      <c r="CL752" t="s">
        <v>89</v>
      </c>
    </row>
    <row r="753" spans="1:90">
      <c r="A753" t="s">
        <v>72</v>
      </c>
      <c r="B753" t="s">
        <v>73</v>
      </c>
      <c r="C753" t="s">
        <v>74</v>
      </c>
      <c r="E753" t="str">
        <f>"FES1162721571"</f>
        <v>FES1162721571</v>
      </c>
      <c r="F753" s="3">
        <v>43775</v>
      </c>
      <c r="G753">
        <v>202005</v>
      </c>
      <c r="H753" t="s">
        <v>75</v>
      </c>
      <c r="I753" t="s">
        <v>76</v>
      </c>
      <c r="J753" t="s">
        <v>77</v>
      </c>
      <c r="K753" t="s">
        <v>78</v>
      </c>
      <c r="L753" t="s">
        <v>605</v>
      </c>
      <c r="M753" t="s">
        <v>606</v>
      </c>
      <c r="N753" t="s">
        <v>785</v>
      </c>
      <c r="O753" t="s">
        <v>82</v>
      </c>
      <c r="P753" t="str">
        <f>"2170715606                    "</f>
        <v xml:space="preserve">2170715606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12.07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 s="4">
        <v>70.95</v>
      </c>
      <c r="BM753" s="4">
        <v>10.64</v>
      </c>
      <c r="BN753" s="4">
        <v>81.59</v>
      </c>
      <c r="BO753" s="4">
        <v>81.59</v>
      </c>
      <c r="BQ753" t="s">
        <v>109</v>
      </c>
      <c r="BR753" t="s">
        <v>84</v>
      </c>
      <c r="BS753" s="3">
        <v>43776</v>
      </c>
      <c r="BT753" s="5">
        <v>0.5</v>
      </c>
      <c r="BU753" t="s">
        <v>930</v>
      </c>
      <c r="BV753" t="s">
        <v>86</v>
      </c>
      <c r="BY753">
        <v>1200</v>
      </c>
      <c r="CA753" t="s">
        <v>922</v>
      </c>
      <c r="CC753" t="s">
        <v>606</v>
      </c>
      <c r="CD753">
        <v>407</v>
      </c>
      <c r="CE753" t="s">
        <v>147</v>
      </c>
      <c r="CF753" s="3">
        <v>43777</v>
      </c>
      <c r="CI753">
        <v>1</v>
      </c>
      <c r="CJ753">
        <v>1</v>
      </c>
      <c r="CK753">
        <v>24</v>
      </c>
      <c r="CL753" t="s">
        <v>89</v>
      </c>
    </row>
    <row r="754" spans="1:90">
      <c r="A754" t="s">
        <v>72</v>
      </c>
      <c r="B754" t="s">
        <v>73</v>
      </c>
      <c r="C754" t="s">
        <v>74</v>
      </c>
      <c r="E754" t="str">
        <f>"FES1162721508"</f>
        <v>FES1162721508</v>
      </c>
      <c r="F754" s="3">
        <v>43775</v>
      </c>
      <c r="G754">
        <v>202005</v>
      </c>
      <c r="H754" t="s">
        <v>75</v>
      </c>
      <c r="I754" t="s">
        <v>76</v>
      </c>
      <c r="J754" t="s">
        <v>77</v>
      </c>
      <c r="K754" t="s">
        <v>78</v>
      </c>
      <c r="L754" t="s">
        <v>605</v>
      </c>
      <c r="M754" t="s">
        <v>606</v>
      </c>
      <c r="N754" t="s">
        <v>785</v>
      </c>
      <c r="O754" t="s">
        <v>82</v>
      </c>
      <c r="P754" t="str">
        <f>"2170714176                    "</f>
        <v xml:space="preserve">2170714176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12.07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 s="4">
        <v>70.95</v>
      </c>
      <c r="BM754" s="4">
        <v>10.64</v>
      </c>
      <c r="BN754" s="4">
        <v>81.59</v>
      </c>
      <c r="BO754" s="4">
        <v>81.59</v>
      </c>
      <c r="BQ754" t="s">
        <v>109</v>
      </c>
      <c r="BR754" t="s">
        <v>84</v>
      </c>
      <c r="BS754" s="3">
        <v>43776</v>
      </c>
      <c r="BT754" s="5">
        <v>0.5</v>
      </c>
      <c r="BU754" t="s">
        <v>930</v>
      </c>
      <c r="BV754" t="s">
        <v>86</v>
      </c>
      <c r="BY754">
        <v>1200</v>
      </c>
      <c r="CA754" t="s">
        <v>922</v>
      </c>
      <c r="CC754" t="s">
        <v>606</v>
      </c>
      <c r="CD754">
        <v>407</v>
      </c>
      <c r="CE754" t="s">
        <v>147</v>
      </c>
      <c r="CF754" s="3">
        <v>43777</v>
      </c>
      <c r="CI754">
        <v>1</v>
      </c>
      <c r="CJ754">
        <v>1</v>
      </c>
      <c r="CK754">
        <v>24</v>
      </c>
      <c r="CL754" t="s">
        <v>89</v>
      </c>
    </row>
    <row r="755" spans="1:90">
      <c r="A755" t="s">
        <v>72</v>
      </c>
      <c r="B755" t="s">
        <v>73</v>
      </c>
      <c r="C755" t="s">
        <v>74</v>
      </c>
      <c r="E755" t="str">
        <f>"FES1162721510"</f>
        <v>FES1162721510</v>
      </c>
      <c r="F755" s="3">
        <v>43775</v>
      </c>
      <c r="G755">
        <v>202005</v>
      </c>
      <c r="H755" t="s">
        <v>75</v>
      </c>
      <c r="I755" t="s">
        <v>76</v>
      </c>
      <c r="J755" t="s">
        <v>77</v>
      </c>
      <c r="K755" t="s">
        <v>78</v>
      </c>
      <c r="L755" t="s">
        <v>90</v>
      </c>
      <c r="M755" t="s">
        <v>91</v>
      </c>
      <c r="N755" t="s">
        <v>1279</v>
      </c>
      <c r="O755" t="s">
        <v>82</v>
      </c>
      <c r="P755" t="str">
        <f>"2170714442                    "</f>
        <v xml:space="preserve">2170714442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8.58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 s="4">
        <v>50.45</v>
      </c>
      <c r="BM755" s="4">
        <v>7.57</v>
      </c>
      <c r="BN755" s="4">
        <v>58.02</v>
      </c>
      <c r="BO755" s="4">
        <v>58.02</v>
      </c>
      <c r="BQ755" t="s">
        <v>142</v>
      </c>
      <c r="BR755" t="s">
        <v>84</v>
      </c>
      <c r="BS755" s="3">
        <v>43776</v>
      </c>
      <c r="BT755" s="5">
        <v>0.3840277777777778</v>
      </c>
      <c r="BU755" t="s">
        <v>1280</v>
      </c>
      <c r="BV755" t="s">
        <v>86</v>
      </c>
      <c r="BY755">
        <v>1200</v>
      </c>
      <c r="CA755" t="s">
        <v>1281</v>
      </c>
      <c r="CC755" t="s">
        <v>91</v>
      </c>
      <c r="CD755">
        <v>7800</v>
      </c>
      <c r="CE755" t="s">
        <v>147</v>
      </c>
      <c r="CF755" s="3">
        <v>43777</v>
      </c>
      <c r="CI755">
        <v>1</v>
      </c>
      <c r="CJ755">
        <v>1</v>
      </c>
      <c r="CK755">
        <v>21</v>
      </c>
      <c r="CL755" t="s">
        <v>89</v>
      </c>
    </row>
    <row r="756" spans="1:90">
      <c r="A756" t="s">
        <v>72</v>
      </c>
      <c r="B756" t="s">
        <v>73</v>
      </c>
      <c r="C756" t="s">
        <v>74</v>
      </c>
      <c r="E756" t="str">
        <f>"FES1162721572"</f>
        <v>FES1162721572</v>
      </c>
      <c r="F756" s="3">
        <v>43775</v>
      </c>
      <c r="G756">
        <v>202005</v>
      </c>
      <c r="H756" t="s">
        <v>75</v>
      </c>
      <c r="I756" t="s">
        <v>76</v>
      </c>
      <c r="J756" t="s">
        <v>77</v>
      </c>
      <c r="K756" t="s">
        <v>78</v>
      </c>
      <c r="L756" t="s">
        <v>681</v>
      </c>
      <c r="M756" t="s">
        <v>682</v>
      </c>
      <c r="N756" t="s">
        <v>1282</v>
      </c>
      <c r="O756" t="s">
        <v>82</v>
      </c>
      <c r="P756" t="str">
        <f>"21707154645                   "</f>
        <v xml:space="preserve">21707154645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12.07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 s="4">
        <v>70.95</v>
      </c>
      <c r="BM756" s="4">
        <v>10.64</v>
      </c>
      <c r="BN756" s="4">
        <v>81.59</v>
      </c>
      <c r="BO756" s="4">
        <v>81.59</v>
      </c>
      <c r="BR756" t="s">
        <v>84</v>
      </c>
      <c r="BS756" s="3">
        <v>43776</v>
      </c>
      <c r="BT756" s="5">
        <v>0.38680555555555557</v>
      </c>
      <c r="BU756" t="s">
        <v>1283</v>
      </c>
      <c r="BV756" t="s">
        <v>86</v>
      </c>
      <c r="BY756">
        <v>1200</v>
      </c>
      <c r="CA756" t="s">
        <v>1224</v>
      </c>
      <c r="CC756" t="s">
        <v>682</v>
      </c>
      <c r="CD756">
        <v>1939</v>
      </c>
      <c r="CE756" t="s">
        <v>147</v>
      </c>
      <c r="CF756" s="3">
        <v>43777</v>
      </c>
      <c r="CI756">
        <v>1</v>
      </c>
      <c r="CJ756">
        <v>1</v>
      </c>
      <c r="CK756">
        <v>24</v>
      </c>
      <c r="CL756" t="s">
        <v>89</v>
      </c>
    </row>
    <row r="757" spans="1:90">
      <c r="A757" t="s">
        <v>72</v>
      </c>
      <c r="B757" t="s">
        <v>73</v>
      </c>
      <c r="C757" t="s">
        <v>74</v>
      </c>
      <c r="E757" t="str">
        <f>"FES1162721443"</f>
        <v>FES1162721443</v>
      </c>
      <c r="F757" s="3">
        <v>43775</v>
      </c>
      <c r="G757">
        <v>202005</v>
      </c>
      <c r="H757" t="s">
        <v>75</v>
      </c>
      <c r="I757" t="s">
        <v>76</v>
      </c>
      <c r="J757" t="s">
        <v>77</v>
      </c>
      <c r="K757" t="s">
        <v>78</v>
      </c>
      <c r="L757" t="s">
        <v>101</v>
      </c>
      <c r="M757" t="s">
        <v>102</v>
      </c>
      <c r="N757" t="s">
        <v>471</v>
      </c>
      <c r="O757" t="s">
        <v>82</v>
      </c>
      <c r="P757" t="str">
        <f>"2170713555                    "</f>
        <v xml:space="preserve">2170713555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8.58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 s="4">
        <v>50.45</v>
      </c>
      <c r="BM757" s="4">
        <v>7.57</v>
      </c>
      <c r="BN757" s="4">
        <v>58.02</v>
      </c>
      <c r="BO757" s="4">
        <v>58.02</v>
      </c>
      <c r="BQ757" t="s">
        <v>142</v>
      </c>
      <c r="BR757" t="s">
        <v>84</v>
      </c>
      <c r="BS757" s="3">
        <v>43777</v>
      </c>
      <c r="BT757" s="5">
        <v>0.64583333333333337</v>
      </c>
      <c r="BU757" t="s">
        <v>1284</v>
      </c>
      <c r="BV757" t="s">
        <v>89</v>
      </c>
      <c r="BW757" t="s">
        <v>319</v>
      </c>
      <c r="BX757" t="s">
        <v>474</v>
      </c>
      <c r="BY757">
        <v>1200</v>
      </c>
      <c r="CA757" t="s">
        <v>1285</v>
      </c>
      <c r="CC757" t="s">
        <v>102</v>
      </c>
      <c r="CD757">
        <v>200</v>
      </c>
      <c r="CE757" t="s">
        <v>147</v>
      </c>
      <c r="CF757" s="3">
        <v>43780</v>
      </c>
      <c r="CI757">
        <v>1</v>
      </c>
      <c r="CJ757">
        <v>2</v>
      </c>
      <c r="CK757">
        <v>21</v>
      </c>
      <c r="CL757" t="s">
        <v>89</v>
      </c>
    </row>
    <row r="758" spans="1:90">
      <c r="A758" t="s">
        <v>72</v>
      </c>
      <c r="B758" t="s">
        <v>73</v>
      </c>
      <c r="C758" t="s">
        <v>74</v>
      </c>
      <c r="E758" t="str">
        <f>"FES1162721461"</f>
        <v>FES1162721461</v>
      </c>
      <c r="F758" s="3">
        <v>43775</v>
      </c>
      <c r="G758">
        <v>202005</v>
      </c>
      <c r="H758" t="s">
        <v>75</v>
      </c>
      <c r="I758" t="s">
        <v>76</v>
      </c>
      <c r="J758" t="s">
        <v>77</v>
      </c>
      <c r="K758" t="s">
        <v>78</v>
      </c>
      <c r="L758" t="s">
        <v>75</v>
      </c>
      <c r="M758" t="s">
        <v>76</v>
      </c>
      <c r="N758" t="s">
        <v>236</v>
      </c>
      <c r="O758" t="s">
        <v>82</v>
      </c>
      <c r="P758" t="str">
        <f>"2170713693                    "</f>
        <v xml:space="preserve">2170713693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6.71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 s="4">
        <v>39.42</v>
      </c>
      <c r="BM758" s="4">
        <v>5.91</v>
      </c>
      <c r="BN758" s="4">
        <v>45.33</v>
      </c>
      <c r="BO758" s="4">
        <v>45.33</v>
      </c>
      <c r="BQ758" t="s">
        <v>109</v>
      </c>
      <c r="BR758" t="s">
        <v>84</v>
      </c>
      <c r="BS758" s="3">
        <v>43776</v>
      </c>
      <c r="BT758" s="5">
        <v>0.3263888888888889</v>
      </c>
      <c r="BU758" t="s">
        <v>1286</v>
      </c>
      <c r="BV758" t="s">
        <v>86</v>
      </c>
      <c r="BY758">
        <v>1200</v>
      </c>
      <c r="CA758" t="s">
        <v>123</v>
      </c>
      <c r="CC758" t="s">
        <v>76</v>
      </c>
      <c r="CD758">
        <v>1665</v>
      </c>
      <c r="CE758" t="s">
        <v>147</v>
      </c>
      <c r="CF758" s="3">
        <v>43777</v>
      </c>
      <c r="CI758">
        <v>1</v>
      </c>
      <c r="CJ758">
        <v>1</v>
      </c>
      <c r="CK758">
        <v>22</v>
      </c>
      <c r="CL758" t="s">
        <v>89</v>
      </c>
    </row>
    <row r="759" spans="1:90">
      <c r="A759" t="s">
        <v>72</v>
      </c>
      <c r="B759" t="s">
        <v>73</v>
      </c>
      <c r="C759" t="s">
        <v>74</v>
      </c>
      <c r="E759" t="str">
        <f>"FES1162721404"</f>
        <v>FES1162721404</v>
      </c>
      <c r="F759" s="3">
        <v>43775</v>
      </c>
      <c r="G759">
        <v>202005</v>
      </c>
      <c r="H759" t="s">
        <v>75</v>
      </c>
      <c r="I759" t="s">
        <v>76</v>
      </c>
      <c r="J759" t="s">
        <v>77</v>
      </c>
      <c r="K759" t="s">
        <v>78</v>
      </c>
      <c r="L759" t="s">
        <v>339</v>
      </c>
      <c r="M759" t="s">
        <v>340</v>
      </c>
      <c r="N759" t="s">
        <v>881</v>
      </c>
      <c r="O759" t="s">
        <v>82</v>
      </c>
      <c r="P759" t="str">
        <f>"2170718913                    "</f>
        <v xml:space="preserve">2170718913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8.58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 s="4">
        <v>50.45</v>
      </c>
      <c r="BM759" s="4">
        <v>7.57</v>
      </c>
      <c r="BN759" s="4">
        <v>58.02</v>
      </c>
      <c r="BO759" s="4">
        <v>58.02</v>
      </c>
      <c r="BQ759" t="s">
        <v>187</v>
      </c>
      <c r="BR759" t="s">
        <v>84</v>
      </c>
      <c r="BS759" s="3">
        <v>43776</v>
      </c>
      <c r="BT759" s="5">
        <v>0.4375</v>
      </c>
      <c r="BU759" t="s">
        <v>1287</v>
      </c>
      <c r="BV759" t="s">
        <v>86</v>
      </c>
      <c r="BY759">
        <v>1200</v>
      </c>
      <c r="CA759" t="s">
        <v>720</v>
      </c>
      <c r="CC759" t="s">
        <v>340</v>
      </c>
      <c r="CD759">
        <v>157</v>
      </c>
      <c r="CE759" t="s">
        <v>147</v>
      </c>
      <c r="CF759" s="3">
        <v>43777</v>
      </c>
      <c r="CI759">
        <v>1</v>
      </c>
      <c r="CJ759">
        <v>1</v>
      </c>
      <c r="CK759">
        <v>21</v>
      </c>
      <c r="CL759" t="s">
        <v>89</v>
      </c>
    </row>
    <row r="760" spans="1:90">
      <c r="A760" t="s">
        <v>72</v>
      </c>
      <c r="B760" t="s">
        <v>73</v>
      </c>
      <c r="C760" t="s">
        <v>74</v>
      </c>
      <c r="E760" t="str">
        <f>"FES1162721522"</f>
        <v>FES1162721522</v>
      </c>
      <c r="F760" s="3">
        <v>43775</v>
      </c>
      <c r="G760">
        <v>202005</v>
      </c>
      <c r="H760" t="s">
        <v>75</v>
      </c>
      <c r="I760" t="s">
        <v>76</v>
      </c>
      <c r="J760" t="s">
        <v>77</v>
      </c>
      <c r="K760" t="s">
        <v>78</v>
      </c>
      <c r="L760" t="s">
        <v>101</v>
      </c>
      <c r="M760" t="s">
        <v>102</v>
      </c>
      <c r="N760" t="s">
        <v>867</v>
      </c>
      <c r="O760" t="s">
        <v>82</v>
      </c>
      <c r="P760" t="str">
        <f>"21707134231                   "</f>
        <v xml:space="preserve">21707134231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8.58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 s="4">
        <v>50.45</v>
      </c>
      <c r="BM760" s="4">
        <v>7.57</v>
      </c>
      <c r="BN760" s="4">
        <v>58.02</v>
      </c>
      <c r="BO760" s="4">
        <v>58.02</v>
      </c>
      <c r="BR760" t="s">
        <v>84</v>
      </c>
      <c r="BS760" s="3">
        <v>43776</v>
      </c>
      <c r="BT760" s="5">
        <v>0.31944444444444448</v>
      </c>
      <c r="BU760" t="s">
        <v>1288</v>
      </c>
      <c r="BV760" t="s">
        <v>86</v>
      </c>
      <c r="BY760">
        <v>1200</v>
      </c>
      <c r="CA760" t="s">
        <v>869</v>
      </c>
      <c r="CC760" t="s">
        <v>102</v>
      </c>
      <c r="CD760">
        <v>1</v>
      </c>
      <c r="CE760" t="s">
        <v>147</v>
      </c>
      <c r="CF760" s="3">
        <v>43777</v>
      </c>
      <c r="CI760">
        <v>1</v>
      </c>
      <c r="CJ760">
        <v>1</v>
      </c>
      <c r="CK760">
        <v>21</v>
      </c>
      <c r="CL760" t="s">
        <v>89</v>
      </c>
    </row>
    <row r="761" spans="1:90">
      <c r="A761" t="s">
        <v>72</v>
      </c>
      <c r="B761" t="s">
        <v>73</v>
      </c>
      <c r="C761" t="s">
        <v>74</v>
      </c>
      <c r="E761" t="str">
        <f>"FES1162721440"</f>
        <v>FES1162721440</v>
      </c>
      <c r="F761" s="3">
        <v>43775</v>
      </c>
      <c r="G761">
        <v>202005</v>
      </c>
      <c r="H761" t="s">
        <v>75</v>
      </c>
      <c r="I761" t="s">
        <v>76</v>
      </c>
      <c r="J761" t="s">
        <v>77</v>
      </c>
      <c r="K761" t="s">
        <v>78</v>
      </c>
      <c r="L761" t="s">
        <v>118</v>
      </c>
      <c r="M761" t="s">
        <v>119</v>
      </c>
      <c r="N761" t="s">
        <v>130</v>
      </c>
      <c r="O761" t="s">
        <v>82</v>
      </c>
      <c r="P761" t="str">
        <f>"2170713540                    "</f>
        <v xml:space="preserve">2170713540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8.58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 s="4">
        <v>50.45</v>
      </c>
      <c r="BM761" s="4">
        <v>7.57</v>
      </c>
      <c r="BN761" s="4">
        <v>58.02</v>
      </c>
      <c r="BO761" s="4">
        <v>58.02</v>
      </c>
      <c r="BQ761" t="s">
        <v>109</v>
      </c>
      <c r="BR761" t="s">
        <v>84</v>
      </c>
      <c r="BS761" s="3">
        <v>43776</v>
      </c>
      <c r="BT761" s="5">
        <v>0.42430555555555555</v>
      </c>
      <c r="BU761" t="s">
        <v>1289</v>
      </c>
      <c r="BV761" t="s">
        <v>86</v>
      </c>
      <c r="BY761">
        <v>1200</v>
      </c>
      <c r="CA761" t="s">
        <v>132</v>
      </c>
      <c r="CC761" t="s">
        <v>119</v>
      </c>
      <c r="CD761">
        <v>3201</v>
      </c>
      <c r="CE761" t="s">
        <v>147</v>
      </c>
      <c r="CF761" s="3">
        <v>43777</v>
      </c>
      <c r="CI761">
        <v>1</v>
      </c>
      <c r="CJ761">
        <v>1</v>
      </c>
      <c r="CK761">
        <v>21</v>
      </c>
      <c r="CL761" t="s">
        <v>89</v>
      </c>
    </row>
    <row r="762" spans="1:90">
      <c r="A762" t="s">
        <v>72</v>
      </c>
      <c r="B762" t="s">
        <v>73</v>
      </c>
      <c r="C762" t="s">
        <v>74</v>
      </c>
      <c r="E762" t="str">
        <f>"FES1162721455"</f>
        <v>FES1162721455</v>
      </c>
      <c r="F762" s="3">
        <v>43775</v>
      </c>
      <c r="G762">
        <v>202005</v>
      </c>
      <c r="H762" t="s">
        <v>75</v>
      </c>
      <c r="I762" t="s">
        <v>76</v>
      </c>
      <c r="J762" t="s">
        <v>77</v>
      </c>
      <c r="K762" t="s">
        <v>78</v>
      </c>
      <c r="L762" t="s">
        <v>118</v>
      </c>
      <c r="M762" t="s">
        <v>119</v>
      </c>
      <c r="N762" t="s">
        <v>1290</v>
      </c>
      <c r="O762" t="s">
        <v>82</v>
      </c>
      <c r="P762" t="str">
        <f>"2170713670                    "</f>
        <v xml:space="preserve">2170713670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8.58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 s="4">
        <v>50.45</v>
      </c>
      <c r="BM762" s="4">
        <v>7.57</v>
      </c>
      <c r="BN762" s="4">
        <v>58.02</v>
      </c>
      <c r="BO762" s="4">
        <v>58.02</v>
      </c>
      <c r="BQ762" t="s">
        <v>1291</v>
      </c>
      <c r="BR762" t="s">
        <v>84</v>
      </c>
      <c r="BS762" s="3">
        <v>43776</v>
      </c>
      <c r="BT762" s="5">
        <v>0.40902777777777777</v>
      </c>
      <c r="BU762" t="s">
        <v>1292</v>
      </c>
      <c r="BV762" t="s">
        <v>86</v>
      </c>
      <c r="BY762">
        <v>1200</v>
      </c>
      <c r="CA762" t="s">
        <v>171</v>
      </c>
      <c r="CC762" t="s">
        <v>119</v>
      </c>
      <c r="CD762">
        <v>3200</v>
      </c>
      <c r="CE762" t="s">
        <v>147</v>
      </c>
      <c r="CF762" s="3">
        <v>43777</v>
      </c>
      <c r="CI762">
        <v>1</v>
      </c>
      <c r="CJ762">
        <v>1</v>
      </c>
      <c r="CK762">
        <v>21</v>
      </c>
      <c r="CL762" t="s">
        <v>89</v>
      </c>
    </row>
    <row r="763" spans="1:90">
      <c r="A763" t="s">
        <v>72</v>
      </c>
      <c r="B763" t="s">
        <v>73</v>
      </c>
      <c r="C763" t="s">
        <v>74</v>
      </c>
      <c r="E763" t="str">
        <f>"FES1162721637"</f>
        <v>FES1162721637</v>
      </c>
      <c r="F763" s="3">
        <v>43775</v>
      </c>
      <c r="G763">
        <v>202005</v>
      </c>
      <c r="H763" t="s">
        <v>75</v>
      </c>
      <c r="I763" t="s">
        <v>76</v>
      </c>
      <c r="J763" t="s">
        <v>77</v>
      </c>
      <c r="K763" t="s">
        <v>78</v>
      </c>
      <c r="L763" t="s">
        <v>101</v>
      </c>
      <c r="M763" t="s">
        <v>102</v>
      </c>
      <c r="N763" t="s">
        <v>1293</v>
      </c>
      <c r="O763" t="s">
        <v>82</v>
      </c>
      <c r="P763" t="str">
        <f>"2170715682                    "</f>
        <v xml:space="preserve">2170715682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8.58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 s="4">
        <v>50.45</v>
      </c>
      <c r="BM763" s="4">
        <v>7.57</v>
      </c>
      <c r="BN763" s="4">
        <v>58.02</v>
      </c>
      <c r="BO763" s="4">
        <v>58.02</v>
      </c>
      <c r="BQ763" t="s">
        <v>109</v>
      </c>
      <c r="BR763" t="s">
        <v>84</v>
      </c>
      <c r="BS763" s="3">
        <v>43776</v>
      </c>
      <c r="BT763" s="5">
        <v>0.40277777777777773</v>
      </c>
      <c r="BU763" t="s">
        <v>1294</v>
      </c>
      <c r="BV763" t="s">
        <v>86</v>
      </c>
      <c r="BY763">
        <v>1200</v>
      </c>
      <c r="CA763" t="s">
        <v>1295</v>
      </c>
      <c r="CC763" t="s">
        <v>102</v>
      </c>
      <c r="CD763">
        <v>200</v>
      </c>
      <c r="CE763" t="s">
        <v>147</v>
      </c>
      <c r="CF763" s="3">
        <v>43777</v>
      </c>
      <c r="CI763">
        <v>1</v>
      </c>
      <c r="CJ763">
        <v>1</v>
      </c>
      <c r="CK763">
        <v>21</v>
      </c>
      <c r="CL763" t="s">
        <v>89</v>
      </c>
    </row>
    <row r="764" spans="1:90">
      <c r="A764" t="s">
        <v>72</v>
      </c>
      <c r="B764" t="s">
        <v>73</v>
      </c>
      <c r="C764" t="s">
        <v>74</v>
      </c>
      <c r="E764" t="str">
        <f>"FES1162721456"</f>
        <v>FES1162721456</v>
      </c>
      <c r="F764" s="3">
        <v>43775</v>
      </c>
      <c r="G764">
        <v>202005</v>
      </c>
      <c r="H764" t="s">
        <v>75</v>
      </c>
      <c r="I764" t="s">
        <v>76</v>
      </c>
      <c r="J764" t="s">
        <v>77</v>
      </c>
      <c r="K764" t="s">
        <v>78</v>
      </c>
      <c r="L764" t="s">
        <v>202</v>
      </c>
      <c r="M764" t="s">
        <v>203</v>
      </c>
      <c r="N764" t="s">
        <v>1296</v>
      </c>
      <c r="O764" t="s">
        <v>82</v>
      </c>
      <c r="P764" t="str">
        <f>"2170713675                    "</f>
        <v xml:space="preserve">2170713675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6.71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 s="4">
        <v>39.42</v>
      </c>
      <c r="BM764" s="4">
        <v>5.91</v>
      </c>
      <c r="BN764" s="4">
        <v>45.33</v>
      </c>
      <c r="BO764" s="4">
        <v>45.33</v>
      </c>
      <c r="BQ764" t="s">
        <v>142</v>
      </c>
      <c r="BR764" t="s">
        <v>84</v>
      </c>
      <c r="BS764" s="3">
        <v>43776</v>
      </c>
      <c r="BT764" s="5">
        <v>0.3576388888888889</v>
      </c>
      <c r="BU764" t="s">
        <v>1297</v>
      </c>
      <c r="BV764" t="s">
        <v>86</v>
      </c>
      <c r="BY764">
        <v>1200</v>
      </c>
      <c r="CA764" t="s">
        <v>123</v>
      </c>
      <c r="CC764" t="s">
        <v>203</v>
      </c>
      <c r="CD764">
        <v>1401</v>
      </c>
      <c r="CE764" t="s">
        <v>147</v>
      </c>
      <c r="CF764" s="3">
        <v>43777</v>
      </c>
      <c r="CI764">
        <v>1</v>
      </c>
      <c r="CJ764">
        <v>1</v>
      </c>
      <c r="CK764">
        <v>22</v>
      </c>
      <c r="CL764" t="s">
        <v>89</v>
      </c>
    </row>
    <row r="765" spans="1:90">
      <c r="A765" t="s">
        <v>72</v>
      </c>
      <c r="B765" t="s">
        <v>73</v>
      </c>
      <c r="C765" t="s">
        <v>74</v>
      </c>
      <c r="E765" t="str">
        <f>"FES1162721402"</f>
        <v>FES1162721402</v>
      </c>
      <c r="F765" s="3">
        <v>43775</v>
      </c>
      <c r="G765">
        <v>202005</v>
      </c>
      <c r="H765" t="s">
        <v>75</v>
      </c>
      <c r="I765" t="s">
        <v>76</v>
      </c>
      <c r="J765" t="s">
        <v>77</v>
      </c>
      <c r="K765" t="s">
        <v>78</v>
      </c>
      <c r="L765" t="s">
        <v>106</v>
      </c>
      <c r="M765" t="s">
        <v>107</v>
      </c>
      <c r="N765" t="s">
        <v>128</v>
      </c>
      <c r="O765" t="s">
        <v>82</v>
      </c>
      <c r="P765" t="str">
        <f>"2170707345                    "</f>
        <v xml:space="preserve">2170707345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25.74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5.6</v>
      </c>
      <c r="BJ765">
        <v>1.4</v>
      </c>
      <c r="BK765">
        <v>6</v>
      </c>
      <c r="BL765" s="4">
        <v>151.29</v>
      </c>
      <c r="BM765" s="4">
        <v>22.69</v>
      </c>
      <c r="BN765" s="4">
        <v>173.98</v>
      </c>
      <c r="BO765" s="4">
        <v>173.98</v>
      </c>
      <c r="BQ765" t="s">
        <v>121</v>
      </c>
      <c r="BR765" t="s">
        <v>84</v>
      </c>
      <c r="BS765" s="3">
        <v>43776</v>
      </c>
      <c r="BT765" s="5">
        <v>0.33333333333333331</v>
      </c>
      <c r="BU765" t="s">
        <v>1056</v>
      </c>
      <c r="BV765" t="s">
        <v>86</v>
      </c>
      <c r="BY765">
        <v>7248.69</v>
      </c>
      <c r="CA765" t="s">
        <v>854</v>
      </c>
      <c r="CC765" t="s">
        <v>107</v>
      </c>
      <c r="CD765">
        <v>6001</v>
      </c>
      <c r="CE765" t="s">
        <v>88</v>
      </c>
      <c r="CF765" s="3">
        <v>43777</v>
      </c>
      <c r="CI765">
        <v>1</v>
      </c>
      <c r="CJ765">
        <v>1</v>
      </c>
      <c r="CK765">
        <v>21</v>
      </c>
      <c r="CL765" t="s">
        <v>89</v>
      </c>
    </row>
    <row r="766" spans="1:90">
      <c r="A766" t="s">
        <v>72</v>
      </c>
      <c r="B766" t="s">
        <v>73</v>
      </c>
      <c r="C766" t="s">
        <v>74</v>
      </c>
      <c r="E766" t="str">
        <f>"FES1162721553"</f>
        <v>FES1162721553</v>
      </c>
      <c r="F766" s="3">
        <v>43775</v>
      </c>
      <c r="G766">
        <v>202005</v>
      </c>
      <c r="H766" t="s">
        <v>75</v>
      </c>
      <c r="I766" t="s">
        <v>76</v>
      </c>
      <c r="J766" t="s">
        <v>77</v>
      </c>
      <c r="K766" t="s">
        <v>78</v>
      </c>
      <c r="L766" t="s">
        <v>681</v>
      </c>
      <c r="M766" t="s">
        <v>682</v>
      </c>
      <c r="N766" t="s">
        <v>683</v>
      </c>
      <c r="O766" t="s">
        <v>82</v>
      </c>
      <c r="P766" t="str">
        <f>"2170714074                    "</f>
        <v xml:space="preserve">2170714074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12.07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 s="4">
        <v>70.95</v>
      </c>
      <c r="BM766" s="4">
        <v>10.64</v>
      </c>
      <c r="BN766" s="4">
        <v>81.59</v>
      </c>
      <c r="BO766" s="4">
        <v>81.59</v>
      </c>
      <c r="BQ766" t="s">
        <v>121</v>
      </c>
      <c r="BR766" t="s">
        <v>84</v>
      </c>
      <c r="BS766" s="3">
        <v>43776</v>
      </c>
      <c r="BT766" s="5">
        <v>0.40347222222222223</v>
      </c>
      <c r="BU766" t="s">
        <v>834</v>
      </c>
      <c r="BV766" t="s">
        <v>86</v>
      </c>
      <c r="BY766">
        <v>1200</v>
      </c>
      <c r="CA766" t="s">
        <v>685</v>
      </c>
      <c r="CC766" t="s">
        <v>682</v>
      </c>
      <c r="CD766">
        <v>1961</v>
      </c>
      <c r="CE766" t="s">
        <v>147</v>
      </c>
      <c r="CF766" s="3">
        <v>43777</v>
      </c>
      <c r="CI766">
        <v>1</v>
      </c>
      <c r="CJ766">
        <v>1</v>
      </c>
      <c r="CK766">
        <v>24</v>
      </c>
      <c r="CL766" t="s">
        <v>89</v>
      </c>
    </row>
    <row r="767" spans="1:90">
      <c r="A767" t="s">
        <v>72</v>
      </c>
      <c r="B767" t="s">
        <v>73</v>
      </c>
      <c r="C767" t="s">
        <v>74</v>
      </c>
      <c r="E767" t="str">
        <f>"FES1162721407"</f>
        <v>FES1162721407</v>
      </c>
      <c r="F767" s="3">
        <v>43775</v>
      </c>
      <c r="G767">
        <v>202005</v>
      </c>
      <c r="H767" t="s">
        <v>75</v>
      </c>
      <c r="I767" t="s">
        <v>76</v>
      </c>
      <c r="J767" t="s">
        <v>77</v>
      </c>
      <c r="K767" t="s">
        <v>78</v>
      </c>
      <c r="L767" t="s">
        <v>112</v>
      </c>
      <c r="M767" t="s">
        <v>113</v>
      </c>
      <c r="N767" t="s">
        <v>437</v>
      </c>
      <c r="O767" t="s">
        <v>82</v>
      </c>
      <c r="P767" t="str">
        <f>"2170711575                    "</f>
        <v xml:space="preserve">2170711575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8.58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 s="4">
        <v>50.45</v>
      </c>
      <c r="BM767" s="4">
        <v>7.57</v>
      </c>
      <c r="BN767" s="4">
        <v>58.02</v>
      </c>
      <c r="BO767" s="4">
        <v>58.02</v>
      </c>
      <c r="BQ767" t="s">
        <v>109</v>
      </c>
      <c r="BR767" t="s">
        <v>84</v>
      </c>
      <c r="BS767" s="3">
        <v>43776</v>
      </c>
      <c r="BT767" s="5">
        <v>0.42708333333333331</v>
      </c>
      <c r="BU767" t="s">
        <v>1298</v>
      </c>
      <c r="BV767" t="s">
        <v>86</v>
      </c>
      <c r="BY767">
        <v>1200</v>
      </c>
      <c r="CA767" t="s">
        <v>229</v>
      </c>
      <c r="CC767" t="s">
        <v>113</v>
      </c>
      <c r="CD767">
        <v>4001</v>
      </c>
      <c r="CE767" t="s">
        <v>147</v>
      </c>
      <c r="CI767">
        <v>1</v>
      </c>
      <c r="CJ767">
        <v>1</v>
      </c>
      <c r="CK767">
        <v>21</v>
      </c>
      <c r="CL767" t="s">
        <v>89</v>
      </c>
    </row>
    <row r="768" spans="1:90">
      <c r="A768" t="s">
        <v>72</v>
      </c>
      <c r="B768" t="s">
        <v>73</v>
      </c>
      <c r="C768" t="s">
        <v>74</v>
      </c>
      <c r="E768" t="str">
        <f>"FES1162721567"</f>
        <v>FES1162721567</v>
      </c>
      <c r="F768" s="3">
        <v>43775</v>
      </c>
      <c r="G768">
        <v>202005</v>
      </c>
      <c r="H768" t="s">
        <v>75</v>
      </c>
      <c r="I768" t="s">
        <v>76</v>
      </c>
      <c r="J768" t="s">
        <v>77</v>
      </c>
      <c r="K768" t="s">
        <v>78</v>
      </c>
      <c r="L768" t="s">
        <v>112</v>
      </c>
      <c r="M768" t="s">
        <v>113</v>
      </c>
      <c r="N768" t="s">
        <v>160</v>
      </c>
      <c r="O768" t="s">
        <v>82</v>
      </c>
      <c r="P768" t="str">
        <f>"2170715172                    "</f>
        <v xml:space="preserve">2170715172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8.58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 s="4">
        <v>50.45</v>
      </c>
      <c r="BM768" s="4">
        <v>7.57</v>
      </c>
      <c r="BN768" s="4">
        <v>58.02</v>
      </c>
      <c r="BO768" s="4">
        <v>58.02</v>
      </c>
      <c r="BQ768" t="s">
        <v>161</v>
      </c>
      <c r="BR768" t="s">
        <v>84</v>
      </c>
      <c r="BS768" s="3">
        <v>43776</v>
      </c>
      <c r="BT768" s="5">
        <v>0.3527777777777778</v>
      </c>
      <c r="BU768" t="s">
        <v>162</v>
      </c>
      <c r="BV768" t="s">
        <v>86</v>
      </c>
      <c r="BY768">
        <v>1200</v>
      </c>
      <c r="CA768" t="s">
        <v>163</v>
      </c>
      <c r="CC768" t="s">
        <v>113</v>
      </c>
      <c r="CD768">
        <v>4000</v>
      </c>
      <c r="CE768" t="s">
        <v>147</v>
      </c>
      <c r="CF768" s="3">
        <v>43777</v>
      </c>
      <c r="CI768">
        <v>1</v>
      </c>
      <c r="CJ768">
        <v>1</v>
      </c>
      <c r="CK768">
        <v>21</v>
      </c>
      <c r="CL768" t="s">
        <v>89</v>
      </c>
    </row>
    <row r="769" spans="1:90">
      <c r="A769" t="s">
        <v>72</v>
      </c>
      <c r="B769" t="s">
        <v>73</v>
      </c>
      <c r="C769" t="s">
        <v>74</v>
      </c>
      <c r="E769" t="str">
        <f>"FES1162721465"</f>
        <v>FES1162721465</v>
      </c>
      <c r="F769" s="3">
        <v>43775</v>
      </c>
      <c r="G769">
        <v>202005</v>
      </c>
      <c r="H769" t="s">
        <v>75</v>
      </c>
      <c r="I769" t="s">
        <v>76</v>
      </c>
      <c r="J769" t="s">
        <v>77</v>
      </c>
      <c r="K769" t="s">
        <v>78</v>
      </c>
      <c r="L769" t="s">
        <v>176</v>
      </c>
      <c r="M769" t="s">
        <v>177</v>
      </c>
      <c r="N769" t="s">
        <v>1299</v>
      </c>
      <c r="O769" t="s">
        <v>82</v>
      </c>
      <c r="P769" t="str">
        <f>"217071708                     "</f>
        <v xml:space="preserve">217071708 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8.58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 s="4">
        <v>50.45</v>
      </c>
      <c r="BM769" s="4">
        <v>7.57</v>
      </c>
      <c r="BN769" s="4">
        <v>58.02</v>
      </c>
      <c r="BO769" s="4">
        <v>58.02</v>
      </c>
      <c r="BQ769" t="s">
        <v>1300</v>
      </c>
      <c r="BR769" t="s">
        <v>84</v>
      </c>
      <c r="BS769" s="3">
        <v>43776</v>
      </c>
      <c r="BT769" s="5">
        <v>0.34236111111111112</v>
      </c>
      <c r="BU769" t="s">
        <v>1200</v>
      </c>
      <c r="BV769" t="s">
        <v>86</v>
      </c>
      <c r="BY769">
        <v>1200</v>
      </c>
      <c r="CA769" t="s">
        <v>224</v>
      </c>
      <c r="CC769" t="s">
        <v>177</v>
      </c>
      <c r="CD769">
        <v>3610</v>
      </c>
      <c r="CE769" t="s">
        <v>147</v>
      </c>
      <c r="CF769" s="3">
        <v>43777</v>
      </c>
      <c r="CI769">
        <v>1</v>
      </c>
      <c r="CJ769">
        <v>1</v>
      </c>
      <c r="CK769">
        <v>21</v>
      </c>
      <c r="CL769" t="s">
        <v>89</v>
      </c>
    </row>
    <row r="770" spans="1:90">
      <c r="A770" t="s">
        <v>72</v>
      </c>
      <c r="B770" t="s">
        <v>73</v>
      </c>
      <c r="C770" t="s">
        <v>74</v>
      </c>
      <c r="E770" t="str">
        <f>"FES1162719829"</f>
        <v>FES1162719829</v>
      </c>
      <c r="F770" s="3">
        <v>43775</v>
      </c>
      <c r="G770">
        <v>202005</v>
      </c>
      <c r="H770" t="s">
        <v>75</v>
      </c>
      <c r="I770" t="s">
        <v>76</v>
      </c>
      <c r="J770" t="s">
        <v>77</v>
      </c>
      <c r="K770" t="s">
        <v>78</v>
      </c>
      <c r="L770" t="s">
        <v>482</v>
      </c>
      <c r="M770" t="s">
        <v>483</v>
      </c>
      <c r="N770" t="s">
        <v>1301</v>
      </c>
      <c r="O770" t="s">
        <v>82</v>
      </c>
      <c r="P770" t="str">
        <f>"2170713242                    "</f>
        <v xml:space="preserve">2170713242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6.71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 s="4">
        <v>39.42</v>
      </c>
      <c r="BM770" s="4">
        <v>5.91</v>
      </c>
      <c r="BN770" s="4">
        <v>45.33</v>
      </c>
      <c r="BO770" s="4">
        <v>45.33</v>
      </c>
      <c r="BQ770" t="s">
        <v>1302</v>
      </c>
      <c r="BR770" t="s">
        <v>84</v>
      </c>
      <c r="BS770" s="3">
        <v>43776</v>
      </c>
      <c r="BT770" s="5">
        <v>0.36458333333333331</v>
      </c>
      <c r="BU770" t="s">
        <v>231</v>
      </c>
      <c r="BV770" t="s">
        <v>86</v>
      </c>
      <c r="BY770">
        <v>1200</v>
      </c>
      <c r="CC770" t="s">
        <v>483</v>
      </c>
      <c r="CD770">
        <v>1459</v>
      </c>
      <c r="CE770" t="s">
        <v>147</v>
      </c>
      <c r="CF770" s="3">
        <v>43777</v>
      </c>
      <c r="CI770">
        <v>1</v>
      </c>
      <c r="CJ770">
        <v>1</v>
      </c>
      <c r="CK770">
        <v>22</v>
      </c>
      <c r="CL770" t="s">
        <v>89</v>
      </c>
    </row>
    <row r="771" spans="1:90">
      <c r="A771" t="s">
        <v>72</v>
      </c>
      <c r="B771" t="s">
        <v>73</v>
      </c>
      <c r="C771" t="s">
        <v>74</v>
      </c>
      <c r="E771" t="str">
        <f>"FES1162721406"</f>
        <v>FES1162721406</v>
      </c>
      <c r="F771" s="3">
        <v>43775</v>
      </c>
      <c r="G771">
        <v>202005</v>
      </c>
      <c r="H771" t="s">
        <v>75</v>
      </c>
      <c r="I771" t="s">
        <v>76</v>
      </c>
      <c r="J771" t="s">
        <v>77</v>
      </c>
      <c r="K771" t="s">
        <v>78</v>
      </c>
      <c r="L771" t="s">
        <v>90</v>
      </c>
      <c r="M771" t="s">
        <v>91</v>
      </c>
      <c r="N771" t="s">
        <v>538</v>
      </c>
      <c r="O771" t="s">
        <v>82</v>
      </c>
      <c r="P771" t="str">
        <f>"2170711504                    "</f>
        <v xml:space="preserve">2170711504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8.58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 s="4">
        <v>50.45</v>
      </c>
      <c r="BM771" s="4">
        <v>7.57</v>
      </c>
      <c r="BN771" s="4">
        <v>58.02</v>
      </c>
      <c r="BO771" s="4">
        <v>58.02</v>
      </c>
      <c r="BQ771" t="s">
        <v>109</v>
      </c>
      <c r="BR771" t="s">
        <v>84</v>
      </c>
      <c r="BS771" s="3">
        <v>43776</v>
      </c>
      <c r="BT771" s="5">
        <v>0.3263888888888889</v>
      </c>
      <c r="BU771" t="s">
        <v>1024</v>
      </c>
      <c r="BV771" t="s">
        <v>86</v>
      </c>
      <c r="BY771">
        <v>1200</v>
      </c>
      <c r="CA771" t="s">
        <v>540</v>
      </c>
      <c r="CC771" t="s">
        <v>91</v>
      </c>
      <c r="CD771">
        <v>7530</v>
      </c>
      <c r="CE771" t="s">
        <v>147</v>
      </c>
      <c r="CF771" s="3">
        <v>43777</v>
      </c>
      <c r="CI771">
        <v>1</v>
      </c>
      <c r="CJ771">
        <v>1</v>
      </c>
      <c r="CK771">
        <v>21</v>
      </c>
      <c r="CL771" t="s">
        <v>89</v>
      </c>
    </row>
    <row r="772" spans="1:90">
      <c r="A772" t="s">
        <v>72</v>
      </c>
      <c r="B772" t="s">
        <v>73</v>
      </c>
      <c r="C772" t="s">
        <v>74</v>
      </c>
      <c r="E772" t="str">
        <f>"FES1162721617"</f>
        <v>FES1162721617</v>
      </c>
      <c r="F772" s="3">
        <v>43775</v>
      </c>
      <c r="G772">
        <v>202005</v>
      </c>
      <c r="H772" t="s">
        <v>75</v>
      </c>
      <c r="I772" t="s">
        <v>76</v>
      </c>
      <c r="J772" t="s">
        <v>77</v>
      </c>
      <c r="K772" t="s">
        <v>78</v>
      </c>
      <c r="L772" t="s">
        <v>339</v>
      </c>
      <c r="M772" t="s">
        <v>340</v>
      </c>
      <c r="N772" t="s">
        <v>1303</v>
      </c>
      <c r="O772" t="s">
        <v>82</v>
      </c>
      <c r="P772" t="str">
        <f>"2170715804                    "</f>
        <v xml:space="preserve">2170715804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8.58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 s="4">
        <v>50.45</v>
      </c>
      <c r="BM772" s="4">
        <v>7.57</v>
      </c>
      <c r="BN772" s="4">
        <v>58.02</v>
      </c>
      <c r="BO772" s="4">
        <v>58.02</v>
      </c>
      <c r="BR772" t="s">
        <v>84</v>
      </c>
      <c r="BS772" s="3">
        <v>43776</v>
      </c>
      <c r="BT772" s="5">
        <v>0.33680555555555558</v>
      </c>
      <c r="BU772" t="s">
        <v>1304</v>
      </c>
      <c r="BV772" t="s">
        <v>86</v>
      </c>
      <c r="BY772">
        <v>1200</v>
      </c>
      <c r="CA772" t="s">
        <v>869</v>
      </c>
      <c r="CC772" t="s">
        <v>340</v>
      </c>
      <c r="CD772">
        <v>157</v>
      </c>
      <c r="CE772" t="s">
        <v>147</v>
      </c>
      <c r="CF772" s="3">
        <v>43777</v>
      </c>
      <c r="CI772">
        <v>1</v>
      </c>
      <c r="CJ772">
        <v>1</v>
      </c>
      <c r="CK772">
        <v>21</v>
      </c>
      <c r="CL772" t="s">
        <v>89</v>
      </c>
    </row>
    <row r="773" spans="1:90">
      <c r="A773" t="s">
        <v>72</v>
      </c>
      <c r="B773" t="s">
        <v>73</v>
      </c>
      <c r="C773" t="s">
        <v>74</v>
      </c>
      <c r="E773" t="str">
        <f>"FES1162721702"</f>
        <v>FES1162721702</v>
      </c>
      <c r="F773" s="3">
        <v>43776</v>
      </c>
      <c r="G773">
        <v>202005</v>
      </c>
      <c r="H773" t="s">
        <v>75</v>
      </c>
      <c r="I773" t="s">
        <v>76</v>
      </c>
      <c r="J773" t="s">
        <v>77</v>
      </c>
      <c r="K773" t="s">
        <v>78</v>
      </c>
      <c r="L773" t="s">
        <v>578</v>
      </c>
      <c r="M773" t="s">
        <v>579</v>
      </c>
      <c r="N773" t="s">
        <v>1020</v>
      </c>
      <c r="O773" t="s">
        <v>82</v>
      </c>
      <c r="P773" t="str">
        <f>"2170715931                    "</f>
        <v xml:space="preserve">2170715931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8.58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 s="4">
        <v>50.45</v>
      </c>
      <c r="BM773" s="4">
        <v>7.57</v>
      </c>
      <c r="BN773" s="4">
        <v>58.02</v>
      </c>
      <c r="BO773" s="4">
        <v>58.02</v>
      </c>
      <c r="BQ773" t="s">
        <v>121</v>
      </c>
      <c r="BR773" t="s">
        <v>84</v>
      </c>
      <c r="BS773" s="3">
        <v>43777</v>
      </c>
      <c r="BT773" s="5">
        <v>0.37083333333333335</v>
      </c>
      <c r="BU773" t="s">
        <v>1305</v>
      </c>
      <c r="BV773" t="s">
        <v>86</v>
      </c>
      <c r="BY773">
        <v>1200</v>
      </c>
      <c r="CA773" t="s">
        <v>1022</v>
      </c>
      <c r="CC773" t="s">
        <v>579</v>
      </c>
      <c r="CD773">
        <v>7600</v>
      </c>
      <c r="CE773" t="s">
        <v>147</v>
      </c>
      <c r="CF773" s="3">
        <v>43780</v>
      </c>
      <c r="CI773">
        <v>1</v>
      </c>
      <c r="CJ773">
        <v>1</v>
      </c>
      <c r="CK773">
        <v>21</v>
      </c>
      <c r="CL773" t="s">
        <v>89</v>
      </c>
    </row>
    <row r="774" spans="1:90">
      <c r="A774" t="s">
        <v>72</v>
      </c>
      <c r="B774" t="s">
        <v>73</v>
      </c>
      <c r="C774" t="s">
        <v>74</v>
      </c>
      <c r="E774" t="str">
        <f>"FES1162721719"</f>
        <v>FES1162721719</v>
      </c>
      <c r="F774" s="3">
        <v>43776</v>
      </c>
      <c r="G774">
        <v>202005</v>
      </c>
      <c r="H774" t="s">
        <v>75</v>
      </c>
      <c r="I774" t="s">
        <v>76</v>
      </c>
      <c r="J774" t="s">
        <v>77</v>
      </c>
      <c r="K774" t="s">
        <v>78</v>
      </c>
      <c r="L774" t="s">
        <v>214</v>
      </c>
      <c r="M774" t="s">
        <v>214</v>
      </c>
      <c r="N774" t="s">
        <v>312</v>
      </c>
      <c r="O774" t="s">
        <v>82</v>
      </c>
      <c r="P774" t="str">
        <f>"2170715949                    "</f>
        <v xml:space="preserve">2170715949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16.63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 s="4">
        <v>97.75</v>
      </c>
      <c r="BM774" s="4">
        <v>14.66</v>
      </c>
      <c r="BN774" s="4">
        <v>112.41</v>
      </c>
      <c r="BO774" s="4">
        <v>112.41</v>
      </c>
      <c r="BQ774" t="s">
        <v>121</v>
      </c>
      <c r="BR774" t="s">
        <v>84</v>
      </c>
      <c r="BS774" s="3">
        <v>43777</v>
      </c>
      <c r="BT774" s="5">
        <v>0.4548611111111111</v>
      </c>
      <c r="BU774" t="s">
        <v>313</v>
      </c>
      <c r="BV774" t="s">
        <v>86</v>
      </c>
      <c r="BY774">
        <v>1200</v>
      </c>
      <c r="CA774" t="s">
        <v>217</v>
      </c>
      <c r="CC774" t="s">
        <v>214</v>
      </c>
      <c r="CD774">
        <v>7646</v>
      </c>
      <c r="CE774" t="s">
        <v>147</v>
      </c>
      <c r="CF774" s="3">
        <v>43780</v>
      </c>
      <c r="CI774">
        <v>1</v>
      </c>
      <c r="CJ774">
        <v>1</v>
      </c>
      <c r="CK774">
        <v>23</v>
      </c>
      <c r="CL774" t="s">
        <v>89</v>
      </c>
    </row>
    <row r="775" spans="1:90">
      <c r="A775" t="s">
        <v>72</v>
      </c>
      <c r="B775" t="s">
        <v>73</v>
      </c>
      <c r="C775" t="s">
        <v>74</v>
      </c>
      <c r="E775" t="str">
        <f>"FES1162721814"</f>
        <v>FES1162721814</v>
      </c>
      <c r="F775" s="3">
        <v>43776</v>
      </c>
      <c r="G775">
        <v>202005</v>
      </c>
      <c r="H775" t="s">
        <v>75</v>
      </c>
      <c r="I775" t="s">
        <v>76</v>
      </c>
      <c r="J775" t="s">
        <v>77</v>
      </c>
      <c r="K775" t="s">
        <v>78</v>
      </c>
      <c r="L775" t="s">
        <v>90</v>
      </c>
      <c r="M775" t="s">
        <v>91</v>
      </c>
      <c r="N775" t="s">
        <v>1306</v>
      </c>
      <c r="O775" t="s">
        <v>82</v>
      </c>
      <c r="P775" t="str">
        <f>"2170711946                    "</f>
        <v xml:space="preserve">2170711946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8.58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 s="4">
        <v>50.45</v>
      </c>
      <c r="BM775" s="4">
        <v>7.57</v>
      </c>
      <c r="BN775" s="4">
        <v>58.02</v>
      </c>
      <c r="BO775" s="4">
        <v>58.02</v>
      </c>
      <c r="BQ775" t="s">
        <v>1307</v>
      </c>
      <c r="BR775" t="s">
        <v>84</v>
      </c>
      <c r="BS775" s="3">
        <v>43777</v>
      </c>
      <c r="BT775" s="5">
        <v>0.34930555555555554</v>
      </c>
      <c r="BU775" t="s">
        <v>1308</v>
      </c>
      <c r="BV775" t="s">
        <v>86</v>
      </c>
      <c r="BY775">
        <v>1200</v>
      </c>
      <c r="CA775" t="s">
        <v>1309</v>
      </c>
      <c r="CC775" t="s">
        <v>91</v>
      </c>
      <c r="CD775">
        <v>7530</v>
      </c>
      <c r="CE775" t="s">
        <v>147</v>
      </c>
      <c r="CF775" s="3">
        <v>43780</v>
      </c>
      <c r="CI775">
        <v>1</v>
      </c>
      <c r="CJ775">
        <v>1</v>
      </c>
      <c r="CK775">
        <v>21</v>
      </c>
      <c r="CL775" t="s">
        <v>89</v>
      </c>
    </row>
    <row r="776" spans="1:90">
      <c r="A776" t="s">
        <v>72</v>
      </c>
      <c r="B776" t="s">
        <v>73</v>
      </c>
      <c r="C776" t="s">
        <v>74</v>
      </c>
      <c r="E776" t="str">
        <f>"FES1162721708"</f>
        <v>FES1162721708</v>
      </c>
      <c r="F776" s="3">
        <v>43776</v>
      </c>
      <c r="G776">
        <v>202005</v>
      </c>
      <c r="H776" t="s">
        <v>75</v>
      </c>
      <c r="I776" t="s">
        <v>76</v>
      </c>
      <c r="J776" t="s">
        <v>77</v>
      </c>
      <c r="K776" t="s">
        <v>78</v>
      </c>
      <c r="L776" t="s">
        <v>214</v>
      </c>
      <c r="M776" t="s">
        <v>214</v>
      </c>
      <c r="N776" t="s">
        <v>312</v>
      </c>
      <c r="O776" t="s">
        <v>82</v>
      </c>
      <c r="P776" t="str">
        <f>"2170715936                    "</f>
        <v xml:space="preserve">2170715936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16.63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 s="4">
        <v>97.75</v>
      </c>
      <c r="BM776" s="4">
        <v>14.66</v>
      </c>
      <c r="BN776" s="4">
        <v>112.41</v>
      </c>
      <c r="BO776" s="4">
        <v>112.41</v>
      </c>
      <c r="BQ776" t="s">
        <v>121</v>
      </c>
      <c r="BR776" t="s">
        <v>84</v>
      </c>
      <c r="BS776" s="3">
        <v>43777</v>
      </c>
      <c r="BT776" s="5">
        <v>0.4548611111111111</v>
      </c>
      <c r="BU776" t="s">
        <v>313</v>
      </c>
      <c r="BV776" t="s">
        <v>86</v>
      </c>
      <c r="BY776">
        <v>1200</v>
      </c>
      <c r="CA776" t="s">
        <v>217</v>
      </c>
      <c r="CC776" t="s">
        <v>214</v>
      </c>
      <c r="CD776">
        <v>7646</v>
      </c>
      <c r="CE776" t="s">
        <v>147</v>
      </c>
      <c r="CF776" s="3">
        <v>43780</v>
      </c>
      <c r="CI776">
        <v>1</v>
      </c>
      <c r="CJ776">
        <v>1</v>
      </c>
      <c r="CK776">
        <v>23</v>
      </c>
      <c r="CL776" t="s">
        <v>89</v>
      </c>
    </row>
    <row r="777" spans="1:90">
      <c r="A777" t="s">
        <v>72</v>
      </c>
      <c r="B777" t="s">
        <v>73</v>
      </c>
      <c r="C777" t="s">
        <v>74</v>
      </c>
      <c r="E777" t="str">
        <f>"FES1162721383"</f>
        <v>FES1162721383</v>
      </c>
      <c r="F777" s="3">
        <v>43775</v>
      </c>
      <c r="G777">
        <v>202005</v>
      </c>
      <c r="H777" t="s">
        <v>75</v>
      </c>
      <c r="I777" t="s">
        <v>76</v>
      </c>
      <c r="J777" t="s">
        <v>77</v>
      </c>
      <c r="K777" t="s">
        <v>78</v>
      </c>
      <c r="L777" t="s">
        <v>112</v>
      </c>
      <c r="M777" t="s">
        <v>113</v>
      </c>
      <c r="N777" t="s">
        <v>887</v>
      </c>
      <c r="O777" t="s">
        <v>282</v>
      </c>
      <c r="P777" t="str">
        <f>"2170715688                    "</f>
        <v xml:space="preserve">2170715688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19.190000000000001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20.399999999999999</v>
      </c>
      <c r="BJ777">
        <v>29.1</v>
      </c>
      <c r="BK777">
        <v>29</v>
      </c>
      <c r="BL777" s="4">
        <v>117.79</v>
      </c>
      <c r="BM777" s="4">
        <v>17.670000000000002</v>
      </c>
      <c r="BN777" s="4">
        <v>135.46</v>
      </c>
      <c r="BO777" s="4">
        <v>135.46</v>
      </c>
      <c r="BQ777" t="s">
        <v>121</v>
      </c>
      <c r="BR777" t="s">
        <v>84</v>
      </c>
      <c r="BS777" s="3">
        <v>43776</v>
      </c>
      <c r="BT777" s="5">
        <v>0.32222222222222224</v>
      </c>
      <c r="BU777" t="s">
        <v>1310</v>
      </c>
      <c r="BV777" t="s">
        <v>86</v>
      </c>
      <c r="BY777">
        <v>145289.93</v>
      </c>
      <c r="CA777" t="s">
        <v>180</v>
      </c>
      <c r="CC777" t="s">
        <v>113</v>
      </c>
      <c r="CD777">
        <v>4001</v>
      </c>
      <c r="CE777" t="s">
        <v>88</v>
      </c>
      <c r="CF777" s="3">
        <v>43777</v>
      </c>
      <c r="CI777">
        <v>1</v>
      </c>
      <c r="CJ777">
        <v>1</v>
      </c>
      <c r="CK777" t="s">
        <v>711</v>
      </c>
      <c r="CL777" t="s">
        <v>89</v>
      </c>
    </row>
    <row r="778" spans="1:90">
      <c r="A778" t="s">
        <v>72</v>
      </c>
      <c r="B778" t="s">
        <v>73</v>
      </c>
      <c r="C778" t="s">
        <v>74</v>
      </c>
      <c r="E778" t="str">
        <f>"FES1162721646"</f>
        <v>FES1162721646</v>
      </c>
      <c r="F778" s="3">
        <v>43775</v>
      </c>
      <c r="G778">
        <v>202005</v>
      </c>
      <c r="H778" t="s">
        <v>75</v>
      </c>
      <c r="I778" t="s">
        <v>76</v>
      </c>
      <c r="J778" t="s">
        <v>77</v>
      </c>
      <c r="K778" t="s">
        <v>78</v>
      </c>
      <c r="L778" t="s">
        <v>106</v>
      </c>
      <c r="M778" t="s">
        <v>107</v>
      </c>
      <c r="N778" t="s">
        <v>1311</v>
      </c>
      <c r="O778" t="s">
        <v>282</v>
      </c>
      <c r="P778" t="str">
        <f>"2170715851                    "</f>
        <v xml:space="preserve">2170715851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26.6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26.3</v>
      </c>
      <c r="BJ778">
        <v>8.3000000000000007</v>
      </c>
      <c r="BK778">
        <v>27</v>
      </c>
      <c r="BL778" s="4">
        <v>161.35</v>
      </c>
      <c r="BM778" s="4">
        <v>24.2</v>
      </c>
      <c r="BN778" s="4">
        <v>185.55</v>
      </c>
      <c r="BO778" s="4">
        <v>185.55</v>
      </c>
      <c r="BQ778" t="s">
        <v>109</v>
      </c>
      <c r="BR778" t="s">
        <v>84</v>
      </c>
      <c r="BS778" s="3">
        <v>43777</v>
      </c>
      <c r="BT778" s="5">
        <v>0.49652777777777773</v>
      </c>
      <c r="BU778" t="s">
        <v>1312</v>
      </c>
      <c r="BV778" t="s">
        <v>86</v>
      </c>
      <c r="BY778">
        <v>41335.42</v>
      </c>
      <c r="CA778" t="s">
        <v>111</v>
      </c>
      <c r="CC778" t="s">
        <v>107</v>
      </c>
      <c r="CD778">
        <v>6001</v>
      </c>
      <c r="CE778" t="s">
        <v>88</v>
      </c>
      <c r="CF778" s="3">
        <v>43780</v>
      </c>
      <c r="CI778">
        <v>2</v>
      </c>
      <c r="CJ778">
        <v>2</v>
      </c>
      <c r="CK778" t="s">
        <v>1002</v>
      </c>
      <c r="CL778" t="s">
        <v>89</v>
      </c>
    </row>
    <row r="779" spans="1:90">
      <c r="A779" t="s">
        <v>72</v>
      </c>
      <c r="B779" t="s">
        <v>73</v>
      </c>
      <c r="C779" t="s">
        <v>74</v>
      </c>
      <c r="E779" t="str">
        <f>"FES1162720836"</f>
        <v>FES1162720836</v>
      </c>
      <c r="F779" s="3">
        <v>43770</v>
      </c>
      <c r="G779">
        <v>202005</v>
      </c>
      <c r="H779" t="s">
        <v>75</v>
      </c>
      <c r="I779" t="s">
        <v>76</v>
      </c>
      <c r="J779" t="s">
        <v>211</v>
      </c>
      <c r="K779" t="s">
        <v>78</v>
      </c>
      <c r="L779" t="s">
        <v>925</v>
      </c>
      <c r="M779" t="s">
        <v>926</v>
      </c>
      <c r="N779" t="s">
        <v>927</v>
      </c>
      <c r="O779" t="s">
        <v>282</v>
      </c>
      <c r="P779" t="str">
        <f>"2170714343                    "</f>
        <v xml:space="preserve">2170714343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21.31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2</v>
      </c>
      <c r="BI779">
        <v>22.7</v>
      </c>
      <c r="BJ779">
        <v>10</v>
      </c>
      <c r="BK779">
        <v>23</v>
      </c>
      <c r="BL779" s="4">
        <v>127.77</v>
      </c>
      <c r="BM779" s="4">
        <v>19.170000000000002</v>
      </c>
      <c r="BN779" s="4">
        <v>146.94</v>
      </c>
      <c r="BO779" s="4">
        <v>146.94</v>
      </c>
      <c r="BP779" t="s">
        <v>757</v>
      </c>
      <c r="BQ779" t="s">
        <v>121</v>
      </c>
      <c r="BR779" t="s">
        <v>212</v>
      </c>
      <c r="BS779" s="3">
        <v>43773</v>
      </c>
      <c r="BT779" s="5">
        <v>0.4861111111111111</v>
      </c>
      <c r="BU779" t="s">
        <v>1313</v>
      </c>
      <c r="BV779" t="s">
        <v>86</v>
      </c>
      <c r="BY779">
        <v>50002.3</v>
      </c>
      <c r="CA779" t="s">
        <v>929</v>
      </c>
      <c r="CC779" t="s">
        <v>926</v>
      </c>
      <c r="CD779">
        <v>1028</v>
      </c>
      <c r="CE779" t="s">
        <v>88</v>
      </c>
      <c r="CF779" s="3">
        <v>43774</v>
      </c>
      <c r="CI779">
        <v>1</v>
      </c>
      <c r="CJ779">
        <v>1</v>
      </c>
      <c r="CK779" t="s">
        <v>289</v>
      </c>
      <c r="CL779" t="s">
        <v>89</v>
      </c>
    </row>
    <row r="780" spans="1:90">
      <c r="A780" t="s">
        <v>72</v>
      </c>
      <c r="B780" t="s">
        <v>73</v>
      </c>
      <c r="C780" t="s">
        <v>74</v>
      </c>
      <c r="E780" t="str">
        <f>"FES1162721549"</f>
        <v>FES1162721549</v>
      </c>
      <c r="F780" s="3">
        <v>43775</v>
      </c>
      <c r="G780">
        <v>202005</v>
      </c>
      <c r="H780" t="s">
        <v>75</v>
      </c>
      <c r="I780" t="s">
        <v>76</v>
      </c>
      <c r="J780" t="s">
        <v>77</v>
      </c>
      <c r="K780" t="s">
        <v>78</v>
      </c>
      <c r="L780" t="s">
        <v>79</v>
      </c>
      <c r="M780" t="s">
        <v>80</v>
      </c>
      <c r="N780" t="s">
        <v>456</v>
      </c>
      <c r="O780" t="s">
        <v>282</v>
      </c>
      <c r="P780" t="str">
        <f>"2170795155                    "</f>
        <v xml:space="preserve">2170795155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27.35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2</v>
      </c>
      <c r="BI780">
        <v>27.5</v>
      </c>
      <c r="BJ780">
        <v>16</v>
      </c>
      <c r="BK780">
        <v>28</v>
      </c>
      <c r="BL780" s="4">
        <v>165.77</v>
      </c>
      <c r="BM780" s="4">
        <v>24.87</v>
      </c>
      <c r="BN780" s="4">
        <v>190.64</v>
      </c>
      <c r="BO780" s="4">
        <v>190.64</v>
      </c>
      <c r="BQ780" t="s">
        <v>109</v>
      </c>
      <c r="BR780" t="s">
        <v>84</v>
      </c>
      <c r="BS780" s="3">
        <v>43777</v>
      </c>
      <c r="BT780" s="5">
        <v>0.34861111111111115</v>
      </c>
      <c r="BU780" t="s">
        <v>457</v>
      </c>
      <c r="BV780" t="s">
        <v>86</v>
      </c>
      <c r="BY780">
        <v>79992.41</v>
      </c>
      <c r="CA780" t="s">
        <v>87</v>
      </c>
      <c r="CC780" t="s">
        <v>80</v>
      </c>
      <c r="CD780">
        <v>6230</v>
      </c>
      <c r="CE780" t="s">
        <v>88</v>
      </c>
      <c r="CF780" s="3">
        <v>43780</v>
      </c>
      <c r="CI780">
        <v>2</v>
      </c>
      <c r="CJ780">
        <v>2</v>
      </c>
      <c r="CK780" t="s">
        <v>1002</v>
      </c>
      <c r="CL780" t="s">
        <v>89</v>
      </c>
    </row>
    <row r="781" spans="1:90">
      <c r="A781" t="s">
        <v>72</v>
      </c>
      <c r="B781" t="s">
        <v>73</v>
      </c>
      <c r="C781" t="s">
        <v>74</v>
      </c>
      <c r="E781" t="str">
        <f>"FES1162721755"</f>
        <v>FES1162721755</v>
      </c>
      <c r="F781" s="3">
        <v>43776</v>
      </c>
      <c r="G781">
        <v>202005</v>
      </c>
      <c r="H781" t="s">
        <v>75</v>
      </c>
      <c r="I781" t="s">
        <v>76</v>
      </c>
      <c r="J781" t="s">
        <v>77</v>
      </c>
      <c r="K781" t="s">
        <v>78</v>
      </c>
      <c r="L781" t="s">
        <v>184</v>
      </c>
      <c r="M781" t="s">
        <v>185</v>
      </c>
      <c r="N781" t="s">
        <v>1314</v>
      </c>
      <c r="O781" t="s">
        <v>82</v>
      </c>
      <c r="P781" t="str">
        <f>"2170714088                    "</f>
        <v xml:space="preserve">2170714088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6.71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 s="4">
        <v>39.42</v>
      </c>
      <c r="BM781" s="4">
        <v>5.91</v>
      </c>
      <c r="BN781" s="4">
        <v>45.33</v>
      </c>
      <c r="BO781" s="4">
        <v>45.33</v>
      </c>
      <c r="BQ781" t="s">
        <v>109</v>
      </c>
      <c r="BR781" t="s">
        <v>84</v>
      </c>
      <c r="BS781" s="3">
        <v>43777</v>
      </c>
      <c r="BT781" s="5">
        <v>0.33333333333333331</v>
      </c>
      <c r="BU781" t="s">
        <v>1315</v>
      </c>
      <c r="BV781" t="s">
        <v>86</v>
      </c>
      <c r="BY781">
        <v>1200</v>
      </c>
      <c r="CA781" t="s">
        <v>1316</v>
      </c>
      <c r="CC781" t="s">
        <v>185</v>
      </c>
      <c r="CD781">
        <v>1501</v>
      </c>
      <c r="CE781" t="s">
        <v>147</v>
      </c>
      <c r="CF781" s="3">
        <v>43780</v>
      </c>
      <c r="CI781">
        <v>1</v>
      </c>
      <c r="CJ781">
        <v>1</v>
      </c>
      <c r="CK781">
        <v>22</v>
      </c>
      <c r="CL781" t="s">
        <v>89</v>
      </c>
    </row>
    <row r="782" spans="1:90">
      <c r="A782" t="s">
        <v>72</v>
      </c>
      <c r="B782" t="s">
        <v>73</v>
      </c>
      <c r="C782" t="s">
        <v>74</v>
      </c>
      <c r="E782" t="str">
        <f>"FES1162721785"</f>
        <v>FES1162721785</v>
      </c>
      <c r="F782" s="3">
        <v>43776</v>
      </c>
      <c r="G782">
        <v>202005</v>
      </c>
      <c r="H782" t="s">
        <v>75</v>
      </c>
      <c r="I782" t="s">
        <v>76</v>
      </c>
      <c r="J782" t="s">
        <v>77</v>
      </c>
      <c r="K782" t="s">
        <v>78</v>
      </c>
      <c r="L782" t="s">
        <v>482</v>
      </c>
      <c r="M782" t="s">
        <v>483</v>
      </c>
      <c r="N782" t="s">
        <v>449</v>
      </c>
      <c r="O782" t="s">
        <v>82</v>
      </c>
      <c r="P782" t="str">
        <f>"2170715985                    "</f>
        <v xml:space="preserve">2170715985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6.71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 s="4">
        <v>39.42</v>
      </c>
      <c r="BM782" s="4">
        <v>5.91</v>
      </c>
      <c r="BN782" s="4">
        <v>45.33</v>
      </c>
      <c r="BO782" s="4">
        <v>45.33</v>
      </c>
      <c r="BQ782" t="s">
        <v>109</v>
      </c>
      <c r="BR782" t="s">
        <v>84</v>
      </c>
      <c r="BS782" s="3">
        <v>43777</v>
      </c>
      <c r="BT782" s="5">
        <v>0.33333333333333331</v>
      </c>
      <c r="BU782" t="s">
        <v>1317</v>
      </c>
      <c r="BV782" t="s">
        <v>86</v>
      </c>
      <c r="BY782">
        <v>1200</v>
      </c>
      <c r="CA782" t="s">
        <v>123</v>
      </c>
      <c r="CC782" t="s">
        <v>483</v>
      </c>
      <c r="CD782">
        <v>1459</v>
      </c>
      <c r="CE782" t="s">
        <v>147</v>
      </c>
      <c r="CF782" s="3">
        <v>43780</v>
      </c>
      <c r="CI782">
        <v>1</v>
      </c>
      <c r="CJ782">
        <v>1</v>
      </c>
      <c r="CK782">
        <v>22</v>
      </c>
      <c r="CL782" t="s">
        <v>89</v>
      </c>
    </row>
    <row r="783" spans="1:90">
      <c r="A783" t="s">
        <v>72</v>
      </c>
      <c r="B783" t="s">
        <v>73</v>
      </c>
      <c r="C783" t="s">
        <v>74</v>
      </c>
      <c r="E783" t="str">
        <f>"FES1162721775"</f>
        <v>FES1162721775</v>
      </c>
      <c r="F783" s="3">
        <v>43776</v>
      </c>
      <c r="G783">
        <v>202005</v>
      </c>
      <c r="H783" t="s">
        <v>75</v>
      </c>
      <c r="I783" t="s">
        <v>76</v>
      </c>
      <c r="J783" t="s">
        <v>77</v>
      </c>
      <c r="K783" t="s">
        <v>78</v>
      </c>
      <c r="L783" t="s">
        <v>133</v>
      </c>
      <c r="M783" t="s">
        <v>134</v>
      </c>
      <c r="N783" t="s">
        <v>735</v>
      </c>
      <c r="O783" t="s">
        <v>82</v>
      </c>
      <c r="P783" t="str">
        <f>"2170715924                    "</f>
        <v xml:space="preserve">2170715924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8.58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 s="4">
        <v>50.45</v>
      </c>
      <c r="BM783" s="4">
        <v>7.57</v>
      </c>
      <c r="BN783" s="4">
        <v>58.02</v>
      </c>
      <c r="BO783" s="4">
        <v>58.02</v>
      </c>
      <c r="BR783" t="s">
        <v>84</v>
      </c>
      <c r="BS783" s="3">
        <v>43777</v>
      </c>
      <c r="BT783" s="5">
        <v>0.3979166666666667</v>
      </c>
      <c r="BU783" t="s">
        <v>736</v>
      </c>
      <c r="BV783" t="s">
        <v>86</v>
      </c>
      <c r="BY783">
        <v>1200</v>
      </c>
      <c r="CA783" t="s">
        <v>698</v>
      </c>
      <c r="CC783" t="s">
        <v>134</v>
      </c>
      <c r="CD783">
        <v>5200</v>
      </c>
      <c r="CE783" t="s">
        <v>147</v>
      </c>
      <c r="CF783" s="3">
        <v>43780</v>
      </c>
      <c r="CI783">
        <v>1</v>
      </c>
      <c r="CJ783">
        <v>1</v>
      </c>
      <c r="CK783">
        <v>21</v>
      </c>
      <c r="CL783" t="s">
        <v>89</v>
      </c>
    </row>
    <row r="784" spans="1:90">
      <c r="A784" t="s">
        <v>72</v>
      </c>
      <c r="B784" t="s">
        <v>73</v>
      </c>
      <c r="C784" t="s">
        <v>74</v>
      </c>
      <c r="E784" t="str">
        <f>"FES1162721740"</f>
        <v>FES1162721740</v>
      </c>
      <c r="F784" s="3">
        <v>43776</v>
      </c>
      <c r="G784">
        <v>202005</v>
      </c>
      <c r="H784" t="s">
        <v>75</v>
      </c>
      <c r="I784" t="s">
        <v>76</v>
      </c>
      <c r="J784" t="s">
        <v>77</v>
      </c>
      <c r="K784" t="s">
        <v>78</v>
      </c>
      <c r="L784" t="s">
        <v>79</v>
      </c>
      <c r="M784" t="s">
        <v>80</v>
      </c>
      <c r="N784" t="s">
        <v>458</v>
      </c>
      <c r="O784" t="s">
        <v>82</v>
      </c>
      <c r="P784" t="str">
        <f>"2170713330                    "</f>
        <v xml:space="preserve">2170713330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8.58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 s="4">
        <v>50.45</v>
      </c>
      <c r="BM784" s="4">
        <v>7.57</v>
      </c>
      <c r="BN784" s="4">
        <v>58.02</v>
      </c>
      <c r="BO784" s="4">
        <v>58.02</v>
      </c>
      <c r="BQ784" t="s">
        <v>109</v>
      </c>
      <c r="BR784" t="s">
        <v>84</v>
      </c>
      <c r="BS784" s="3">
        <v>43777</v>
      </c>
      <c r="BT784" s="5">
        <v>0.34861111111111115</v>
      </c>
      <c r="BU784" t="s">
        <v>1318</v>
      </c>
      <c r="BV784" t="s">
        <v>86</v>
      </c>
      <c r="BY784">
        <v>1200</v>
      </c>
      <c r="CA784" t="s">
        <v>87</v>
      </c>
      <c r="CC784" t="s">
        <v>80</v>
      </c>
      <c r="CD784">
        <v>6230</v>
      </c>
      <c r="CE784" t="s">
        <v>147</v>
      </c>
      <c r="CF784" s="3">
        <v>43780</v>
      </c>
      <c r="CI784">
        <v>1</v>
      </c>
      <c r="CJ784">
        <v>1</v>
      </c>
      <c r="CK784">
        <v>21</v>
      </c>
      <c r="CL784" t="s">
        <v>89</v>
      </c>
    </row>
    <row r="785" spans="1:90">
      <c r="A785" t="s">
        <v>72</v>
      </c>
      <c r="B785" t="s">
        <v>73</v>
      </c>
      <c r="C785" t="s">
        <v>74</v>
      </c>
      <c r="E785" t="str">
        <f>"FES1162721749"</f>
        <v>FES1162721749</v>
      </c>
      <c r="F785" s="3">
        <v>43776</v>
      </c>
      <c r="G785">
        <v>202005</v>
      </c>
      <c r="H785" t="s">
        <v>75</v>
      </c>
      <c r="I785" t="s">
        <v>76</v>
      </c>
      <c r="J785" t="s">
        <v>77</v>
      </c>
      <c r="K785" t="s">
        <v>78</v>
      </c>
      <c r="L785" t="s">
        <v>106</v>
      </c>
      <c r="M785" t="s">
        <v>107</v>
      </c>
      <c r="N785" t="s">
        <v>1244</v>
      </c>
      <c r="O785" t="s">
        <v>82</v>
      </c>
      <c r="P785" t="str">
        <f>"2170713977                    "</f>
        <v xml:space="preserve">2170713977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8.58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 s="4">
        <v>50.45</v>
      </c>
      <c r="BM785" s="4">
        <v>7.57</v>
      </c>
      <c r="BN785" s="4">
        <v>58.02</v>
      </c>
      <c r="BO785" s="4">
        <v>58.02</v>
      </c>
      <c r="BQ785" t="s">
        <v>1245</v>
      </c>
      <c r="BR785" t="s">
        <v>84</v>
      </c>
      <c r="BS785" s="3">
        <v>43777</v>
      </c>
      <c r="BT785" s="5">
        <v>0.39513888888888887</v>
      </c>
      <c r="BU785" t="s">
        <v>1319</v>
      </c>
      <c r="BV785" t="s">
        <v>86</v>
      </c>
      <c r="BY785">
        <v>1200</v>
      </c>
      <c r="CA785" t="s">
        <v>1247</v>
      </c>
      <c r="CC785" t="s">
        <v>107</v>
      </c>
      <c r="CD785">
        <v>6001</v>
      </c>
      <c r="CE785" t="s">
        <v>147</v>
      </c>
      <c r="CF785" s="3">
        <v>43780</v>
      </c>
      <c r="CI785">
        <v>1</v>
      </c>
      <c r="CJ785">
        <v>1</v>
      </c>
      <c r="CK785">
        <v>21</v>
      </c>
      <c r="CL785" t="s">
        <v>89</v>
      </c>
    </row>
    <row r="786" spans="1:90">
      <c r="A786" t="s">
        <v>72</v>
      </c>
      <c r="B786" t="s">
        <v>73</v>
      </c>
      <c r="C786" t="s">
        <v>74</v>
      </c>
      <c r="E786" t="str">
        <f>"FES1162721779"</f>
        <v>FES1162721779</v>
      </c>
      <c r="F786" s="3">
        <v>43776</v>
      </c>
      <c r="G786">
        <v>202005</v>
      </c>
      <c r="H786" t="s">
        <v>75</v>
      </c>
      <c r="I786" t="s">
        <v>76</v>
      </c>
      <c r="J786" t="s">
        <v>77</v>
      </c>
      <c r="K786" t="s">
        <v>78</v>
      </c>
      <c r="L786" t="s">
        <v>304</v>
      </c>
      <c r="M786" t="s">
        <v>305</v>
      </c>
      <c r="N786" t="s">
        <v>1320</v>
      </c>
      <c r="O786" t="s">
        <v>82</v>
      </c>
      <c r="P786" t="str">
        <f>"2170715974                    "</f>
        <v xml:space="preserve">2170715974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16.63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 s="4">
        <v>97.75</v>
      </c>
      <c r="BM786" s="4">
        <v>14.66</v>
      </c>
      <c r="BN786" s="4">
        <v>112.41</v>
      </c>
      <c r="BO786" s="4">
        <v>112.41</v>
      </c>
      <c r="BR786" t="s">
        <v>84</v>
      </c>
      <c r="BS786" s="3">
        <v>43777</v>
      </c>
      <c r="BT786" s="5">
        <v>0.41666666666666669</v>
      </c>
      <c r="BU786" t="s">
        <v>1321</v>
      </c>
      <c r="BV786" t="s">
        <v>86</v>
      </c>
      <c r="BY786">
        <v>1200</v>
      </c>
      <c r="CC786" t="s">
        <v>305</v>
      </c>
      <c r="CD786">
        <v>5605</v>
      </c>
      <c r="CE786" t="s">
        <v>147</v>
      </c>
      <c r="CF786" s="3">
        <v>43781</v>
      </c>
      <c r="CI786">
        <v>1</v>
      </c>
      <c r="CJ786">
        <v>1</v>
      </c>
      <c r="CK786">
        <v>23</v>
      </c>
      <c r="CL786" t="s">
        <v>89</v>
      </c>
    </row>
    <row r="787" spans="1:90">
      <c r="A787" t="s">
        <v>72</v>
      </c>
      <c r="B787" t="s">
        <v>73</v>
      </c>
      <c r="C787" t="s">
        <v>74</v>
      </c>
      <c r="E787" t="str">
        <f>"009935712103"</f>
        <v>009935712103</v>
      </c>
      <c r="F787" s="3">
        <v>43776</v>
      </c>
      <c r="G787">
        <v>202005</v>
      </c>
      <c r="H787" t="s">
        <v>75</v>
      </c>
      <c r="I787" t="s">
        <v>76</v>
      </c>
      <c r="J787" t="s">
        <v>77</v>
      </c>
      <c r="K787" t="s">
        <v>78</v>
      </c>
      <c r="L787" t="s">
        <v>202</v>
      </c>
      <c r="M787" t="s">
        <v>203</v>
      </c>
      <c r="N787" t="s">
        <v>1322</v>
      </c>
      <c r="O787" t="s">
        <v>82</v>
      </c>
      <c r="P787" t="str">
        <f>"1162718943                    "</f>
        <v xml:space="preserve">1162718943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6.71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 s="4">
        <v>39.42</v>
      </c>
      <c r="BM787" s="4">
        <v>5.91</v>
      </c>
      <c r="BN787" s="4">
        <v>45.33</v>
      </c>
      <c r="BO787" s="4">
        <v>45.33</v>
      </c>
      <c r="BP787" t="s">
        <v>219</v>
      </c>
      <c r="BR787" t="s">
        <v>84</v>
      </c>
      <c r="BS787" s="3">
        <v>43780</v>
      </c>
      <c r="BT787" s="5">
        <v>0.41666666666666669</v>
      </c>
      <c r="BU787" t="s">
        <v>1107</v>
      </c>
      <c r="BV787" t="s">
        <v>89</v>
      </c>
      <c r="BW787" t="s">
        <v>319</v>
      </c>
      <c r="BX787" t="s">
        <v>1323</v>
      </c>
      <c r="BY787">
        <v>1200</v>
      </c>
      <c r="CC787" t="s">
        <v>203</v>
      </c>
      <c r="CD787">
        <v>1428</v>
      </c>
      <c r="CE787" t="s">
        <v>147</v>
      </c>
      <c r="CI787">
        <v>1</v>
      </c>
      <c r="CJ787">
        <v>2</v>
      </c>
      <c r="CK787">
        <v>22</v>
      </c>
      <c r="CL787" t="s">
        <v>89</v>
      </c>
    </row>
    <row r="788" spans="1:90">
      <c r="A788" t="s">
        <v>72</v>
      </c>
      <c r="B788" t="s">
        <v>73</v>
      </c>
      <c r="C788" t="s">
        <v>74</v>
      </c>
      <c r="E788" t="str">
        <f>"FES1162721688"</f>
        <v>FES1162721688</v>
      </c>
      <c r="F788" s="3">
        <v>43776</v>
      </c>
      <c r="G788">
        <v>202005</v>
      </c>
      <c r="H788" t="s">
        <v>75</v>
      </c>
      <c r="I788" t="s">
        <v>76</v>
      </c>
      <c r="J788" t="s">
        <v>77</v>
      </c>
      <c r="K788" t="s">
        <v>78</v>
      </c>
      <c r="L788" t="s">
        <v>176</v>
      </c>
      <c r="M788" t="s">
        <v>177</v>
      </c>
      <c r="N788" t="s">
        <v>602</v>
      </c>
      <c r="O788" t="s">
        <v>82</v>
      </c>
      <c r="P788" t="str">
        <f>"2170715913                    "</f>
        <v xml:space="preserve">2170715913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8.58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 s="4">
        <v>50.45</v>
      </c>
      <c r="BM788" s="4">
        <v>7.57</v>
      </c>
      <c r="BN788" s="4">
        <v>58.02</v>
      </c>
      <c r="BO788" s="4">
        <v>58.02</v>
      </c>
      <c r="BQ788" t="s">
        <v>142</v>
      </c>
      <c r="BR788" t="s">
        <v>84</v>
      </c>
      <c r="BS788" s="3">
        <v>43777</v>
      </c>
      <c r="BT788" s="5">
        <v>0.39305555555555555</v>
      </c>
      <c r="BU788" t="s">
        <v>1324</v>
      </c>
      <c r="BV788" t="s">
        <v>86</v>
      </c>
      <c r="BY788">
        <v>1200</v>
      </c>
      <c r="CA788" t="s">
        <v>180</v>
      </c>
      <c r="CC788" t="s">
        <v>177</v>
      </c>
      <c r="CD788">
        <v>3600</v>
      </c>
      <c r="CE788" t="s">
        <v>147</v>
      </c>
      <c r="CF788" s="3">
        <v>43780</v>
      </c>
      <c r="CI788">
        <v>1</v>
      </c>
      <c r="CJ788">
        <v>1</v>
      </c>
      <c r="CK788">
        <v>21</v>
      </c>
      <c r="CL788" t="s">
        <v>89</v>
      </c>
    </row>
    <row r="789" spans="1:90">
      <c r="A789" t="s">
        <v>72</v>
      </c>
      <c r="B789" t="s">
        <v>73</v>
      </c>
      <c r="C789" t="s">
        <v>74</v>
      </c>
      <c r="E789" t="str">
        <f>"FES1162721772"</f>
        <v>FES1162721772</v>
      </c>
      <c r="F789" s="3">
        <v>43776</v>
      </c>
      <c r="G789">
        <v>202005</v>
      </c>
      <c r="H789" t="s">
        <v>75</v>
      </c>
      <c r="I789" t="s">
        <v>76</v>
      </c>
      <c r="J789" t="s">
        <v>77</v>
      </c>
      <c r="K789" t="s">
        <v>78</v>
      </c>
      <c r="L789" t="s">
        <v>825</v>
      </c>
      <c r="M789" t="s">
        <v>826</v>
      </c>
      <c r="N789" t="s">
        <v>939</v>
      </c>
      <c r="O789" t="s">
        <v>82</v>
      </c>
      <c r="P789" t="str">
        <f>"2170715717                    "</f>
        <v xml:space="preserve">2170715717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12.07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 s="4">
        <v>70.95</v>
      </c>
      <c r="BM789" s="4">
        <v>10.64</v>
      </c>
      <c r="BN789" s="4">
        <v>81.59</v>
      </c>
      <c r="BO789" s="4">
        <v>81.59</v>
      </c>
      <c r="BQ789" t="s">
        <v>109</v>
      </c>
      <c r="BR789" t="s">
        <v>84</v>
      </c>
      <c r="BS789" s="3">
        <v>43777</v>
      </c>
      <c r="BT789" s="5">
        <v>0.3263888888888889</v>
      </c>
      <c r="BU789" t="s">
        <v>1039</v>
      </c>
      <c r="BV789" t="s">
        <v>86</v>
      </c>
      <c r="BY789">
        <v>1200</v>
      </c>
      <c r="CA789" t="s">
        <v>123</v>
      </c>
      <c r="CC789" t="s">
        <v>826</v>
      </c>
      <c r="CD789">
        <v>1759</v>
      </c>
      <c r="CE789" t="s">
        <v>147</v>
      </c>
      <c r="CF789" s="3">
        <v>43780</v>
      </c>
      <c r="CI789">
        <v>1</v>
      </c>
      <c r="CJ789">
        <v>1</v>
      </c>
      <c r="CK789">
        <v>24</v>
      </c>
      <c r="CL789" t="s">
        <v>89</v>
      </c>
    </row>
    <row r="790" spans="1:90">
      <c r="A790" t="s">
        <v>72</v>
      </c>
      <c r="B790" t="s">
        <v>73</v>
      </c>
      <c r="C790" t="s">
        <v>74</v>
      </c>
      <c r="E790" t="str">
        <f>"FES1162721723"</f>
        <v>FES1162721723</v>
      </c>
      <c r="F790" s="3">
        <v>43776</v>
      </c>
      <c r="G790">
        <v>202005</v>
      </c>
      <c r="H790" t="s">
        <v>75</v>
      </c>
      <c r="I790" t="s">
        <v>76</v>
      </c>
      <c r="J790" t="s">
        <v>77</v>
      </c>
      <c r="K790" t="s">
        <v>78</v>
      </c>
      <c r="L790" t="s">
        <v>101</v>
      </c>
      <c r="M790" t="s">
        <v>102</v>
      </c>
      <c r="N790" t="s">
        <v>497</v>
      </c>
      <c r="O790" t="s">
        <v>82</v>
      </c>
      <c r="P790" t="str">
        <f>"2170715952                    "</f>
        <v xml:space="preserve">2170715952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8.58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 s="4">
        <v>50.45</v>
      </c>
      <c r="BM790" s="4">
        <v>7.57</v>
      </c>
      <c r="BN790" s="4">
        <v>58.02</v>
      </c>
      <c r="BO790" s="4">
        <v>58.02</v>
      </c>
      <c r="BQ790" t="s">
        <v>109</v>
      </c>
      <c r="BR790" t="s">
        <v>84</v>
      </c>
      <c r="BS790" s="3">
        <v>43777</v>
      </c>
      <c r="BT790" s="5">
        <v>0.40972222222222227</v>
      </c>
      <c r="BU790" t="s">
        <v>498</v>
      </c>
      <c r="BV790" t="s">
        <v>86</v>
      </c>
      <c r="BY790">
        <v>1200</v>
      </c>
      <c r="CC790" t="s">
        <v>102</v>
      </c>
      <c r="CD790">
        <v>200</v>
      </c>
      <c r="CE790" t="s">
        <v>147</v>
      </c>
      <c r="CF790" s="3">
        <v>43780</v>
      </c>
      <c r="CI790">
        <v>1</v>
      </c>
      <c r="CJ790">
        <v>1</v>
      </c>
      <c r="CK790">
        <v>21</v>
      </c>
      <c r="CL790" t="s">
        <v>89</v>
      </c>
    </row>
    <row r="791" spans="1:90">
      <c r="A791" t="s">
        <v>72</v>
      </c>
      <c r="B791" t="s">
        <v>73</v>
      </c>
      <c r="C791" t="s">
        <v>74</v>
      </c>
      <c r="E791" t="str">
        <f>"FES1162721812"</f>
        <v>FES1162721812</v>
      </c>
      <c r="F791" s="3">
        <v>43776</v>
      </c>
      <c r="G791">
        <v>202005</v>
      </c>
      <c r="H791" t="s">
        <v>75</v>
      </c>
      <c r="I791" t="s">
        <v>76</v>
      </c>
      <c r="J791" t="s">
        <v>77</v>
      </c>
      <c r="K791" t="s">
        <v>78</v>
      </c>
      <c r="L791" t="s">
        <v>112</v>
      </c>
      <c r="M791" t="s">
        <v>113</v>
      </c>
      <c r="N791" t="s">
        <v>206</v>
      </c>
      <c r="O791" t="s">
        <v>82</v>
      </c>
      <c r="P791" t="str">
        <f>"2170716011                    "</f>
        <v xml:space="preserve">2170716011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8.58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 s="4">
        <v>50.45</v>
      </c>
      <c r="BM791" s="4">
        <v>7.57</v>
      </c>
      <c r="BN791" s="4">
        <v>58.02</v>
      </c>
      <c r="BO791" s="4">
        <v>58.02</v>
      </c>
      <c r="BQ791" t="s">
        <v>109</v>
      </c>
      <c r="BR791" t="s">
        <v>84</v>
      </c>
      <c r="BS791" s="3">
        <v>43777</v>
      </c>
      <c r="BT791" s="5">
        <v>0.37638888888888888</v>
      </c>
      <c r="BU791" t="s">
        <v>1325</v>
      </c>
      <c r="BV791" t="s">
        <v>86</v>
      </c>
      <c r="BY791">
        <v>1200</v>
      </c>
      <c r="CA791" t="s">
        <v>117</v>
      </c>
      <c r="CC791" t="s">
        <v>113</v>
      </c>
      <c r="CD791">
        <v>4001</v>
      </c>
      <c r="CE791" t="s">
        <v>147</v>
      </c>
      <c r="CF791" s="3">
        <v>43780</v>
      </c>
      <c r="CI791">
        <v>1</v>
      </c>
      <c r="CJ791">
        <v>1</v>
      </c>
      <c r="CK791">
        <v>21</v>
      </c>
      <c r="CL791" t="s">
        <v>89</v>
      </c>
    </row>
    <row r="792" spans="1:90">
      <c r="A792" t="s">
        <v>72</v>
      </c>
      <c r="B792" t="s">
        <v>73</v>
      </c>
      <c r="C792" t="s">
        <v>74</v>
      </c>
      <c r="E792" t="str">
        <f>"FES1162721767"</f>
        <v>FES1162721767</v>
      </c>
      <c r="F792" s="3">
        <v>43776</v>
      </c>
      <c r="G792">
        <v>202005</v>
      </c>
      <c r="H792" t="s">
        <v>75</v>
      </c>
      <c r="I792" t="s">
        <v>76</v>
      </c>
      <c r="J792" t="s">
        <v>77</v>
      </c>
      <c r="K792" t="s">
        <v>78</v>
      </c>
      <c r="L792" t="s">
        <v>124</v>
      </c>
      <c r="M792" t="s">
        <v>125</v>
      </c>
      <c r="N792" t="s">
        <v>218</v>
      </c>
      <c r="O792" t="s">
        <v>82</v>
      </c>
      <c r="P792" t="str">
        <f>"2170715379                    "</f>
        <v xml:space="preserve">2170715379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6.71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 s="4">
        <v>39.42</v>
      </c>
      <c r="BM792" s="4">
        <v>5.91</v>
      </c>
      <c r="BN792" s="4">
        <v>45.33</v>
      </c>
      <c r="BO792" s="4">
        <v>45.33</v>
      </c>
      <c r="BQ792" t="s">
        <v>121</v>
      </c>
      <c r="BR792" t="s">
        <v>84</v>
      </c>
      <c r="BS792" s="3">
        <v>43777</v>
      </c>
      <c r="BT792" s="5">
        <v>0.43263888888888885</v>
      </c>
      <c r="BU792" t="s">
        <v>1326</v>
      </c>
      <c r="BV792" t="s">
        <v>86</v>
      </c>
      <c r="BY792">
        <v>1200</v>
      </c>
      <c r="CA792" t="s">
        <v>123</v>
      </c>
      <c r="CC792" t="s">
        <v>125</v>
      </c>
      <c r="CD792">
        <v>2094</v>
      </c>
      <c r="CE792" t="s">
        <v>147</v>
      </c>
      <c r="CF792" s="3">
        <v>43780</v>
      </c>
      <c r="CI792">
        <v>1</v>
      </c>
      <c r="CJ792">
        <v>1</v>
      </c>
      <c r="CK792">
        <v>22</v>
      </c>
      <c r="CL792" t="s">
        <v>89</v>
      </c>
    </row>
    <row r="793" spans="1:90">
      <c r="A793" t="s">
        <v>72</v>
      </c>
      <c r="B793" t="s">
        <v>73</v>
      </c>
      <c r="C793" t="s">
        <v>74</v>
      </c>
      <c r="E793" t="str">
        <f>"FES1162721747"</f>
        <v>FES1162721747</v>
      </c>
      <c r="F793" s="3">
        <v>43776</v>
      </c>
      <c r="G793">
        <v>202005</v>
      </c>
      <c r="H793" t="s">
        <v>75</v>
      </c>
      <c r="I793" t="s">
        <v>76</v>
      </c>
      <c r="J793" t="s">
        <v>77</v>
      </c>
      <c r="K793" t="s">
        <v>78</v>
      </c>
      <c r="L793" t="s">
        <v>112</v>
      </c>
      <c r="M793" t="s">
        <v>113</v>
      </c>
      <c r="N793" t="s">
        <v>206</v>
      </c>
      <c r="O793" t="s">
        <v>82</v>
      </c>
      <c r="P793" t="str">
        <f>"2170713973                    "</f>
        <v xml:space="preserve">2170713973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8.58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 s="4">
        <v>50.45</v>
      </c>
      <c r="BM793" s="4">
        <v>7.57</v>
      </c>
      <c r="BN793" s="4">
        <v>58.02</v>
      </c>
      <c r="BO793" s="4">
        <v>58.02</v>
      </c>
      <c r="BQ793" t="s">
        <v>109</v>
      </c>
      <c r="BR793" t="s">
        <v>84</v>
      </c>
      <c r="BS793" s="3">
        <v>43777</v>
      </c>
      <c r="BT793" s="5">
        <v>0.375</v>
      </c>
      <c r="BU793" t="s">
        <v>670</v>
      </c>
      <c r="BV793" t="s">
        <v>86</v>
      </c>
      <c r="BY793">
        <v>1200</v>
      </c>
      <c r="CA793" t="s">
        <v>117</v>
      </c>
      <c r="CC793" t="s">
        <v>113</v>
      </c>
      <c r="CD793">
        <v>4001</v>
      </c>
      <c r="CE793" t="s">
        <v>147</v>
      </c>
      <c r="CF793" s="3">
        <v>43780</v>
      </c>
      <c r="CI793">
        <v>1</v>
      </c>
      <c r="CJ793">
        <v>1</v>
      </c>
      <c r="CK793">
        <v>21</v>
      </c>
      <c r="CL793" t="s">
        <v>89</v>
      </c>
    </row>
    <row r="794" spans="1:90">
      <c r="A794" t="s">
        <v>72</v>
      </c>
      <c r="B794" t="s">
        <v>73</v>
      </c>
      <c r="C794" t="s">
        <v>74</v>
      </c>
      <c r="E794" t="str">
        <f>"FES1162721761"</f>
        <v>FES1162721761</v>
      </c>
      <c r="F794" s="3">
        <v>43776</v>
      </c>
      <c r="G794">
        <v>202005</v>
      </c>
      <c r="H794" t="s">
        <v>75</v>
      </c>
      <c r="I794" t="s">
        <v>76</v>
      </c>
      <c r="J794" t="s">
        <v>77</v>
      </c>
      <c r="K794" t="s">
        <v>78</v>
      </c>
      <c r="L794" t="s">
        <v>405</v>
      </c>
      <c r="M794" t="s">
        <v>406</v>
      </c>
      <c r="N794" t="s">
        <v>407</v>
      </c>
      <c r="O794" t="s">
        <v>82</v>
      </c>
      <c r="P794" t="str">
        <f>"2170714271                    "</f>
        <v xml:space="preserve">2170714271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12.07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 s="4">
        <v>70.95</v>
      </c>
      <c r="BM794" s="4">
        <v>10.64</v>
      </c>
      <c r="BN794" s="4">
        <v>81.59</v>
      </c>
      <c r="BO794" s="4">
        <v>81.59</v>
      </c>
      <c r="BQ794" t="s">
        <v>121</v>
      </c>
      <c r="BR794" t="s">
        <v>84</v>
      </c>
      <c r="BS794" s="3">
        <v>43777</v>
      </c>
      <c r="BT794" s="5">
        <v>0.4201388888888889</v>
      </c>
      <c r="BU794" t="s">
        <v>408</v>
      </c>
      <c r="BV794" t="s">
        <v>86</v>
      </c>
      <c r="BY794">
        <v>1200</v>
      </c>
      <c r="CA794" t="s">
        <v>409</v>
      </c>
      <c r="CC794" t="s">
        <v>406</v>
      </c>
      <c r="CD794">
        <v>250</v>
      </c>
      <c r="CE794" t="s">
        <v>147</v>
      </c>
      <c r="CF794" s="3">
        <v>43781</v>
      </c>
      <c r="CI794">
        <v>1</v>
      </c>
      <c r="CJ794">
        <v>1</v>
      </c>
      <c r="CK794">
        <v>24</v>
      </c>
      <c r="CL794" t="s">
        <v>89</v>
      </c>
    </row>
    <row r="795" spans="1:90">
      <c r="A795" t="s">
        <v>72</v>
      </c>
      <c r="B795" t="s">
        <v>73</v>
      </c>
      <c r="C795" t="s">
        <v>74</v>
      </c>
      <c r="E795" t="str">
        <f>"FES1162721762"</f>
        <v>FES1162721762</v>
      </c>
      <c r="F795" s="3">
        <v>43776</v>
      </c>
      <c r="G795">
        <v>202005</v>
      </c>
      <c r="H795" t="s">
        <v>75</v>
      </c>
      <c r="I795" t="s">
        <v>76</v>
      </c>
      <c r="J795" t="s">
        <v>77</v>
      </c>
      <c r="K795" t="s">
        <v>78</v>
      </c>
      <c r="L795" t="s">
        <v>405</v>
      </c>
      <c r="M795" t="s">
        <v>406</v>
      </c>
      <c r="N795" t="s">
        <v>407</v>
      </c>
      <c r="O795" t="s">
        <v>82</v>
      </c>
      <c r="P795" t="str">
        <f>"2170714273                    "</f>
        <v xml:space="preserve">2170714273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12.07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 s="4">
        <v>70.95</v>
      </c>
      <c r="BM795" s="4">
        <v>10.64</v>
      </c>
      <c r="BN795" s="4">
        <v>81.59</v>
      </c>
      <c r="BO795" s="4">
        <v>81.59</v>
      </c>
      <c r="BQ795" t="s">
        <v>121</v>
      </c>
      <c r="BR795" t="s">
        <v>84</v>
      </c>
      <c r="BS795" s="3">
        <v>43777</v>
      </c>
      <c r="BT795" s="5">
        <v>0.4201388888888889</v>
      </c>
      <c r="BU795" t="s">
        <v>408</v>
      </c>
      <c r="BV795" t="s">
        <v>86</v>
      </c>
      <c r="BY795">
        <v>1200</v>
      </c>
      <c r="CA795" t="s">
        <v>409</v>
      </c>
      <c r="CC795" t="s">
        <v>406</v>
      </c>
      <c r="CD795">
        <v>250</v>
      </c>
      <c r="CE795" t="s">
        <v>147</v>
      </c>
      <c r="CF795" s="3">
        <v>43781</v>
      </c>
      <c r="CI795">
        <v>1</v>
      </c>
      <c r="CJ795">
        <v>1</v>
      </c>
      <c r="CK795">
        <v>24</v>
      </c>
      <c r="CL795" t="s">
        <v>89</v>
      </c>
    </row>
    <row r="796" spans="1:90">
      <c r="A796" t="s">
        <v>72</v>
      </c>
      <c r="B796" t="s">
        <v>73</v>
      </c>
      <c r="C796" t="s">
        <v>74</v>
      </c>
      <c r="E796" t="str">
        <f>"FES1162721758"</f>
        <v>FES1162721758</v>
      </c>
      <c r="F796" s="3">
        <v>43776</v>
      </c>
      <c r="G796">
        <v>202005</v>
      </c>
      <c r="H796" t="s">
        <v>75</v>
      </c>
      <c r="I796" t="s">
        <v>76</v>
      </c>
      <c r="J796" t="s">
        <v>77</v>
      </c>
      <c r="K796" t="s">
        <v>78</v>
      </c>
      <c r="L796" t="s">
        <v>1327</v>
      </c>
      <c r="M796" t="s">
        <v>1328</v>
      </c>
      <c r="N796" t="s">
        <v>1329</v>
      </c>
      <c r="O796" t="s">
        <v>82</v>
      </c>
      <c r="P796" t="str">
        <f>"2170714103                    "</f>
        <v xml:space="preserve">2170714103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16.63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 s="4">
        <v>97.75</v>
      </c>
      <c r="BM796" s="4">
        <v>14.66</v>
      </c>
      <c r="BN796" s="4">
        <v>112.41</v>
      </c>
      <c r="BO796" s="4">
        <v>112.41</v>
      </c>
      <c r="BQ796" t="s">
        <v>109</v>
      </c>
      <c r="BR796" t="s">
        <v>84</v>
      </c>
      <c r="BS796" s="3">
        <v>43777</v>
      </c>
      <c r="BT796" s="5">
        <v>0.38750000000000001</v>
      </c>
      <c r="BU796" t="s">
        <v>378</v>
      </c>
      <c r="BV796" t="s">
        <v>86</v>
      </c>
      <c r="BY796">
        <v>1200</v>
      </c>
      <c r="CA796" t="s">
        <v>1330</v>
      </c>
      <c r="CC796" t="s">
        <v>1328</v>
      </c>
      <c r="CD796">
        <v>9700</v>
      </c>
      <c r="CE796" t="s">
        <v>147</v>
      </c>
      <c r="CF796" s="3">
        <v>43781</v>
      </c>
      <c r="CI796">
        <v>1</v>
      </c>
      <c r="CJ796">
        <v>1</v>
      </c>
      <c r="CK796">
        <v>23</v>
      </c>
      <c r="CL796" t="s">
        <v>89</v>
      </c>
    </row>
    <row r="797" spans="1:90">
      <c r="A797" t="s">
        <v>72</v>
      </c>
      <c r="B797" t="s">
        <v>73</v>
      </c>
      <c r="C797" t="s">
        <v>74</v>
      </c>
      <c r="E797" t="str">
        <f>"FES1162721763"</f>
        <v>FES1162721763</v>
      </c>
      <c r="F797" s="3">
        <v>43776</v>
      </c>
      <c r="G797">
        <v>202005</v>
      </c>
      <c r="H797" t="s">
        <v>75</v>
      </c>
      <c r="I797" t="s">
        <v>76</v>
      </c>
      <c r="J797" t="s">
        <v>77</v>
      </c>
      <c r="K797" t="s">
        <v>78</v>
      </c>
      <c r="L797" t="s">
        <v>405</v>
      </c>
      <c r="M797" t="s">
        <v>406</v>
      </c>
      <c r="N797" t="s">
        <v>407</v>
      </c>
      <c r="O797" t="s">
        <v>82</v>
      </c>
      <c r="P797" t="str">
        <f>"2170714279                    "</f>
        <v xml:space="preserve">2170714279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12.07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 s="4">
        <v>70.95</v>
      </c>
      <c r="BM797" s="4">
        <v>10.64</v>
      </c>
      <c r="BN797" s="4">
        <v>81.59</v>
      </c>
      <c r="BO797" s="4">
        <v>81.59</v>
      </c>
      <c r="BQ797" t="s">
        <v>121</v>
      </c>
      <c r="BR797" t="s">
        <v>84</v>
      </c>
      <c r="BS797" s="3">
        <v>43777</v>
      </c>
      <c r="BT797" s="5">
        <v>0.4201388888888889</v>
      </c>
      <c r="BU797" t="s">
        <v>408</v>
      </c>
      <c r="BV797" t="s">
        <v>86</v>
      </c>
      <c r="BY797">
        <v>1200</v>
      </c>
      <c r="CA797" t="s">
        <v>409</v>
      </c>
      <c r="CC797" t="s">
        <v>406</v>
      </c>
      <c r="CD797">
        <v>250</v>
      </c>
      <c r="CE797" t="s">
        <v>147</v>
      </c>
      <c r="CF797" s="3">
        <v>43781</v>
      </c>
      <c r="CI797">
        <v>1</v>
      </c>
      <c r="CJ797">
        <v>1</v>
      </c>
      <c r="CK797">
        <v>24</v>
      </c>
      <c r="CL797" t="s">
        <v>89</v>
      </c>
    </row>
    <row r="798" spans="1:90">
      <c r="A798" t="s">
        <v>72</v>
      </c>
      <c r="B798" t="s">
        <v>73</v>
      </c>
      <c r="C798" t="s">
        <v>74</v>
      </c>
      <c r="E798" t="str">
        <f>"FES1162721771"</f>
        <v>FES1162721771</v>
      </c>
      <c r="F798" s="3">
        <v>43776</v>
      </c>
      <c r="G798">
        <v>202005</v>
      </c>
      <c r="H798" t="s">
        <v>75</v>
      </c>
      <c r="I798" t="s">
        <v>76</v>
      </c>
      <c r="J798" t="s">
        <v>77</v>
      </c>
      <c r="K798" t="s">
        <v>78</v>
      </c>
      <c r="L798" t="s">
        <v>783</v>
      </c>
      <c r="M798" t="s">
        <v>784</v>
      </c>
      <c r="N798" t="s">
        <v>785</v>
      </c>
      <c r="O798" t="s">
        <v>82</v>
      </c>
      <c r="P798" t="str">
        <f>"2170715660                    "</f>
        <v xml:space="preserve">2170715660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16.63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 s="4">
        <v>97.75</v>
      </c>
      <c r="BM798" s="4">
        <v>14.66</v>
      </c>
      <c r="BN798" s="4">
        <v>112.41</v>
      </c>
      <c r="BO798" s="4">
        <v>112.41</v>
      </c>
      <c r="BQ798" t="s">
        <v>109</v>
      </c>
      <c r="BR798" t="s">
        <v>84</v>
      </c>
      <c r="BS798" s="3">
        <v>43777</v>
      </c>
      <c r="BT798" s="5">
        <v>0.4597222222222222</v>
      </c>
      <c r="BU798" t="s">
        <v>786</v>
      </c>
      <c r="BV798" t="s">
        <v>86</v>
      </c>
      <c r="BY798">
        <v>1200</v>
      </c>
      <c r="CA798" t="s">
        <v>1119</v>
      </c>
      <c r="CC798" t="s">
        <v>784</v>
      </c>
      <c r="CD798">
        <v>9880</v>
      </c>
      <c r="CE798" t="s">
        <v>147</v>
      </c>
      <c r="CI798">
        <v>1</v>
      </c>
      <c r="CJ798">
        <v>1</v>
      </c>
      <c r="CK798">
        <v>23</v>
      </c>
      <c r="CL798" t="s">
        <v>89</v>
      </c>
    </row>
    <row r="799" spans="1:90">
      <c r="A799" t="s">
        <v>72</v>
      </c>
      <c r="B799" t="s">
        <v>73</v>
      </c>
      <c r="C799" t="s">
        <v>74</v>
      </c>
      <c r="E799" t="str">
        <f>"FES1162721776"</f>
        <v>FES1162721776</v>
      </c>
      <c r="F799" s="3">
        <v>43776</v>
      </c>
      <c r="G799">
        <v>202005</v>
      </c>
      <c r="H799" t="s">
        <v>75</v>
      </c>
      <c r="I799" t="s">
        <v>76</v>
      </c>
      <c r="J799" t="s">
        <v>77</v>
      </c>
      <c r="K799" t="s">
        <v>78</v>
      </c>
      <c r="L799" t="s">
        <v>124</v>
      </c>
      <c r="M799" t="s">
        <v>125</v>
      </c>
      <c r="N799" t="s">
        <v>218</v>
      </c>
      <c r="O799" t="s">
        <v>82</v>
      </c>
      <c r="P799" t="str">
        <f>"2170715969                    "</f>
        <v xml:space="preserve">2170715969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6.71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 s="4">
        <v>39.42</v>
      </c>
      <c r="BM799" s="4">
        <v>5.91</v>
      </c>
      <c r="BN799" s="4">
        <v>45.33</v>
      </c>
      <c r="BO799" s="4">
        <v>45.33</v>
      </c>
      <c r="BQ799" t="s">
        <v>121</v>
      </c>
      <c r="BR799" t="s">
        <v>84</v>
      </c>
      <c r="BS799" s="3">
        <v>43777</v>
      </c>
      <c r="BT799" s="5">
        <v>0.43194444444444446</v>
      </c>
      <c r="BU799" t="s">
        <v>753</v>
      </c>
      <c r="BV799" t="s">
        <v>86</v>
      </c>
      <c r="BY799">
        <v>1200</v>
      </c>
      <c r="CA799" t="s">
        <v>123</v>
      </c>
      <c r="CC799" t="s">
        <v>125</v>
      </c>
      <c r="CD799">
        <v>2094</v>
      </c>
      <c r="CE799" t="s">
        <v>147</v>
      </c>
      <c r="CF799" s="3">
        <v>43780</v>
      </c>
      <c r="CI799">
        <v>1</v>
      </c>
      <c r="CJ799">
        <v>1</v>
      </c>
      <c r="CK799">
        <v>22</v>
      </c>
      <c r="CL799" t="s">
        <v>89</v>
      </c>
    </row>
    <row r="800" spans="1:90">
      <c r="A800" t="s">
        <v>72</v>
      </c>
      <c r="B800" t="s">
        <v>73</v>
      </c>
      <c r="C800" t="s">
        <v>74</v>
      </c>
      <c r="E800" t="str">
        <f>"FES1162721773"</f>
        <v>FES1162721773</v>
      </c>
      <c r="F800" s="3">
        <v>43776</v>
      </c>
      <c r="G800">
        <v>202005</v>
      </c>
      <c r="H800" t="s">
        <v>75</v>
      </c>
      <c r="I800" t="s">
        <v>76</v>
      </c>
      <c r="J800" t="s">
        <v>77</v>
      </c>
      <c r="K800" t="s">
        <v>78</v>
      </c>
      <c r="L800" t="s">
        <v>214</v>
      </c>
      <c r="M800" t="s">
        <v>214</v>
      </c>
      <c r="N800" t="s">
        <v>215</v>
      </c>
      <c r="O800" t="s">
        <v>82</v>
      </c>
      <c r="P800" t="str">
        <f>"2170715815                    "</f>
        <v xml:space="preserve">2170715815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16.63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 s="4">
        <v>97.75</v>
      </c>
      <c r="BM800" s="4">
        <v>14.66</v>
      </c>
      <c r="BN800" s="4">
        <v>112.41</v>
      </c>
      <c r="BO800" s="4">
        <v>112.41</v>
      </c>
      <c r="BQ800" t="s">
        <v>109</v>
      </c>
      <c r="BR800" t="s">
        <v>84</v>
      </c>
      <c r="BS800" s="3">
        <v>43777</v>
      </c>
      <c r="BT800" s="5">
        <v>0.4375</v>
      </c>
      <c r="BU800" t="s">
        <v>264</v>
      </c>
      <c r="BV800" t="s">
        <v>86</v>
      </c>
      <c r="BY800">
        <v>1200</v>
      </c>
      <c r="CA800" t="s">
        <v>217</v>
      </c>
      <c r="CC800" t="s">
        <v>214</v>
      </c>
      <c r="CD800">
        <v>7646</v>
      </c>
      <c r="CE800" t="s">
        <v>147</v>
      </c>
      <c r="CF800" s="3">
        <v>43780</v>
      </c>
      <c r="CI800">
        <v>1</v>
      </c>
      <c r="CJ800">
        <v>1</v>
      </c>
      <c r="CK800">
        <v>23</v>
      </c>
      <c r="CL800" t="s">
        <v>89</v>
      </c>
    </row>
    <row r="801" spans="1:90">
      <c r="A801" t="s">
        <v>72</v>
      </c>
      <c r="B801" t="s">
        <v>73</v>
      </c>
      <c r="C801" t="s">
        <v>74</v>
      </c>
      <c r="E801" t="str">
        <f>"FES1162721778"</f>
        <v>FES1162721778</v>
      </c>
      <c r="F801" s="3">
        <v>43776</v>
      </c>
      <c r="G801">
        <v>202005</v>
      </c>
      <c r="H801" t="s">
        <v>75</v>
      </c>
      <c r="I801" t="s">
        <v>76</v>
      </c>
      <c r="J801" t="s">
        <v>77</v>
      </c>
      <c r="K801" t="s">
        <v>78</v>
      </c>
      <c r="L801" t="s">
        <v>106</v>
      </c>
      <c r="M801" t="s">
        <v>107</v>
      </c>
      <c r="N801" t="s">
        <v>108</v>
      </c>
      <c r="O801" t="s">
        <v>82</v>
      </c>
      <c r="P801" t="str">
        <f>"2170715973                    "</f>
        <v xml:space="preserve">2170715973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8.58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 s="4">
        <v>50.45</v>
      </c>
      <c r="BM801" s="4">
        <v>7.57</v>
      </c>
      <c r="BN801" s="4">
        <v>58.02</v>
      </c>
      <c r="BO801" s="4">
        <v>58.02</v>
      </c>
      <c r="BQ801" t="s">
        <v>109</v>
      </c>
      <c r="BR801" t="s">
        <v>84</v>
      </c>
      <c r="BS801" s="3">
        <v>43777</v>
      </c>
      <c r="BT801" s="5">
        <v>0.41666666666666669</v>
      </c>
      <c r="BU801" t="s">
        <v>110</v>
      </c>
      <c r="BV801" t="s">
        <v>86</v>
      </c>
      <c r="BY801">
        <v>1200</v>
      </c>
      <c r="CA801" t="s">
        <v>111</v>
      </c>
      <c r="CC801" t="s">
        <v>107</v>
      </c>
      <c r="CD801">
        <v>6001</v>
      </c>
      <c r="CE801" t="s">
        <v>147</v>
      </c>
      <c r="CF801" s="3">
        <v>43780</v>
      </c>
      <c r="CI801">
        <v>1</v>
      </c>
      <c r="CJ801">
        <v>1</v>
      </c>
      <c r="CK801">
        <v>21</v>
      </c>
      <c r="CL801" t="s">
        <v>89</v>
      </c>
    </row>
    <row r="802" spans="1:90">
      <c r="A802" t="s">
        <v>72</v>
      </c>
      <c r="B802" t="s">
        <v>73</v>
      </c>
      <c r="C802" t="s">
        <v>74</v>
      </c>
      <c r="E802" t="str">
        <f>"FES1162721739"</f>
        <v>FES1162721739</v>
      </c>
      <c r="F802" s="3">
        <v>43776</v>
      </c>
      <c r="G802">
        <v>202005</v>
      </c>
      <c r="H802" t="s">
        <v>75</v>
      </c>
      <c r="I802" t="s">
        <v>76</v>
      </c>
      <c r="J802" t="s">
        <v>77</v>
      </c>
      <c r="K802" t="s">
        <v>78</v>
      </c>
      <c r="L802" t="s">
        <v>79</v>
      </c>
      <c r="M802" t="s">
        <v>80</v>
      </c>
      <c r="N802" t="s">
        <v>458</v>
      </c>
      <c r="O802" t="s">
        <v>82</v>
      </c>
      <c r="P802" t="str">
        <f>"2170713235                    "</f>
        <v xml:space="preserve">2170713235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8.58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 s="4">
        <v>50.45</v>
      </c>
      <c r="BM802" s="4">
        <v>7.57</v>
      </c>
      <c r="BN802" s="4">
        <v>58.02</v>
      </c>
      <c r="BO802" s="4">
        <v>58.02</v>
      </c>
      <c r="BQ802" t="s">
        <v>109</v>
      </c>
      <c r="BR802" t="s">
        <v>84</v>
      </c>
      <c r="BS802" s="3">
        <v>43777</v>
      </c>
      <c r="BT802" s="5">
        <v>0.3263888888888889</v>
      </c>
      <c r="BU802" t="s">
        <v>1318</v>
      </c>
      <c r="BV802" t="s">
        <v>86</v>
      </c>
      <c r="BY802">
        <v>1200</v>
      </c>
      <c r="CA802" t="s">
        <v>87</v>
      </c>
      <c r="CC802" t="s">
        <v>80</v>
      </c>
      <c r="CD802">
        <v>6230</v>
      </c>
      <c r="CE802" t="s">
        <v>147</v>
      </c>
      <c r="CF802" s="3">
        <v>43780</v>
      </c>
      <c r="CI802">
        <v>1</v>
      </c>
      <c r="CJ802">
        <v>1</v>
      </c>
      <c r="CK802">
        <v>21</v>
      </c>
      <c r="CL802" t="s">
        <v>89</v>
      </c>
    </row>
    <row r="803" spans="1:90">
      <c r="A803" t="s">
        <v>72</v>
      </c>
      <c r="B803" t="s">
        <v>73</v>
      </c>
      <c r="C803" t="s">
        <v>74</v>
      </c>
      <c r="E803" t="str">
        <f>"FES1162721750"</f>
        <v>FES1162721750</v>
      </c>
      <c r="F803" s="3">
        <v>43776</v>
      </c>
      <c r="G803">
        <v>202005</v>
      </c>
      <c r="H803" t="s">
        <v>75</v>
      </c>
      <c r="I803" t="s">
        <v>76</v>
      </c>
      <c r="J803" t="s">
        <v>77</v>
      </c>
      <c r="K803" t="s">
        <v>78</v>
      </c>
      <c r="L803" t="s">
        <v>106</v>
      </c>
      <c r="M803" t="s">
        <v>107</v>
      </c>
      <c r="N803" t="s">
        <v>108</v>
      </c>
      <c r="O803" t="s">
        <v>82</v>
      </c>
      <c r="P803" t="str">
        <f>"2170713985                    "</f>
        <v xml:space="preserve">2170713985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8.58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 s="4">
        <v>50.45</v>
      </c>
      <c r="BM803" s="4">
        <v>7.57</v>
      </c>
      <c r="BN803" s="4">
        <v>58.02</v>
      </c>
      <c r="BO803" s="4">
        <v>58.02</v>
      </c>
      <c r="BQ803" t="s">
        <v>109</v>
      </c>
      <c r="BR803" t="s">
        <v>84</v>
      </c>
      <c r="BS803" s="3">
        <v>43777</v>
      </c>
      <c r="BT803" s="5">
        <v>0.41666666666666669</v>
      </c>
      <c r="BU803" t="s">
        <v>110</v>
      </c>
      <c r="BV803" t="s">
        <v>86</v>
      </c>
      <c r="BY803">
        <v>1200</v>
      </c>
      <c r="CA803" t="s">
        <v>111</v>
      </c>
      <c r="CC803" t="s">
        <v>107</v>
      </c>
      <c r="CD803">
        <v>6001</v>
      </c>
      <c r="CE803" t="s">
        <v>147</v>
      </c>
      <c r="CF803" s="3">
        <v>43780</v>
      </c>
      <c r="CI803">
        <v>1</v>
      </c>
      <c r="CJ803">
        <v>1</v>
      </c>
      <c r="CK803">
        <v>21</v>
      </c>
      <c r="CL803" t="s">
        <v>89</v>
      </c>
    </row>
    <row r="804" spans="1:90">
      <c r="A804" t="s">
        <v>72</v>
      </c>
      <c r="B804" t="s">
        <v>73</v>
      </c>
      <c r="C804" t="s">
        <v>74</v>
      </c>
      <c r="E804" t="str">
        <f>"FES1162721800"</f>
        <v>FES1162721800</v>
      </c>
      <c r="F804" s="3">
        <v>43776</v>
      </c>
      <c r="G804">
        <v>202005</v>
      </c>
      <c r="H804" t="s">
        <v>75</v>
      </c>
      <c r="I804" t="s">
        <v>76</v>
      </c>
      <c r="J804" t="s">
        <v>77</v>
      </c>
      <c r="K804" t="s">
        <v>78</v>
      </c>
      <c r="L804" t="s">
        <v>90</v>
      </c>
      <c r="M804" t="s">
        <v>91</v>
      </c>
      <c r="N804" t="s">
        <v>326</v>
      </c>
      <c r="O804" t="s">
        <v>82</v>
      </c>
      <c r="P804" t="str">
        <f>"2170715999                    "</f>
        <v xml:space="preserve">2170715999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8.58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 s="4">
        <v>50.45</v>
      </c>
      <c r="BM804" s="4">
        <v>7.57</v>
      </c>
      <c r="BN804" s="4">
        <v>58.02</v>
      </c>
      <c r="BO804" s="4">
        <v>58.02</v>
      </c>
      <c r="BQ804" t="s">
        <v>327</v>
      </c>
      <c r="BR804" t="s">
        <v>84</v>
      </c>
      <c r="BS804" s="3">
        <v>43777</v>
      </c>
      <c r="BT804" s="5">
        <v>0.39652777777777781</v>
      </c>
      <c r="BU804" t="s">
        <v>328</v>
      </c>
      <c r="BV804" t="s">
        <v>86</v>
      </c>
      <c r="BY804">
        <v>1200</v>
      </c>
      <c r="CA804" t="s">
        <v>329</v>
      </c>
      <c r="CC804" t="s">
        <v>91</v>
      </c>
      <c r="CD804">
        <v>7405</v>
      </c>
      <c r="CE804" t="s">
        <v>147</v>
      </c>
      <c r="CF804" s="3">
        <v>43780</v>
      </c>
      <c r="CI804">
        <v>1</v>
      </c>
      <c r="CJ804">
        <v>1</v>
      </c>
      <c r="CK804">
        <v>21</v>
      </c>
      <c r="CL804" t="s">
        <v>89</v>
      </c>
    </row>
    <row r="805" spans="1:90">
      <c r="A805" t="s">
        <v>72</v>
      </c>
      <c r="B805" t="s">
        <v>73</v>
      </c>
      <c r="C805" t="s">
        <v>74</v>
      </c>
      <c r="E805" t="str">
        <f>"FES1162721768"</f>
        <v>FES1162721768</v>
      </c>
      <c r="F805" s="3">
        <v>43776</v>
      </c>
      <c r="G805">
        <v>202005</v>
      </c>
      <c r="H805" t="s">
        <v>75</v>
      </c>
      <c r="I805" t="s">
        <v>76</v>
      </c>
      <c r="J805" t="s">
        <v>77</v>
      </c>
      <c r="K805" t="s">
        <v>78</v>
      </c>
      <c r="L805" t="s">
        <v>251</v>
      </c>
      <c r="M805" t="s">
        <v>252</v>
      </c>
      <c r="N805" t="s">
        <v>330</v>
      </c>
      <c r="O805" t="s">
        <v>82</v>
      </c>
      <c r="P805" t="str">
        <f>"2170715581                    "</f>
        <v xml:space="preserve">2170715581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27.88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5.4</v>
      </c>
      <c r="BJ805">
        <v>6.2</v>
      </c>
      <c r="BK805">
        <v>6.5</v>
      </c>
      <c r="BL805" s="4">
        <v>163.89</v>
      </c>
      <c r="BM805" s="4">
        <v>24.58</v>
      </c>
      <c r="BN805" s="4">
        <v>188.47</v>
      </c>
      <c r="BO805" s="4">
        <v>188.47</v>
      </c>
      <c r="BQ805" t="s">
        <v>109</v>
      </c>
      <c r="BR805" t="s">
        <v>84</v>
      </c>
      <c r="BS805" s="3">
        <v>43777</v>
      </c>
      <c r="BT805" s="5">
        <v>0.42499999999999999</v>
      </c>
      <c r="BU805" t="s">
        <v>1331</v>
      </c>
      <c r="BV805" t="s">
        <v>86</v>
      </c>
      <c r="BY805">
        <v>30964.03</v>
      </c>
      <c r="CA805" t="s">
        <v>255</v>
      </c>
      <c r="CC805" t="s">
        <v>252</v>
      </c>
      <c r="CD805">
        <v>4133</v>
      </c>
      <c r="CE805" t="s">
        <v>88</v>
      </c>
      <c r="CF805" s="3">
        <v>43780</v>
      </c>
      <c r="CI805">
        <v>1</v>
      </c>
      <c r="CJ805">
        <v>1</v>
      </c>
      <c r="CK805">
        <v>21</v>
      </c>
      <c r="CL805" t="s">
        <v>89</v>
      </c>
    </row>
    <row r="806" spans="1:90">
      <c r="A806" t="s">
        <v>72</v>
      </c>
      <c r="B806" t="s">
        <v>73</v>
      </c>
      <c r="C806" t="s">
        <v>74</v>
      </c>
      <c r="E806" t="str">
        <f>"FES1162721788"</f>
        <v>FES1162721788</v>
      </c>
      <c r="F806" s="3">
        <v>43776</v>
      </c>
      <c r="G806">
        <v>202005</v>
      </c>
      <c r="H806" t="s">
        <v>75</v>
      </c>
      <c r="I806" t="s">
        <v>76</v>
      </c>
      <c r="J806" t="s">
        <v>77</v>
      </c>
      <c r="K806" t="s">
        <v>78</v>
      </c>
      <c r="L806" t="s">
        <v>112</v>
      </c>
      <c r="M806" t="s">
        <v>113</v>
      </c>
      <c r="N806" t="s">
        <v>1332</v>
      </c>
      <c r="O806" t="s">
        <v>82</v>
      </c>
      <c r="P806" t="str">
        <f>"217075990                     "</f>
        <v xml:space="preserve">217075990 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10.73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2.2000000000000002</v>
      </c>
      <c r="BJ806">
        <v>1</v>
      </c>
      <c r="BK806">
        <v>2.5</v>
      </c>
      <c r="BL806" s="4">
        <v>63.06</v>
      </c>
      <c r="BM806" s="4">
        <v>9.4600000000000009</v>
      </c>
      <c r="BN806" s="4">
        <v>72.52</v>
      </c>
      <c r="BO806" s="4">
        <v>72.52</v>
      </c>
      <c r="BQ806" t="s">
        <v>121</v>
      </c>
      <c r="BR806" t="s">
        <v>84</v>
      </c>
      <c r="BS806" s="3">
        <v>43777</v>
      </c>
      <c r="BT806" s="5">
        <v>0.3347222222222222</v>
      </c>
      <c r="BU806" t="s">
        <v>1333</v>
      </c>
      <c r="BV806" t="s">
        <v>86</v>
      </c>
      <c r="BY806">
        <v>5149.62</v>
      </c>
      <c r="CA806" t="s">
        <v>1334</v>
      </c>
      <c r="CC806" t="s">
        <v>113</v>
      </c>
      <c r="CD806">
        <v>4001</v>
      </c>
      <c r="CE806" t="s">
        <v>88</v>
      </c>
      <c r="CF806" s="3">
        <v>43780</v>
      </c>
      <c r="CI806">
        <v>1</v>
      </c>
      <c r="CJ806">
        <v>1</v>
      </c>
      <c r="CK806">
        <v>21</v>
      </c>
      <c r="CL806" t="s">
        <v>89</v>
      </c>
    </row>
    <row r="807" spans="1:90">
      <c r="A807" t="s">
        <v>72</v>
      </c>
      <c r="B807" t="s">
        <v>73</v>
      </c>
      <c r="C807" t="s">
        <v>74</v>
      </c>
      <c r="E807" t="str">
        <f>"FES1162721692"</f>
        <v>FES1162721692</v>
      </c>
      <c r="F807" s="3">
        <v>43776</v>
      </c>
      <c r="G807">
        <v>202005</v>
      </c>
      <c r="H807" t="s">
        <v>75</v>
      </c>
      <c r="I807" t="s">
        <v>76</v>
      </c>
      <c r="J807" t="s">
        <v>77</v>
      </c>
      <c r="K807" t="s">
        <v>78</v>
      </c>
      <c r="L807" t="s">
        <v>176</v>
      </c>
      <c r="M807" t="s">
        <v>177</v>
      </c>
      <c r="N807" t="s">
        <v>602</v>
      </c>
      <c r="O807" t="s">
        <v>82</v>
      </c>
      <c r="P807" t="str">
        <f>"2170715914                    "</f>
        <v xml:space="preserve">2170715914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15.02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1.8</v>
      </c>
      <c r="BJ807">
        <v>3.1</v>
      </c>
      <c r="BK807">
        <v>3.5</v>
      </c>
      <c r="BL807" s="4">
        <v>88.27</v>
      </c>
      <c r="BM807" s="4">
        <v>13.24</v>
      </c>
      <c r="BN807" s="4">
        <v>101.51</v>
      </c>
      <c r="BO807" s="4">
        <v>101.51</v>
      </c>
      <c r="BQ807" t="s">
        <v>142</v>
      </c>
      <c r="BR807" t="s">
        <v>84</v>
      </c>
      <c r="BS807" s="3">
        <v>43777</v>
      </c>
      <c r="BT807" s="5">
        <v>0.39374999999999999</v>
      </c>
      <c r="BU807" t="s">
        <v>1324</v>
      </c>
      <c r="BV807" t="s">
        <v>86</v>
      </c>
      <c r="BY807">
        <v>15317.56</v>
      </c>
      <c r="CA807" t="s">
        <v>180</v>
      </c>
      <c r="CC807" t="s">
        <v>177</v>
      </c>
      <c r="CD807">
        <v>3600</v>
      </c>
      <c r="CE807" t="s">
        <v>88</v>
      </c>
      <c r="CF807" s="3">
        <v>43780</v>
      </c>
      <c r="CI807">
        <v>1</v>
      </c>
      <c r="CJ807">
        <v>1</v>
      </c>
      <c r="CK807">
        <v>21</v>
      </c>
      <c r="CL807" t="s">
        <v>89</v>
      </c>
    </row>
    <row r="808" spans="1:90">
      <c r="A808" t="s">
        <v>72</v>
      </c>
      <c r="B808" t="s">
        <v>73</v>
      </c>
      <c r="C808" t="s">
        <v>74</v>
      </c>
      <c r="E808" t="str">
        <f>"FES1162721715"</f>
        <v>FES1162721715</v>
      </c>
      <c r="F808" s="3">
        <v>43776</v>
      </c>
      <c r="G808">
        <v>202005</v>
      </c>
      <c r="H808" t="s">
        <v>75</v>
      </c>
      <c r="I808" t="s">
        <v>76</v>
      </c>
      <c r="J808" t="s">
        <v>77</v>
      </c>
      <c r="K808" t="s">
        <v>78</v>
      </c>
      <c r="L808" t="s">
        <v>75</v>
      </c>
      <c r="M808" t="s">
        <v>76</v>
      </c>
      <c r="N808" t="s">
        <v>232</v>
      </c>
      <c r="O808" t="s">
        <v>82</v>
      </c>
      <c r="P808" t="str">
        <f>"2170715944                    "</f>
        <v xml:space="preserve">2170715944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6.71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 s="4">
        <v>39.42</v>
      </c>
      <c r="BM808" s="4">
        <v>5.91</v>
      </c>
      <c r="BN808" s="4">
        <v>45.33</v>
      </c>
      <c r="BO808" s="4">
        <v>45.33</v>
      </c>
      <c r="BR808" t="s">
        <v>84</v>
      </c>
      <c r="BS808" s="3">
        <v>43777</v>
      </c>
      <c r="BT808" s="5">
        <v>0.39305555555555555</v>
      </c>
      <c r="BU808" t="s">
        <v>402</v>
      </c>
      <c r="BV808" t="s">
        <v>86</v>
      </c>
      <c r="BY808">
        <v>1200</v>
      </c>
      <c r="CA808" t="s">
        <v>198</v>
      </c>
      <c r="CC808" t="s">
        <v>76</v>
      </c>
      <c r="CD808">
        <v>1600</v>
      </c>
      <c r="CE808" t="s">
        <v>147</v>
      </c>
      <c r="CF808" s="3">
        <v>43780</v>
      </c>
      <c r="CI808">
        <v>1</v>
      </c>
      <c r="CJ808">
        <v>1</v>
      </c>
      <c r="CK808">
        <v>22</v>
      </c>
      <c r="CL808" t="s">
        <v>89</v>
      </c>
    </row>
    <row r="809" spans="1:90">
      <c r="A809" t="s">
        <v>72</v>
      </c>
      <c r="B809" t="s">
        <v>73</v>
      </c>
      <c r="C809" t="s">
        <v>74</v>
      </c>
      <c r="E809" t="str">
        <f>"FES1162721887"</f>
        <v>FES1162721887</v>
      </c>
      <c r="F809" s="3">
        <v>43776</v>
      </c>
      <c r="G809">
        <v>202005</v>
      </c>
      <c r="H809" t="s">
        <v>75</v>
      </c>
      <c r="I809" t="s">
        <v>76</v>
      </c>
      <c r="J809" t="s">
        <v>77</v>
      </c>
      <c r="K809" t="s">
        <v>78</v>
      </c>
      <c r="L809" t="s">
        <v>90</v>
      </c>
      <c r="M809" t="s">
        <v>91</v>
      </c>
      <c r="N809" t="s">
        <v>576</v>
      </c>
      <c r="O809" t="s">
        <v>82</v>
      </c>
      <c r="P809" t="str">
        <f>"2170716087                    "</f>
        <v xml:space="preserve">2170716087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8.58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 s="4">
        <v>50.45</v>
      </c>
      <c r="BM809" s="4">
        <v>7.57</v>
      </c>
      <c r="BN809" s="4">
        <v>58.02</v>
      </c>
      <c r="BO809" s="4">
        <v>58.02</v>
      </c>
      <c r="BQ809" t="s">
        <v>109</v>
      </c>
      <c r="BR809" t="s">
        <v>84</v>
      </c>
      <c r="BS809" s="3">
        <v>43777</v>
      </c>
      <c r="BT809" s="5">
        <v>0.35486111111111113</v>
      </c>
      <c r="BU809" t="s">
        <v>577</v>
      </c>
      <c r="BV809" t="s">
        <v>86</v>
      </c>
      <c r="BY809">
        <v>1200</v>
      </c>
      <c r="CA809" t="s">
        <v>213</v>
      </c>
      <c r="CC809" t="s">
        <v>91</v>
      </c>
      <c r="CD809">
        <v>7441</v>
      </c>
      <c r="CE809" t="s">
        <v>147</v>
      </c>
      <c r="CF809" s="3">
        <v>43780</v>
      </c>
      <c r="CI809">
        <v>1</v>
      </c>
      <c r="CJ809">
        <v>1</v>
      </c>
      <c r="CK809">
        <v>21</v>
      </c>
      <c r="CL809" t="s">
        <v>89</v>
      </c>
    </row>
    <row r="810" spans="1:90">
      <c r="A810" t="s">
        <v>72</v>
      </c>
      <c r="B810" t="s">
        <v>73</v>
      </c>
      <c r="C810" t="s">
        <v>74</v>
      </c>
      <c r="E810" t="str">
        <f>"FES1162721754"</f>
        <v>FES1162721754</v>
      </c>
      <c r="F810" s="3">
        <v>43776</v>
      </c>
      <c r="G810">
        <v>202005</v>
      </c>
      <c r="H810" t="s">
        <v>75</v>
      </c>
      <c r="I810" t="s">
        <v>76</v>
      </c>
      <c r="J810" t="s">
        <v>77</v>
      </c>
      <c r="K810" t="s">
        <v>78</v>
      </c>
      <c r="L810" t="s">
        <v>75</v>
      </c>
      <c r="M810" t="s">
        <v>76</v>
      </c>
      <c r="N810" t="s">
        <v>232</v>
      </c>
      <c r="O810" t="s">
        <v>82</v>
      </c>
      <c r="P810" t="str">
        <f>"2170714083                    "</f>
        <v xml:space="preserve">2170714083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6.71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 s="4">
        <v>39.42</v>
      </c>
      <c r="BM810" s="4">
        <v>5.91</v>
      </c>
      <c r="BN810" s="4">
        <v>45.33</v>
      </c>
      <c r="BO810" s="4">
        <v>45.33</v>
      </c>
      <c r="BR810" t="s">
        <v>84</v>
      </c>
      <c r="BS810" s="3">
        <v>43777</v>
      </c>
      <c r="BT810" s="5">
        <v>0.39374999999999999</v>
      </c>
      <c r="BU810" t="s">
        <v>402</v>
      </c>
      <c r="BV810" t="s">
        <v>86</v>
      </c>
      <c r="BY810">
        <v>1200</v>
      </c>
      <c r="CA810" t="s">
        <v>198</v>
      </c>
      <c r="CC810" t="s">
        <v>76</v>
      </c>
      <c r="CD810">
        <v>1600</v>
      </c>
      <c r="CE810" t="s">
        <v>147</v>
      </c>
      <c r="CF810" s="3">
        <v>43780</v>
      </c>
      <c r="CI810">
        <v>1</v>
      </c>
      <c r="CJ810">
        <v>1</v>
      </c>
      <c r="CK810">
        <v>22</v>
      </c>
      <c r="CL810" t="s">
        <v>89</v>
      </c>
    </row>
    <row r="811" spans="1:90">
      <c r="A811" t="s">
        <v>72</v>
      </c>
      <c r="B811" t="s">
        <v>73</v>
      </c>
      <c r="C811" t="s">
        <v>74</v>
      </c>
      <c r="E811" t="str">
        <f>"FES1162721726"</f>
        <v>FES1162721726</v>
      </c>
      <c r="F811" s="3">
        <v>43776</v>
      </c>
      <c r="G811">
        <v>202005</v>
      </c>
      <c r="H811" t="s">
        <v>75</v>
      </c>
      <c r="I811" t="s">
        <v>76</v>
      </c>
      <c r="J811" t="s">
        <v>77</v>
      </c>
      <c r="K811" t="s">
        <v>78</v>
      </c>
      <c r="L811" t="s">
        <v>482</v>
      </c>
      <c r="M811" t="s">
        <v>483</v>
      </c>
      <c r="N811" t="s">
        <v>1256</v>
      </c>
      <c r="O811" t="s">
        <v>82</v>
      </c>
      <c r="P811" t="str">
        <f>"2170715955                    "</f>
        <v xml:space="preserve">2170715955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6.71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 s="4">
        <v>39.42</v>
      </c>
      <c r="BM811" s="4">
        <v>5.91</v>
      </c>
      <c r="BN811" s="4">
        <v>45.33</v>
      </c>
      <c r="BO811" s="4">
        <v>45.33</v>
      </c>
      <c r="BR811" t="s">
        <v>84</v>
      </c>
      <c r="BS811" s="3">
        <v>43777</v>
      </c>
      <c r="BT811" s="5">
        <v>0.3576388888888889</v>
      </c>
      <c r="BU811" t="s">
        <v>1335</v>
      </c>
      <c r="BV811" t="s">
        <v>86</v>
      </c>
      <c r="BY811">
        <v>1200</v>
      </c>
      <c r="CA811" t="s">
        <v>1336</v>
      </c>
      <c r="CC811" t="s">
        <v>483</v>
      </c>
      <c r="CD811">
        <v>1459</v>
      </c>
      <c r="CE811" t="s">
        <v>147</v>
      </c>
      <c r="CF811" s="3">
        <v>43780</v>
      </c>
      <c r="CI811">
        <v>1</v>
      </c>
      <c r="CJ811">
        <v>1</v>
      </c>
      <c r="CK811">
        <v>22</v>
      </c>
      <c r="CL811" t="s">
        <v>89</v>
      </c>
    </row>
    <row r="812" spans="1:90">
      <c r="A812" t="s">
        <v>72</v>
      </c>
      <c r="B812" t="s">
        <v>73</v>
      </c>
      <c r="C812" t="s">
        <v>74</v>
      </c>
      <c r="E812" t="str">
        <f>"FES1162721751"</f>
        <v>FES1162721751</v>
      </c>
      <c r="F812" s="3">
        <v>43776</v>
      </c>
      <c r="G812">
        <v>202005</v>
      </c>
      <c r="H812" t="s">
        <v>75</v>
      </c>
      <c r="I812" t="s">
        <v>76</v>
      </c>
      <c r="J812" t="s">
        <v>77</v>
      </c>
      <c r="K812" t="s">
        <v>78</v>
      </c>
      <c r="L812" t="s">
        <v>112</v>
      </c>
      <c r="M812" t="s">
        <v>113</v>
      </c>
      <c r="N812" t="s">
        <v>1337</v>
      </c>
      <c r="O812" t="s">
        <v>82</v>
      </c>
      <c r="P812" t="str">
        <f>"2170713998                    "</f>
        <v xml:space="preserve">2170713998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8.58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 s="4">
        <v>50.45</v>
      </c>
      <c r="BM812" s="4">
        <v>7.57</v>
      </c>
      <c r="BN812" s="4">
        <v>58.02</v>
      </c>
      <c r="BO812" s="4">
        <v>58.02</v>
      </c>
      <c r="BR812" t="s">
        <v>84</v>
      </c>
      <c r="BS812" s="3">
        <v>43777</v>
      </c>
      <c r="BT812" s="5">
        <v>0.375</v>
      </c>
      <c r="BU812" t="s">
        <v>1338</v>
      </c>
      <c r="BV812" t="s">
        <v>86</v>
      </c>
      <c r="BY812">
        <v>1200</v>
      </c>
      <c r="CA812" t="s">
        <v>1339</v>
      </c>
      <c r="CC812" t="s">
        <v>113</v>
      </c>
      <c r="CD812">
        <v>4051</v>
      </c>
      <c r="CE812" t="s">
        <v>147</v>
      </c>
      <c r="CF812" s="3">
        <v>43780</v>
      </c>
      <c r="CI812">
        <v>1</v>
      </c>
      <c r="CJ812">
        <v>1</v>
      </c>
      <c r="CK812">
        <v>21</v>
      </c>
      <c r="CL812" t="s">
        <v>89</v>
      </c>
    </row>
    <row r="813" spans="1:90">
      <c r="A813" t="s">
        <v>72</v>
      </c>
      <c r="B813" t="s">
        <v>73</v>
      </c>
      <c r="C813" t="s">
        <v>74</v>
      </c>
      <c r="E813" t="str">
        <f>"FES1162721745"</f>
        <v>FES1162721745</v>
      </c>
      <c r="F813" s="3">
        <v>43776</v>
      </c>
      <c r="G813">
        <v>202005</v>
      </c>
      <c r="H813" t="s">
        <v>75</v>
      </c>
      <c r="I813" t="s">
        <v>76</v>
      </c>
      <c r="J813" t="s">
        <v>77</v>
      </c>
      <c r="K813" t="s">
        <v>78</v>
      </c>
      <c r="L813" t="s">
        <v>75</v>
      </c>
      <c r="M813" t="s">
        <v>76</v>
      </c>
      <c r="N813" t="s">
        <v>989</v>
      </c>
      <c r="O813" t="s">
        <v>82</v>
      </c>
      <c r="P813" t="str">
        <f>"2170713948                    "</f>
        <v xml:space="preserve">2170713948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6.71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 s="4">
        <v>39.42</v>
      </c>
      <c r="BM813" s="4">
        <v>5.91</v>
      </c>
      <c r="BN813" s="4">
        <v>45.33</v>
      </c>
      <c r="BO813" s="4">
        <v>45.33</v>
      </c>
      <c r="BQ813" t="s">
        <v>121</v>
      </c>
      <c r="BR813" t="s">
        <v>84</v>
      </c>
      <c r="BS813" s="3">
        <v>43777</v>
      </c>
      <c r="BT813" s="5">
        <v>0.32291666666666669</v>
      </c>
      <c r="BU813" t="s">
        <v>1340</v>
      </c>
      <c r="BV813" t="s">
        <v>86</v>
      </c>
      <c r="BY813">
        <v>1200</v>
      </c>
      <c r="CA813" t="s">
        <v>368</v>
      </c>
      <c r="CC813" t="s">
        <v>76</v>
      </c>
      <c r="CD813">
        <v>1600</v>
      </c>
      <c r="CE813" t="s">
        <v>147</v>
      </c>
      <c r="CF813" s="3">
        <v>43780</v>
      </c>
      <c r="CI813">
        <v>1</v>
      </c>
      <c r="CJ813">
        <v>1</v>
      </c>
      <c r="CK813">
        <v>22</v>
      </c>
      <c r="CL813" t="s">
        <v>89</v>
      </c>
    </row>
    <row r="814" spans="1:90">
      <c r="A814" t="s">
        <v>72</v>
      </c>
      <c r="B814" t="s">
        <v>73</v>
      </c>
      <c r="C814" t="s">
        <v>74</v>
      </c>
      <c r="E814" t="str">
        <f>"FES1162721810"</f>
        <v>FES1162721810</v>
      </c>
      <c r="F814" s="3">
        <v>43776</v>
      </c>
      <c r="G814">
        <v>202005</v>
      </c>
      <c r="H814" t="s">
        <v>75</v>
      </c>
      <c r="I814" t="s">
        <v>76</v>
      </c>
      <c r="J814" t="s">
        <v>77</v>
      </c>
      <c r="K814" t="s">
        <v>78</v>
      </c>
      <c r="L814" t="s">
        <v>431</v>
      </c>
      <c r="M814" t="s">
        <v>432</v>
      </c>
      <c r="N814" t="s">
        <v>1341</v>
      </c>
      <c r="O814" t="s">
        <v>82</v>
      </c>
      <c r="P814" t="str">
        <f>"2170716008                    "</f>
        <v xml:space="preserve">2170716008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8.58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 s="4">
        <v>50.45</v>
      </c>
      <c r="BM814" s="4">
        <v>7.57</v>
      </c>
      <c r="BN814" s="4">
        <v>58.02</v>
      </c>
      <c r="BO814" s="4">
        <v>58.02</v>
      </c>
      <c r="BQ814" t="s">
        <v>1342</v>
      </c>
      <c r="BR814" t="s">
        <v>84</v>
      </c>
      <c r="BS814" s="3">
        <v>43777</v>
      </c>
      <c r="BT814" s="5">
        <v>0.49027777777777781</v>
      </c>
      <c r="BU814" t="s">
        <v>331</v>
      </c>
      <c r="BV814" t="s">
        <v>86</v>
      </c>
      <c r="BY814">
        <v>1200</v>
      </c>
      <c r="CA814" t="s">
        <v>435</v>
      </c>
      <c r="CC814" t="s">
        <v>432</v>
      </c>
      <c r="CD814">
        <v>3699</v>
      </c>
      <c r="CE814" t="s">
        <v>147</v>
      </c>
      <c r="CF814" s="3">
        <v>43780</v>
      </c>
      <c r="CI814">
        <v>1</v>
      </c>
      <c r="CJ814">
        <v>1</v>
      </c>
      <c r="CK814">
        <v>21</v>
      </c>
      <c r="CL814" t="s">
        <v>89</v>
      </c>
    </row>
    <row r="815" spans="1:90">
      <c r="A815" t="s">
        <v>72</v>
      </c>
      <c r="B815" t="s">
        <v>73</v>
      </c>
      <c r="C815" t="s">
        <v>74</v>
      </c>
      <c r="E815" t="str">
        <f>"FES1162721717"</f>
        <v>FES1162721717</v>
      </c>
      <c r="F815" s="3">
        <v>43776</v>
      </c>
      <c r="G815">
        <v>202005</v>
      </c>
      <c r="H815" t="s">
        <v>75</v>
      </c>
      <c r="I815" t="s">
        <v>76</v>
      </c>
      <c r="J815" t="s">
        <v>77</v>
      </c>
      <c r="K815" t="s">
        <v>78</v>
      </c>
      <c r="L815" t="s">
        <v>90</v>
      </c>
      <c r="M815" t="s">
        <v>91</v>
      </c>
      <c r="N815" t="s">
        <v>190</v>
      </c>
      <c r="O815" t="s">
        <v>82</v>
      </c>
      <c r="P815" t="str">
        <f>"2170715946                    "</f>
        <v xml:space="preserve">2170715946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8.58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 s="4">
        <v>50.45</v>
      </c>
      <c r="BM815" s="4">
        <v>7.57</v>
      </c>
      <c r="BN815" s="4">
        <v>58.02</v>
      </c>
      <c r="BO815" s="4">
        <v>58.02</v>
      </c>
      <c r="BQ815" t="s">
        <v>109</v>
      </c>
      <c r="BR815" t="s">
        <v>84</v>
      </c>
      <c r="BS815" s="3">
        <v>43777</v>
      </c>
      <c r="BT815" s="5">
        <v>0.41319444444444442</v>
      </c>
      <c r="BU815" t="s">
        <v>191</v>
      </c>
      <c r="BV815" t="s">
        <v>86</v>
      </c>
      <c r="BY815">
        <v>1200</v>
      </c>
      <c r="CA815" t="s">
        <v>213</v>
      </c>
      <c r="CC815" t="s">
        <v>91</v>
      </c>
      <c r="CD815">
        <v>7441</v>
      </c>
      <c r="CE815" t="s">
        <v>147</v>
      </c>
      <c r="CF815" s="3">
        <v>43780</v>
      </c>
      <c r="CI815">
        <v>1</v>
      </c>
      <c r="CJ815">
        <v>1</v>
      </c>
      <c r="CK815">
        <v>21</v>
      </c>
      <c r="CL815" t="s">
        <v>89</v>
      </c>
    </row>
    <row r="816" spans="1:90">
      <c r="A816" t="s">
        <v>72</v>
      </c>
      <c r="B816" t="s">
        <v>73</v>
      </c>
      <c r="C816" t="s">
        <v>74</v>
      </c>
      <c r="E816" t="str">
        <f>"FES1162721784"</f>
        <v>FES1162721784</v>
      </c>
      <c r="F816" s="3">
        <v>43776</v>
      </c>
      <c r="G816">
        <v>202005</v>
      </c>
      <c r="H816" t="s">
        <v>75</v>
      </c>
      <c r="I816" t="s">
        <v>76</v>
      </c>
      <c r="J816" t="s">
        <v>77</v>
      </c>
      <c r="K816" t="s">
        <v>78</v>
      </c>
      <c r="L816" t="s">
        <v>214</v>
      </c>
      <c r="M816" t="s">
        <v>214</v>
      </c>
      <c r="N816" t="s">
        <v>314</v>
      </c>
      <c r="O816" t="s">
        <v>82</v>
      </c>
      <c r="P816" t="str">
        <f>"2170715983                    "</f>
        <v xml:space="preserve">2170715983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24.14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3</v>
      </c>
      <c r="BJ816">
        <v>1.1000000000000001</v>
      </c>
      <c r="BK816">
        <v>3</v>
      </c>
      <c r="BL816" s="4">
        <v>141.9</v>
      </c>
      <c r="BM816" s="4">
        <v>21.29</v>
      </c>
      <c r="BN816" s="4">
        <v>163.19</v>
      </c>
      <c r="BO816" s="4">
        <v>163.19</v>
      </c>
      <c r="BQ816" t="s">
        <v>109</v>
      </c>
      <c r="BR816" t="s">
        <v>84</v>
      </c>
      <c r="BS816" s="3">
        <v>43777</v>
      </c>
      <c r="BT816" s="5">
        <v>0.4375</v>
      </c>
      <c r="BU816" t="s">
        <v>1343</v>
      </c>
      <c r="BV816" t="s">
        <v>86</v>
      </c>
      <c r="BY816">
        <v>5320</v>
      </c>
      <c r="CA816" t="s">
        <v>217</v>
      </c>
      <c r="CC816" t="s">
        <v>214</v>
      </c>
      <c r="CD816">
        <v>7646</v>
      </c>
      <c r="CE816" t="s">
        <v>88</v>
      </c>
      <c r="CF816" s="3">
        <v>43780</v>
      </c>
      <c r="CI816">
        <v>1</v>
      </c>
      <c r="CJ816">
        <v>1</v>
      </c>
      <c r="CK816">
        <v>23</v>
      </c>
      <c r="CL816" t="s">
        <v>89</v>
      </c>
    </row>
    <row r="817" spans="1:90">
      <c r="A817" t="s">
        <v>72</v>
      </c>
      <c r="B817" t="s">
        <v>73</v>
      </c>
      <c r="C817" t="s">
        <v>74</v>
      </c>
      <c r="E817" t="str">
        <f>"FES1162721716"</f>
        <v>FES1162721716</v>
      </c>
      <c r="F817" s="3">
        <v>43776</v>
      </c>
      <c r="G817">
        <v>202005</v>
      </c>
      <c r="H817" t="s">
        <v>75</v>
      </c>
      <c r="I817" t="s">
        <v>76</v>
      </c>
      <c r="J817" t="s">
        <v>77</v>
      </c>
      <c r="K817" t="s">
        <v>78</v>
      </c>
      <c r="L817" t="s">
        <v>482</v>
      </c>
      <c r="M817" t="s">
        <v>483</v>
      </c>
      <c r="N817" t="s">
        <v>1344</v>
      </c>
      <c r="O817" t="s">
        <v>82</v>
      </c>
      <c r="P817" t="str">
        <f>"2170715945                    "</f>
        <v xml:space="preserve">2170715945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6.71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 s="4">
        <v>39.42</v>
      </c>
      <c r="BM817" s="4">
        <v>5.91</v>
      </c>
      <c r="BN817" s="4">
        <v>45.33</v>
      </c>
      <c r="BO817" s="4">
        <v>45.33</v>
      </c>
      <c r="BR817" t="s">
        <v>84</v>
      </c>
      <c r="BS817" s="3">
        <v>43777</v>
      </c>
      <c r="BT817" s="5">
        <v>0.31805555555555554</v>
      </c>
      <c r="BU817" t="s">
        <v>1345</v>
      </c>
      <c r="BV817" t="s">
        <v>86</v>
      </c>
      <c r="BY817">
        <v>1200</v>
      </c>
      <c r="CA817" t="s">
        <v>1094</v>
      </c>
      <c r="CC817" t="s">
        <v>483</v>
      </c>
      <c r="CD817">
        <v>1459</v>
      </c>
      <c r="CE817" t="s">
        <v>147</v>
      </c>
      <c r="CF817" s="3">
        <v>43780</v>
      </c>
      <c r="CI817">
        <v>1</v>
      </c>
      <c r="CJ817">
        <v>1</v>
      </c>
      <c r="CK817">
        <v>22</v>
      </c>
      <c r="CL817" t="s">
        <v>89</v>
      </c>
    </row>
    <row r="818" spans="1:90">
      <c r="A818" t="s">
        <v>72</v>
      </c>
      <c r="B818" t="s">
        <v>73</v>
      </c>
      <c r="C818" t="s">
        <v>74</v>
      </c>
      <c r="E818" t="str">
        <f>"FES1162721781"</f>
        <v>FES1162721781</v>
      </c>
      <c r="F818" s="3">
        <v>43776</v>
      </c>
      <c r="G818">
        <v>202005</v>
      </c>
      <c r="H818" t="s">
        <v>75</v>
      </c>
      <c r="I818" t="s">
        <v>76</v>
      </c>
      <c r="J818" t="s">
        <v>77</v>
      </c>
      <c r="K818" t="s">
        <v>78</v>
      </c>
      <c r="L818" t="s">
        <v>90</v>
      </c>
      <c r="M818" t="s">
        <v>91</v>
      </c>
      <c r="N818" t="s">
        <v>823</v>
      </c>
      <c r="O818" t="s">
        <v>82</v>
      </c>
      <c r="P818" t="str">
        <f>"2170715796                    "</f>
        <v xml:space="preserve">2170715796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8.58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 s="4">
        <v>50.45</v>
      </c>
      <c r="BM818" s="4">
        <v>7.57</v>
      </c>
      <c r="BN818" s="4">
        <v>58.02</v>
      </c>
      <c r="BO818" s="4">
        <v>58.02</v>
      </c>
      <c r="BQ818" t="s">
        <v>142</v>
      </c>
      <c r="BR818" t="s">
        <v>84</v>
      </c>
      <c r="BS818" s="3">
        <v>43777</v>
      </c>
      <c r="BT818" s="5">
        <v>0.36805555555555558</v>
      </c>
      <c r="BU818" t="s">
        <v>1346</v>
      </c>
      <c r="BV818" t="s">
        <v>86</v>
      </c>
      <c r="BY818">
        <v>1200</v>
      </c>
      <c r="CA818" t="s">
        <v>1238</v>
      </c>
      <c r="CC818" t="s">
        <v>91</v>
      </c>
      <c r="CD818">
        <v>7441</v>
      </c>
      <c r="CE818" t="s">
        <v>147</v>
      </c>
      <c r="CF818" s="3">
        <v>43780</v>
      </c>
      <c r="CI818">
        <v>1</v>
      </c>
      <c r="CJ818">
        <v>1</v>
      </c>
      <c r="CK818">
        <v>21</v>
      </c>
      <c r="CL818" t="s">
        <v>89</v>
      </c>
    </row>
    <row r="819" spans="1:90">
      <c r="A819" t="s">
        <v>72</v>
      </c>
      <c r="B819" t="s">
        <v>73</v>
      </c>
      <c r="C819" t="s">
        <v>74</v>
      </c>
      <c r="E819" t="str">
        <f>"FES1162721746"</f>
        <v>FES1162721746</v>
      </c>
      <c r="F819" s="3">
        <v>43776</v>
      </c>
      <c r="G819">
        <v>202005</v>
      </c>
      <c r="H819" t="s">
        <v>75</v>
      </c>
      <c r="I819" t="s">
        <v>76</v>
      </c>
      <c r="J819" t="s">
        <v>77</v>
      </c>
      <c r="K819" t="s">
        <v>78</v>
      </c>
      <c r="L819" t="s">
        <v>349</v>
      </c>
      <c r="M819" t="s">
        <v>350</v>
      </c>
      <c r="N819" t="s">
        <v>351</v>
      </c>
      <c r="O819" t="s">
        <v>82</v>
      </c>
      <c r="P819" t="str">
        <f>"2170713971                    "</f>
        <v xml:space="preserve">2170713971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8.58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0.5</v>
      </c>
      <c r="BJ819">
        <v>1.3</v>
      </c>
      <c r="BK819">
        <v>1.5</v>
      </c>
      <c r="BL819" s="4">
        <v>50.45</v>
      </c>
      <c r="BM819" s="4">
        <v>7.57</v>
      </c>
      <c r="BN819" s="4">
        <v>58.02</v>
      </c>
      <c r="BO819" s="4">
        <v>58.02</v>
      </c>
      <c r="BQ819" t="s">
        <v>109</v>
      </c>
      <c r="BR819" t="s">
        <v>84</v>
      </c>
      <c r="BS819" s="3">
        <v>43777</v>
      </c>
      <c r="BT819" s="5">
        <v>0.36180555555555555</v>
      </c>
      <c r="BU819" t="s">
        <v>1347</v>
      </c>
      <c r="BV819" t="s">
        <v>86</v>
      </c>
      <c r="BY819">
        <v>6462.75</v>
      </c>
      <c r="CC819" t="s">
        <v>350</v>
      </c>
      <c r="CD819">
        <v>6536</v>
      </c>
      <c r="CE819" t="s">
        <v>88</v>
      </c>
      <c r="CF819" s="3">
        <v>43782</v>
      </c>
      <c r="CI819">
        <v>1</v>
      </c>
      <c r="CJ819">
        <v>1</v>
      </c>
      <c r="CK819">
        <v>21</v>
      </c>
      <c r="CL819" t="s">
        <v>89</v>
      </c>
    </row>
    <row r="820" spans="1:90">
      <c r="A820" t="s">
        <v>72</v>
      </c>
      <c r="B820" t="s">
        <v>73</v>
      </c>
      <c r="C820" t="s">
        <v>74</v>
      </c>
      <c r="E820" t="str">
        <f>"FES1162721782"</f>
        <v>FES1162721782</v>
      </c>
      <c r="F820" s="3">
        <v>43776</v>
      </c>
      <c r="G820">
        <v>202005</v>
      </c>
      <c r="H820" t="s">
        <v>75</v>
      </c>
      <c r="I820" t="s">
        <v>76</v>
      </c>
      <c r="J820" t="s">
        <v>77</v>
      </c>
      <c r="K820" t="s">
        <v>78</v>
      </c>
      <c r="L820" t="s">
        <v>124</v>
      </c>
      <c r="M820" t="s">
        <v>125</v>
      </c>
      <c r="N820" t="s">
        <v>487</v>
      </c>
      <c r="O820" t="s">
        <v>82</v>
      </c>
      <c r="P820" t="str">
        <f>"2170715978                    "</f>
        <v xml:space="preserve">2170715978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6.71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 s="4">
        <v>39.42</v>
      </c>
      <c r="BM820" s="4">
        <v>5.91</v>
      </c>
      <c r="BN820" s="4">
        <v>45.33</v>
      </c>
      <c r="BO820" s="4">
        <v>45.33</v>
      </c>
      <c r="BQ820" t="s">
        <v>835</v>
      </c>
      <c r="BR820" t="s">
        <v>84</v>
      </c>
      <c r="BS820" s="3">
        <v>43777</v>
      </c>
      <c r="BT820" s="5">
        <v>0.37847222222222227</v>
      </c>
      <c r="BU820" t="s">
        <v>1348</v>
      </c>
      <c r="BV820" t="s">
        <v>86</v>
      </c>
      <c r="BY820">
        <v>1200</v>
      </c>
      <c r="CA820" t="s">
        <v>123</v>
      </c>
      <c r="CC820" t="s">
        <v>125</v>
      </c>
      <c r="CD820">
        <v>2094</v>
      </c>
      <c r="CE820" t="s">
        <v>147</v>
      </c>
      <c r="CF820" s="3">
        <v>43780</v>
      </c>
      <c r="CI820">
        <v>1</v>
      </c>
      <c r="CJ820">
        <v>1</v>
      </c>
      <c r="CK820">
        <v>22</v>
      </c>
      <c r="CL820" t="s">
        <v>89</v>
      </c>
    </row>
    <row r="821" spans="1:90">
      <c r="A821" t="s">
        <v>72</v>
      </c>
      <c r="B821" t="s">
        <v>73</v>
      </c>
      <c r="C821" t="s">
        <v>74</v>
      </c>
      <c r="E821" t="str">
        <f>"FES1162721793"</f>
        <v>FES1162721793</v>
      </c>
      <c r="F821" s="3">
        <v>43776</v>
      </c>
      <c r="G821">
        <v>202005</v>
      </c>
      <c r="H821" t="s">
        <v>75</v>
      </c>
      <c r="I821" t="s">
        <v>76</v>
      </c>
      <c r="J821" t="s">
        <v>77</v>
      </c>
      <c r="K821" t="s">
        <v>78</v>
      </c>
      <c r="L821" t="s">
        <v>1349</v>
      </c>
      <c r="M821" t="s">
        <v>1350</v>
      </c>
      <c r="N821" t="s">
        <v>1351</v>
      </c>
      <c r="O821" t="s">
        <v>82</v>
      </c>
      <c r="P821" t="str">
        <f>"2170715771                    "</f>
        <v xml:space="preserve">2170715771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16.63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 s="4">
        <v>97.75</v>
      </c>
      <c r="BM821" s="4">
        <v>14.66</v>
      </c>
      <c r="BN821" s="4">
        <v>112.41</v>
      </c>
      <c r="BO821" s="4">
        <v>112.41</v>
      </c>
      <c r="BR821" t="s">
        <v>84</v>
      </c>
      <c r="BS821" s="3">
        <v>43777</v>
      </c>
      <c r="BT821" s="5">
        <v>0.63611111111111118</v>
      </c>
      <c r="BU821" t="s">
        <v>1352</v>
      </c>
      <c r="BV821" t="s">
        <v>86</v>
      </c>
      <c r="BY821">
        <v>1200</v>
      </c>
      <c r="CC821" t="s">
        <v>1350</v>
      </c>
      <c r="CD821">
        <v>6170</v>
      </c>
      <c r="CE821" t="s">
        <v>147</v>
      </c>
      <c r="CF821" s="3">
        <v>43782</v>
      </c>
      <c r="CI821">
        <v>3</v>
      </c>
      <c r="CJ821">
        <v>1</v>
      </c>
      <c r="CK821">
        <v>23</v>
      </c>
      <c r="CL821" t="s">
        <v>89</v>
      </c>
    </row>
    <row r="822" spans="1:90">
      <c r="A822" t="s">
        <v>72</v>
      </c>
      <c r="B822" t="s">
        <v>73</v>
      </c>
      <c r="C822" t="s">
        <v>74</v>
      </c>
      <c r="E822" t="str">
        <f>"FES1162721732"</f>
        <v>FES1162721732</v>
      </c>
      <c r="F822" s="3">
        <v>43776</v>
      </c>
      <c r="G822">
        <v>202005</v>
      </c>
      <c r="H822" t="s">
        <v>75</v>
      </c>
      <c r="I822" t="s">
        <v>76</v>
      </c>
      <c r="J822" t="s">
        <v>77</v>
      </c>
      <c r="K822" t="s">
        <v>78</v>
      </c>
      <c r="L822" t="s">
        <v>124</v>
      </c>
      <c r="M822" t="s">
        <v>125</v>
      </c>
      <c r="N822" t="s">
        <v>487</v>
      </c>
      <c r="O822" t="s">
        <v>82</v>
      </c>
      <c r="P822" t="str">
        <f>"2170715961                    "</f>
        <v xml:space="preserve">2170715961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6.71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 s="4">
        <v>39.42</v>
      </c>
      <c r="BM822" s="4">
        <v>5.91</v>
      </c>
      <c r="BN822" s="4">
        <v>45.33</v>
      </c>
      <c r="BO822" s="4">
        <v>45.33</v>
      </c>
      <c r="BQ822" t="s">
        <v>835</v>
      </c>
      <c r="BR822" t="s">
        <v>84</v>
      </c>
      <c r="BS822" s="3">
        <v>43777</v>
      </c>
      <c r="BT822" s="5">
        <v>0.37777777777777777</v>
      </c>
      <c r="BU822" t="s">
        <v>1348</v>
      </c>
      <c r="BV822" t="s">
        <v>86</v>
      </c>
      <c r="BY822">
        <v>1200</v>
      </c>
      <c r="CA822" t="s">
        <v>123</v>
      </c>
      <c r="CC822" t="s">
        <v>125</v>
      </c>
      <c r="CD822">
        <v>2094</v>
      </c>
      <c r="CE822" t="s">
        <v>147</v>
      </c>
      <c r="CF822" s="3">
        <v>43780</v>
      </c>
      <c r="CI822">
        <v>1</v>
      </c>
      <c r="CJ822">
        <v>1</v>
      </c>
      <c r="CK822">
        <v>22</v>
      </c>
      <c r="CL822" t="s">
        <v>89</v>
      </c>
    </row>
    <row r="823" spans="1:90">
      <c r="A823" t="s">
        <v>72</v>
      </c>
      <c r="B823" t="s">
        <v>73</v>
      </c>
      <c r="C823" t="s">
        <v>74</v>
      </c>
      <c r="E823" t="str">
        <f>"FES1162721818"</f>
        <v>FES1162721818</v>
      </c>
      <c r="F823" s="3">
        <v>43776</v>
      </c>
      <c r="G823">
        <v>202005</v>
      </c>
      <c r="H823" t="s">
        <v>75</v>
      </c>
      <c r="I823" t="s">
        <v>76</v>
      </c>
      <c r="J823" t="s">
        <v>77</v>
      </c>
      <c r="K823" t="s">
        <v>78</v>
      </c>
      <c r="L823" t="s">
        <v>482</v>
      </c>
      <c r="M823" t="s">
        <v>483</v>
      </c>
      <c r="N823" t="s">
        <v>1054</v>
      </c>
      <c r="O823" t="s">
        <v>82</v>
      </c>
      <c r="P823" t="str">
        <f>"2170716014                    "</f>
        <v xml:space="preserve">2170716014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6.71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 s="4">
        <v>39.42</v>
      </c>
      <c r="BM823" s="4">
        <v>5.91</v>
      </c>
      <c r="BN823" s="4">
        <v>45.33</v>
      </c>
      <c r="BO823" s="4">
        <v>45.33</v>
      </c>
      <c r="BQ823" t="s">
        <v>109</v>
      </c>
      <c r="BR823" t="s">
        <v>84</v>
      </c>
      <c r="BS823" s="3">
        <v>43777</v>
      </c>
      <c r="BT823" s="5">
        <v>0.3430555555555555</v>
      </c>
      <c r="BU823" t="s">
        <v>1093</v>
      </c>
      <c r="BV823" t="s">
        <v>86</v>
      </c>
      <c r="BY823">
        <v>1200</v>
      </c>
      <c r="CA823" t="s">
        <v>1094</v>
      </c>
      <c r="CC823" t="s">
        <v>483</v>
      </c>
      <c r="CD823">
        <v>1459</v>
      </c>
      <c r="CE823" t="s">
        <v>147</v>
      </c>
      <c r="CF823" s="3">
        <v>43780</v>
      </c>
      <c r="CI823">
        <v>1</v>
      </c>
      <c r="CJ823">
        <v>1</v>
      </c>
      <c r="CK823">
        <v>22</v>
      </c>
      <c r="CL823" t="s">
        <v>89</v>
      </c>
    </row>
    <row r="824" spans="1:90">
      <c r="A824" t="s">
        <v>72</v>
      </c>
      <c r="B824" t="s">
        <v>73</v>
      </c>
      <c r="C824" t="s">
        <v>74</v>
      </c>
      <c r="E824" t="str">
        <f>"FES1162721756"</f>
        <v>FES1162721756</v>
      </c>
      <c r="F824" s="3">
        <v>43776</v>
      </c>
      <c r="G824">
        <v>202005</v>
      </c>
      <c r="H824" t="s">
        <v>75</v>
      </c>
      <c r="I824" t="s">
        <v>76</v>
      </c>
      <c r="J824" t="s">
        <v>77</v>
      </c>
      <c r="K824" t="s">
        <v>78</v>
      </c>
      <c r="L824" t="s">
        <v>184</v>
      </c>
      <c r="M824" t="s">
        <v>185</v>
      </c>
      <c r="N824" t="s">
        <v>1314</v>
      </c>
      <c r="O824" t="s">
        <v>82</v>
      </c>
      <c r="P824" t="str">
        <f>"2170714092                    "</f>
        <v xml:space="preserve">2170714092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6.71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 s="4">
        <v>39.42</v>
      </c>
      <c r="BM824" s="4">
        <v>5.91</v>
      </c>
      <c r="BN824" s="4">
        <v>45.33</v>
      </c>
      <c r="BO824" s="4">
        <v>45.33</v>
      </c>
      <c r="BQ824" t="s">
        <v>109</v>
      </c>
      <c r="BR824" t="s">
        <v>84</v>
      </c>
      <c r="BS824" s="3">
        <v>43777</v>
      </c>
      <c r="BT824" s="5">
        <v>0.33333333333333331</v>
      </c>
      <c r="BU824" t="s">
        <v>1315</v>
      </c>
      <c r="BV824" t="s">
        <v>86</v>
      </c>
      <c r="BY824">
        <v>1200</v>
      </c>
      <c r="CA824" t="s">
        <v>1316</v>
      </c>
      <c r="CC824" t="s">
        <v>185</v>
      </c>
      <c r="CD824">
        <v>1501</v>
      </c>
      <c r="CE824" t="s">
        <v>147</v>
      </c>
      <c r="CF824" s="3">
        <v>43780</v>
      </c>
      <c r="CI824">
        <v>1</v>
      </c>
      <c r="CJ824">
        <v>1</v>
      </c>
      <c r="CK824">
        <v>22</v>
      </c>
      <c r="CL824" t="s">
        <v>89</v>
      </c>
    </row>
    <row r="825" spans="1:90">
      <c r="A825" t="s">
        <v>72</v>
      </c>
      <c r="B825" t="s">
        <v>73</v>
      </c>
      <c r="C825" t="s">
        <v>74</v>
      </c>
      <c r="E825" t="str">
        <f>"FES1162721855"</f>
        <v>FES1162721855</v>
      </c>
      <c r="F825" s="3">
        <v>43776</v>
      </c>
      <c r="G825">
        <v>202005</v>
      </c>
      <c r="H825" t="s">
        <v>75</v>
      </c>
      <c r="I825" t="s">
        <v>76</v>
      </c>
      <c r="J825" t="s">
        <v>77</v>
      </c>
      <c r="K825" t="s">
        <v>78</v>
      </c>
      <c r="L825" t="s">
        <v>270</v>
      </c>
      <c r="M825" t="s">
        <v>271</v>
      </c>
      <c r="N825" t="s">
        <v>618</v>
      </c>
      <c r="O825" t="s">
        <v>82</v>
      </c>
      <c r="P825" t="str">
        <f>"2170716055                    "</f>
        <v xml:space="preserve">2170716055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15.02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3.4</v>
      </c>
      <c r="BJ825">
        <v>1.8</v>
      </c>
      <c r="BK825">
        <v>3.5</v>
      </c>
      <c r="BL825" s="4">
        <v>88.27</v>
      </c>
      <c r="BM825" s="4">
        <v>13.24</v>
      </c>
      <c r="BN825" s="4">
        <v>101.51</v>
      </c>
      <c r="BO825" s="4">
        <v>101.51</v>
      </c>
      <c r="BQ825" t="s">
        <v>121</v>
      </c>
      <c r="BR825" t="s">
        <v>84</v>
      </c>
      <c r="BS825" s="3">
        <v>43777</v>
      </c>
      <c r="BT825" s="5">
        <v>0.33958333333333335</v>
      </c>
      <c r="BU825" t="s">
        <v>619</v>
      </c>
      <c r="BV825" t="s">
        <v>86</v>
      </c>
      <c r="BY825">
        <v>9161.8799999999992</v>
      </c>
      <c r="CA825" t="s">
        <v>773</v>
      </c>
      <c r="CC825" t="s">
        <v>271</v>
      </c>
      <c r="CD825">
        <v>6220</v>
      </c>
      <c r="CE825" t="s">
        <v>88</v>
      </c>
      <c r="CF825" s="3">
        <v>43780</v>
      </c>
      <c r="CI825">
        <v>1</v>
      </c>
      <c r="CJ825">
        <v>1</v>
      </c>
      <c r="CK825">
        <v>21</v>
      </c>
      <c r="CL825" t="s">
        <v>89</v>
      </c>
    </row>
    <row r="826" spans="1:90">
      <c r="A826" t="s">
        <v>1353</v>
      </c>
      <c r="B826" t="s">
        <v>73</v>
      </c>
      <c r="C826" t="s">
        <v>74</v>
      </c>
      <c r="E826" t="str">
        <f>"009939131794"</f>
        <v>009939131794</v>
      </c>
      <c r="F826" s="3">
        <v>43776</v>
      </c>
      <c r="G826">
        <v>202005</v>
      </c>
      <c r="H826" t="s">
        <v>106</v>
      </c>
      <c r="I826" t="s">
        <v>107</v>
      </c>
      <c r="J826" t="s">
        <v>1354</v>
      </c>
      <c r="K826" t="s">
        <v>78</v>
      </c>
      <c r="L826" t="s">
        <v>75</v>
      </c>
      <c r="M826" t="s">
        <v>76</v>
      </c>
      <c r="N826" t="s">
        <v>1355</v>
      </c>
      <c r="O826" t="s">
        <v>756</v>
      </c>
      <c r="P826" t="str">
        <f>"                              "</f>
        <v xml:space="preserve">          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20.12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4.0999999999999996</v>
      </c>
      <c r="BJ826">
        <v>3.2</v>
      </c>
      <c r="BK826">
        <v>5</v>
      </c>
      <c r="BL826" s="4">
        <v>118.25</v>
      </c>
      <c r="BM826" s="4">
        <v>17.739999999999998</v>
      </c>
      <c r="BN826" s="4">
        <v>135.99</v>
      </c>
      <c r="BO826" s="4">
        <v>135.99</v>
      </c>
      <c r="BQ826" t="s">
        <v>1356</v>
      </c>
      <c r="BR826" t="s">
        <v>1357</v>
      </c>
      <c r="BS826" s="3">
        <v>43777</v>
      </c>
      <c r="BT826" s="5">
        <v>0.33333333333333331</v>
      </c>
      <c r="BU826" t="s">
        <v>1016</v>
      </c>
      <c r="BV826" t="s">
        <v>86</v>
      </c>
      <c r="BY826">
        <v>16120</v>
      </c>
      <c r="BZ826" t="s">
        <v>27</v>
      </c>
      <c r="CA826" t="s">
        <v>198</v>
      </c>
      <c r="CC826" t="s">
        <v>76</v>
      </c>
      <c r="CD826">
        <v>1600</v>
      </c>
      <c r="CE826" t="s">
        <v>88</v>
      </c>
      <c r="CF826" s="3">
        <v>43780</v>
      </c>
      <c r="CI826">
        <v>1</v>
      </c>
      <c r="CJ826">
        <v>1</v>
      </c>
      <c r="CK826">
        <v>31</v>
      </c>
      <c r="CL826" t="s">
        <v>89</v>
      </c>
    </row>
    <row r="827" spans="1:90">
      <c r="A827" t="s">
        <v>72</v>
      </c>
      <c r="B827" t="s">
        <v>73</v>
      </c>
      <c r="C827" t="s">
        <v>74</v>
      </c>
      <c r="E827" t="str">
        <f>"FES1162721731"</f>
        <v>FES1162721731</v>
      </c>
      <c r="F827" s="3">
        <v>43776</v>
      </c>
      <c r="G827">
        <v>202005</v>
      </c>
      <c r="H827" t="s">
        <v>75</v>
      </c>
      <c r="I827" t="s">
        <v>76</v>
      </c>
      <c r="J827" t="s">
        <v>77</v>
      </c>
      <c r="K827" t="s">
        <v>78</v>
      </c>
      <c r="L827" t="s">
        <v>124</v>
      </c>
      <c r="M827" t="s">
        <v>125</v>
      </c>
      <c r="N827" t="s">
        <v>748</v>
      </c>
      <c r="O827" t="s">
        <v>82</v>
      </c>
      <c r="P827" t="str">
        <f>"2170715960                    "</f>
        <v xml:space="preserve">2170715960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12.33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5.5</v>
      </c>
      <c r="BJ827">
        <v>1.2</v>
      </c>
      <c r="BK827">
        <v>5.5</v>
      </c>
      <c r="BL827" s="4">
        <v>72.48</v>
      </c>
      <c r="BM827" s="4">
        <v>10.87</v>
      </c>
      <c r="BN827" s="4">
        <v>83.35</v>
      </c>
      <c r="BO827" s="4">
        <v>83.35</v>
      </c>
      <c r="BQ827" t="s">
        <v>121</v>
      </c>
      <c r="BR827" t="s">
        <v>84</v>
      </c>
      <c r="BS827" s="3">
        <v>43777</v>
      </c>
      <c r="BT827" s="5">
        <v>0.3125</v>
      </c>
      <c r="BU827" t="s">
        <v>1039</v>
      </c>
      <c r="BV827" t="s">
        <v>86</v>
      </c>
      <c r="BY827">
        <v>5802.07</v>
      </c>
      <c r="CA827" t="s">
        <v>123</v>
      </c>
      <c r="CC827" t="s">
        <v>125</v>
      </c>
      <c r="CD827">
        <v>2094</v>
      </c>
      <c r="CE827" t="s">
        <v>88</v>
      </c>
      <c r="CF827" s="3">
        <v>43780</v>
      </c>
      <c r="CI827">
        <v>1</v>
      </c>
      <c r="CJ827">
        <v>1</v>
      </c>
      <c r="CK827">
        <v>22</v>
      </c>
      <c r="CL827" t="s">
        <v>89</v>
      </c>
    </row>
    <row r="828" spans="1:90">
      <c r="A828" t="s">
        <v>72</v>
      </c>
      <c r="B828" t="s">
        <v>73</v>
      </c>
      <c r="C828" t="s">
        <v>74</v>
      </c>
      <c r="E828" t="str">
        <f>"FES1162721990"</f>
        <v>FES1162721990</v>
      </c>
      <c r="F828" s="3">
        <v>43776</v>
      </c>
      <c r="G828">
        <v>202005</v>
      </c>
      <c r="H828" t="s">
        <v>75</v>
      </c>
      <c r="I828" t="s">
        <v>76</v>
      </c>
      <c r="J828" t="s">
        <v>77</v>
      </c>
      <c r="K828" t="s">
        <v>78</v>
      </c>
      <c r="L828" t="s">
        <v>90</v>
      </c>
      <c r="M828" t="s">
        <v>91</v>
      </c>
      <c r="N828" t="s">
        <v>715</v>
      </c>
      <c r="O828" t="s">
        <v>82</v>
      </c>
      <c r="P828" t="str">
        <f>"2170716189                    "</f>
        <v xml:space="preserve">2170716189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12.87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2.6</v>
      </c>
      <c r="BJ828">
        <v>0.9</v>
      </c>
      <c r="BK828">
        <v>3</v>
      </c>
      <c r="BL828" s="4">
        <v>75.66</v>
      </c>
      <c r="BM828" s="4">
        <v>11.35</v>
      </c>
      <c r="BN828" s="4">
        <v>87.01</v>
      </c>
      <c r="BO828" s="4">
        <v>87.01</v>
      </c>
      <c r="BQ828" t="s">
        <v>109</v>
      </c>
      <c r="BR828" t="s">
        <v>84</v>
      </c>
      <c r="BS828" s="3">
        <v>43777</v>
      </c>
      <c r="BT828" s="5">
        <v>0.375</v>
      </c>
      <c r="BU828" t="s">
        <v>716</v>
      </c>
      <c r="BV828" t="s">
        <v>86</v>
      </c>
      <c r="BY828">
        <v>4526.3500000000004</v>
      </c>
      <c r="CA828" t="s">
        <v>717</v>
      </c>
      <c r="CC828" t="s">
        <v>91</v>
      </c>
      <c r="CD828">
        <v>7925</v>
      </c>
      <c r="CE828" t="s">
        <v>88</v>
      </c>
      <c r="CF828" s="3">
        <v>43780</v>
      </c>
      <c r="CI828">
        <v>1</v>
      </c>
      <c r="CJ828">
        <v>1</v>
      </c>
      <c r="CK828">
        <v>21</v>
      </c>
      <c r="CL828" t="s">
        <v>89</v>
      </c>
    </row>
    <row r="829" spans="1:90">
      <c r="A829" t="s">
        <v>72</v>
      </c>
      <c r="B829" t="s">
        <v>73</v>
      </c>
      <c r="C829" t="s">
        <v>74</v>
      </c>
      <c r="E829" t="str">
        <f>"FES1162721958"</f>
        <v>FES1162721958</v>
      </c>
      <c r="F829" s="3">
        <v>43776</v>
      </c>
      <c r="G829">
        <v>202005</v>
      </c>
      <c r="H829" t="s">
        <v>75</v>
      </c>
      <c r="I829" t="s">
        <v>76</v>
      </c>
      <c r="J829" t="s">
        <v>77</v>
      </c>
      <c r="K829" t="s">
        <v>78</v>
      </c>
      <c r="L829" t="s">
        <v>106</v>
      </c>
      <c r="M829" t="s">
        <v>107</v>
      </c>
      <c r="N829" t="s">
        <v>386</v>
      </c>
      <c r="O829" t="s">
        <v>82</v>
      </c>
      <c r="P829" t="str">
        <f>"2170715428                    "</f>
        <v xml:space="preserve">2170715428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23.59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5.0999999999999996</v>
      </c>
      <c r="BJ829">
        <v>1.8</v>
      </c>
      <c r="BK829">
        <v>5.5</v>
      </c>
      <c r="BL829" s="4">
        <v>138.68</v>
      </c>
      <c r="BM829" s="4">
        <v>20.8</v>
      </c>
      <c r="BN829" s="4">
        <v>159.47999999999999</v>
      </c>
      <c r="BO829" s="4">
        <v>159.47999999999999</v>
      </c>
      <c r="BQ829" t="s">
        <v>121</v>
      </c>
      <c r="BR829" t="s">
        <v>84</v>
      </c>
      <c r="BS829" s="3">
        <v>43777</v>
      </c>
      <c r="BT829" s="5">
        <v>0.38194444444444442</v>
      </c>
      <c r="BU829" t="s">
        <v>652</v>
      </c>
      <c r="BV829" t="s">
        <v>86</v>
      </c>
      <c r="BY829">
        <v>9139.94</v>
      </c>
      <c r="CA829" t="s">
        <v>111</v>
      </c>
      <c r="CC829" t="s">
        <v>107</v>
      </c>
      <c r="CD829">
        <v>6001</v>
      </c>
      <c r="CE829" t="s">
        <v>88</v>
      </c>
      <c r="CF829" s="3">
        <v>43780</v>
      </c>
      <c r="CI829">
        <v>1</v>
      </c>
      <c r="CJ829">
        <v>1</v>
      </c>
      <c r="CK829">
        <v>21</v>
      </c>
      <c r="CL829" t="s">
        <v>89</v>
      </c>
    </row>
    <row r="830" spans="1:90">
      <c r="A830" t="s">
        <v>72</v>
      </c>
      <c r="B830" t="s">
        <v>73</v>
      </c>
      <c r="C830" t="s">
        <v>74</v>
      </c>
      <c r="E830" t="str">
        <f>"FES1162722003"</f>
        <v>FES1162722003</v>
      </c>
      <c r="F830" s="3">
        <v>43776</v>
      </c>
      <c r="G830">
        <v>202005</v>
      </c>
      <c r="H830" t="s">
        <v>75</v>
      </c>
      <c r="I830" t="s">
        <v>76</v>
      </c>
      <c r="J830" t="s">
        <v>77</v>
      </c>
      <c r="K830" t="s">
        <v>78</v>
      </c>
      <c r="L830" t="s">
        <v>118</v>
      </c>
      <c r="M830" t="s">
        <v>119</v>
      </c>
      <c r="N830" t="s">
        <v>775</v>
      </c>
      <c r="O830" t="s">
        <v>82</v>
      </c>
      <c r="P830" t="str">
        <f>"21707816203                   "</f>
        <v xml:space="preserve">21707816203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8.58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0.1</v>
      </c>
      <c r="BJ830">
        <v>0.2</v>
      </c>
      <c r="BK830">
        <v>0.5</v>
      </c>
      <c r="BL830" s="4">
        <v>50.45</v>
      </c>
      <c r="BM830" s="4">
        <v>7.57</v>
      </c>
      <c r="BN830" s="4">
        <v>58.02</v>
      </c>
      <c r="BO830" s="4">
        <v>58.02</v>
      </c>
      <c r="BQ830" t="s">
        <v>142</v>
      </c>
      <c r="BR830" t="s">
        <v>84</v>
      </c>
      <c r="BS830" s="3">
        <v>43777</v>
      </c>
      <c r="BT830" s="5">
        <v>0.4284722222222222</v>
      </c>
      <c r="BU830" t="s">
        <v>1358</v>
      </c>
      <c r="BV830" t="s">
        <v>86</v>
      </c>
      <c r="BY830">
        <v>1200</v>
      </c>
      <c r="CC830" t="s">
        <v>119</v>
      </c>
      <c r="CD830">
        <v>3201</v>
      </c>
      <c r="CE830" t="s">
        <v>147</v>
      </c>
      <c r="CF830" s="3">
        <v>43780</v>
      </c>
      <c r="CI830">
        <v>1</v>
      </c>
      <c r="CJ830">
        <v>1</v>
      </c>
      <c r="CK830">
        <v>21</v>
      </c>
      <c r="CL830" t="s">
        <v>89</v>
      </c>
    </row>
    <row r="831" spans="1:90">
      <c r="A831" t="s">
        <v>72</v>
      </c>
      <c r="B831" t="s">
        <v>73</v>
      </c>
      <c r="C831" t="s">
        <v>74</v>
      </c>
      <c r="E831" t="str">
        <f>"FES1162721973"</f>
        <v>FES1162721973</v>
      </c>
      <c r="F831" s="3">
        <v>43776</v>
      </c>
      <c r="G831">
        <v>202005</v>
      </c>
      <c r="H831" t="s">
        <v>75</v>
      </c>
      <c r="I831" t="s">
        <v>76</v>
      </c>
      <c r="J831" t="s">
        <v>77</v>
      </c>
      <c r="K831" t="s">
        <v>78</v>
      </c>
      <c r="L831" t="s">
        <v>112</v>
      </c>
      <c r="M831" t="s">
        <v>113</v>
      </c>
      <c r="N831" t="s">
        <v>423</v>
      </c>
      <c r="O831" t="s">
        <v>82</v>
      </c>
      <c r="P831" t="str">
        <f>"2170716169                    "</f>
        <v xml:space="preserve">2170716169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19.3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4.0999999999999996</v>
      </c>
      <c r="BJ831">
        <v>0.9</v>
      </c>
      <c r="BK831">
        <v>4.5</v>
      </c>
      <c r="BL831" s="4">
        <v>113.47</v>
      </c>
      <c r="BM831" s="4">
        <v>17.02</v>
      </c>
      <c r="BN831" s="4">
        <v>130.49</v>
      </c>
      <c r="BO831" s="4">
        <v>130.49</v>
      </c>
      <c r="BQ831" t="s">
        <v>424</v>
      </c>
      <c r="BR831" t="s">
        <v>84</v>
      </c>
      <c r="BS831" s="3">
        <v>43777</v>
      </c>
      <c r="BT831" s="5">
        <v>0.31527777777777777</v>
      </c>
      <c r="BU831" t="s">
        <v>1018</v>
      </c>
      <c r="BV831" t="s">
        <v>86</v>
      </c>
      <c r="BY831">
        <v>4685.47</v>
      </c>
      <c r="CA831" t="s">
        <v>426</v>
      </c>
      <c r="CC831" t="s">
        <v>113</v>
      </c>
      <c r="CD831">
        <v>4001</v>
      </c>
      <c r="CE831" t="s">
        <v>88</v>
      </c>
      <c r="CF831" s="3">
        <v>43780</v>
      </c>
      <c r="CI831">
        <v>1</v>
      </c>
      <c r="CJ831">
        <v>1</v>
      </c>
      <c r="CK831">
        <v>21</v>
      </c>
      <c r="CL831" t="s">
        <v>89</v>
      </c>
    </row>
    <row r="832" spans="1:90">
      <c r="A832" t="s">
        <v>72</v>
      </c>
      <c r="B832" t="s">
        <v>73</v>
      </c>
      <c r="C832" t="s">
        <v>74</v>
      </c>
      <c r="E832" t="str">
        <f>"FES11627211965"</f>
        <v>FES11627211965</v>
      </c>
      <c r="F832" s="3">
        <v>43776</v>
      </c>
      <c r="G832">
        <v>202005</v>
      </c>
      <c r="H832" t="s">
        <v>75</v>
      </c>
      <c r="I832" t="s">
        <v>76</v>
      </c>
      <c r="J832" t="s">
        <v>77</v>
      </c>
      <c r="K832" t="s">
        <v>78</v>
      </c>
      <c r="L832" t="s">
        <v>112</v>
      </c>
      <c r="M832" t="s">
        <v>113</v>
      </c>
      <c r="N832" t="s">
        <v>669</v>
      </c>
      <c r="O832" t="s">
        <v>82</v>
      </c>
      <c r="P832" t="str">
        <f>"2170716160                    "</f>
        <v xml:space="preserve">2170716160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25.74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4.2</v>
      </c>
      <c r="BJ832">
        <v>5.8</v>
      </c>
      <c r="BK832">
        <v>6</v>
      </c>
      <c r="BL832" s="4">
        <v>151.29</v>
      </c>
      <c r="BM832" s="4">
        <v>22.69</v>
      </c>
      <c r="BN832" s="4">
        <v>173.98</v>
      </c>
      <c r="BO832" s="4">
        <v>173.98</v>
      </c>
      <c r="BQ832" t="s">
        <v>109</v>
      </c>
      <c r="BR832" t="s">
        <v>84</v>
      </c>
      <c r="BS832" s="3">
        <v>43777</v>
      </c>
      <c r="BT832" s="5">
        <v>0.35416666666666669</v>
      </c>
      <c r="BU832" t="s">
        <v>1359</v>
      </c>
      <c r="BV832" t="s">
        <v>86</v>
      </c>
      <c r="BY832">
        <v>28907.55</v>
      </c>
      <c r="CC832" t="s">
        <v>113</v>
      </c>
      <c r="CD832">
        <v>4001</v>
      </c>
      <c r="CE832" t="s">
        <v>88</v>
      </c>
      <c r="CI832">
        <v>1</v>
      </c>
      <c r="CJ832">
        <v>1</v>
      </c>
      <c r="CK832">
        <v>21</v>
      </c>
      <c r="CL832" t="s">
        <v>89</v>
      </c>
    </row>
    <row r="833" spans="1:90">
      <c r="A833" t="s">
        <v>72</v>
      </c>
      <c r="B833" t="s">
        <v>73</v>
      </c>
      <c r="C833" t="s">
        <v>74</v>
      </c>
      <c r="E833" t="str">
        <f>"FES1162721910"</f>
        <v>FES1162721910</v>
      </c>
      <c r="F833" s="3">
        <v>43776</v>
      </c>
      <c r="G833">
        <v>202005</v>
      </c>
      <c r="H833" t="s">
        <v>75</v>
      </c>
      <c r="I833" t="s">
        <v>76</v>
      </c>
      <c r="J833" t="s">
        <v>77</v>
      </c>
      <c r="K833" t="s">
        <v>78</v>
      </c>
      <c r="L833" t="s">
        <v>112</v>
      </c>
      <c r="M833" t="s">
        <v>113</v>
      </c>
      <c r="N833" t="s">
        <v>1332</v>
      </c>
      <c r="O833" t="s">
        <v>82</v>
      </c>
      <c r="P833" t="str">
        <f>"2170716101                    "</f>
        <v xml:space="preserve">2170716101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10.73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2.2999999999999998</v>
      </c>
      <c r="BJ833">
        <v>1.5</v>
      </c>
      <c r="BK833">
        <v>2.5</v>
      </c>
      <c r="BL833" s="4">
        <v>63.06</v>
      </c>
      <c r="BM833" s="4">
        <v>9.4600000000000009</v>
      </c>
      <c r="BN833" s="4">
        <v>72.52</v>
      </c>
      <c r="BO833" s="4">
        <v>72.52</v>
      </c>
      <c r="BQ833" t="s">
        <v>121</v>
      </c>
      <c r="BR833" t="s">
        <v>84</v>
      </c>
      <c r="BS833" s="3">
        <v>43777</v>
      </c>
      <c r="BT833" s="5">
        <v>0.3347222222222222</v>
      </c>
      <c r="BU833" t="s">
        <v>1333</v>
      </c>
      <c r="BV833" t="s">
        <v>86</v>
      </c>
      <c r="BY833">
        <v>7692.06</v>
      </c>
      <c r="CA833" t="s">
        <v>1334</v>
      </c>
      <c r="CC833" t="s">
        <v>113</v>
      </c>
      <c r="CD833">
        <v>4001</v>
      </c>
      <c r="CE833" t="s">
        <v>88</v>
      </c>
      <c r="CF833" s="3">
        <v>43780</v>
      </c>
      <c r="CI833">
        <v>1</v>
      </c>
      <c r="CJ833">
        <v>1</v>
      </c>
      <c r="CK833">
        <v>21</v>
      </c>
      <c r="CL833" t="s">
        <v>89</v>
      </c>
    </row>
    <row r="834" spans="1:90">
      <c r="A834" t="s">
        <v>72</v>
      </c>
      <c r="B834" t="s">
        <v>73</v>
      </c>
      <c r="C834" t="s">
        <v>74</v>
      </c>
      <c r="E834" t="str">
        <f>"FES1162721988"</f>
        <v>FES1162721988</v>
      </c>
      <c r="F834" s="3">
        <v>43776</v>
      </c>
      <c r="G834">
        <v>202005</v>
      </c>
      <c r="H834" t="s">
        <v>75</v>
      </c>
      <c r="I834" t="s">
        <v>76</v>
      </c>
      <c r="J834" t="s">
        <v>77</v>
      </c>
      <c r="K834" t="s">
        <v>78</v>
      </c>
      <c r="L834" t="s">
        <v>112</v>
      </c>
      <c r="M834" t="s">
        <v>113</v>
      </c>
      <c r="N834" t="s">
        <v>160</v>
      </c>
      <c r="O834" t="s">
        <v>82</v>
      </c>
      <c r="P834" t="str">
        <f>"2170716188                    "</f>
        <v xml:space="preserve">2170716188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17.16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3.6</v>
      </c>
      <c r="BJ834">
        <v>2.5</v>
      </c>
      <c r="BK834">
        <v>4</v>
      </c>
      <c r="BL834" s="4">
        <v>100.87</v>
      </c>
      <c r="BM834" s="4">
        <v>15.13</v>
      </c>
      <c r="BN834" s="4">
        <v>116</v>
      </c>
      <c r="BO834" s="4">
        <v>116</v>
      </c>
      <c r="BQ834" t="s">
        <v>161</v>
      </c>
      <c r="BR834" t="s">
        <v>84</v>
      </c>
      <c r="BS834" s="3">
        <v>43777</v>
      </c>
      <c r="BT834" s="5">
        <v>0.3666666666666667</v>
      </c>
      <c r="BU834" t="s">
        <v>1360</v>
      </c>
      <c r="BV834" t="s">
        <v>86</v>
      </c>
      <c r="BY834">
        <v>12343.14</v>
      </c>
      <c r="CA834" t="s">
        <v>163</v>
      </c>
      <c r="CC834" t="s">
        <v>113</v>
      </c>
      <c r="CD834">
        <v>4000</v>
      </c>
      <c r="CE834" t="s">
        <v>88</v>
      </c>
      <c r="CF834" s="3">
        <v>43780</v>
      </c>
      <c r="CI834">
        <v>1</v>
      </c>
      <c r="CJ834">
        <v>1</v>
      </c>
      <c r="CK834">
        <v>21</v>
      </c>
      <c r="CL834" t="s">
        <v>89</v>
      </c>
    </row>
    <row r="835" spans="1:90">
      <c r="A835" t="s">
        <v>72</v>
      </c>
      <c r="B835" t="s">
        <v>73</v>
      </c>
      <c r="C835" t="s">
        <v>74</v>
      </c>
      <c r="E835" t="str">
        <f>"FES1162721954"</f>
        <v>FES1162721954</v>
      </c>
      <c r="F835" s="3">
        <v>43776</v>
      </c>
      <c r="G835">
        <v>202005</v>
      </c>
      <c r="H835" t="s">
        <v>75</v>
      </c>
      <c r="I835" t="s">
        <v>76</v>
      </c>
      <c r="J835" t="s">
        <v>77</v>
      </c>
      <c r="K835" t="s">
        <v>78</v>
      </c>
      <c r="L835" t="s">
        <v>482</v>
      </c>
      <c r="M835" t="s">
        <v>483</v>
      </c>
      <c r="N835" t="s">
        <v>1164</v>
      </c>
      <c r="O835" t="s">
        <v>82</v>
      </c>
      <c r="P835" t="str">
        <f>"2170714829                    "</f>
        <v xml:space="preserve">2170714829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6.71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2</v>
      </c>
      <c r="BJ835">
        <v>1.3</v>
      </c>
      <c r="BK835">
        <v>2</v>
      </c>
      <c r="BL835" s="4">
        <v>39.42</v>
      </c>
      <c r="BM835" s="4">
        <v>5.91</v>
      </c>
      <c r="BN835" s="4">
        <v>45.33</v>
      </c>
      <c r="BO835" s="4">
        <v>45.33</v>
      </c>
      <c r="BQ835" t="s">
        <v>109</v>
      </c>
      <c r="BR835" t="s">
        <v>84</v>
      </c>
      <c r="BS835" s="3">
        <v>43777</v>
      </c>
      <c r="BT835" s="5">
        <v>0.3756944444444445</v>
      </c>
      <c r="BU835" t="s">
        <v>1361</v>
      </c>
      <c r="BV835" t="s">
        <v>86</v>
      </c>
      <c r="BY835">
        <v>6720</v>
      </c>
      <c r="CA835" t="s">
        <v>1336</v>
      </c>
      <c r="CC835" t="s">
        <v>483</v>
      </c>
      <c r="CD835">
        <v>1459</v>
      </c>
      <c r="CE835" t="s">
        <v>88</v>
      </c>
      <c r="CF835" s="3">
        <v>43780</v>
      </c>
      <c r="CI835">
        <v>1</v>
      </c>
      <c r="CJ835">
        <v>1</v>
      </c>
      <c r="CK835">
        <v>22</v>
      </c>
      <c r="CL835" t="s">
        <v>89</v>
      </c>
    </row>
    <row r="836" spans="1:90">
      <c r="A836" t="s">
        <v>72</v>
      </c>
      <c r="B836" t="s">
        <v>73</v>
      </c>
      <c r="C836" t="s">
        <v>74</v>
      </c>
      <c r="E836" t="str">
        <f>"FES11627251953"</f>
        <v>FES11627251953</v>
      </c>
      <c r="F836" s="3">
        <v>43776</v>
      </c>
      <c r="G836">
        <v>202005</v>
      </c>
      <c r="H836" t="s">
        <v>75</v>
      </c>
      <c r="I836" t="s">
        <v>76</v>
      </c>
      <c r="J836" t="s">
        <v>77</v>
      </c>
      <c r="K836" t="s">
        <v>78</v>
      </c>
      <c r="L836" t="s">
        <v>95</v>
      </c>
      <c r="M836" t="s">
        <v>96</v>
      </c>
      <c r="N836" t="s">
        <v>330</v>
      </c>
      <c r="O836" t="s">
        <v>82</v>
      </c>
      <c r="P836" t="str">
        <f>"2170714505                    "</f>
        <v xml:space="preserve">2170714505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17.149999999999999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8.1</v>
      </c>
      <c r="BJ836">
        <v>2.9</v>
      </c>
      <c r="BK836">
        <v>8.5</v>
      </c>
      <c r="BL836" s="4">
        <v>100.82</v>
      </c>
      <c r="BM836" s="4">
        <v>15.12</v>
      </c>
      <c r="BN836" s="4">
        <v>115.94</v>
      </c>
      <c r="BO836" s="4">
        <v>115.94</v>
      </c>
      <c r="BQ836" t="s">
        <v>109</v>
      </c>
      <c r="BR836" t="s">
        <v>84</v>
      </c>
      <c r="BS836" s="3">
        <v>43777</v>
      </c>
      <c r="BT836" s="5">
        <v>0.35069444444444442</v>
      </c>
      <c r="BU836" t="s">
        <v>1362</v>
      </c>
      <c r="BV836" t="s">
        <v>86</v>
      </c>
      <c r="BY836">
        <v>14742.48</v>
      </c>
      <c r="CC836" t="s">
        <v>96</v>
      </c>
      <c r="CD836">
        <v>1451</v>
      </c>
      <c r="CE836" t="s">
        <v>88</v>
      </c>
      <c r="CI836">
        <v>1</v>
      </c>
      <c r="CJ836">
        <v>1</v>
      </c>
      <c r="CK836">
        <v>22</v>
      </c>
      <c r="CL836" t="s">
        <v>89</v>
      </c>
    </row>
    <row r="837" spans="1:90">
      <c r="A837" t="s">
        <v>72</v>
      </c>
      <c r="B837" t="s">
        <v>73</v>
      </c>
      <c r="C837" t="s">
        <v>74</v>
      </c>
      <c r="E837" t="str">
        <f>"FES1162722005"</f>
        <v>FES1162722005</v>
      </c>
      <c r="F837" s="3">
        <v>43776</v>
      </c>
      <c r="G837">
        <v>202005</v>
      </c>
      <c r="H837" t="s">
        <v>75</v>
      </c>
      <c r="I837" t="s">
        <v>76</v>
      </c>
      <c r="J837" t="s">
        <v>77</v>
      </c>
      <c r="K837" t="s">
        <v>78</v>
      </c>
      <c r="L837" t="s">
        <v>90</v>
      </c>
      <c r="M837" t="s">
        <v>91</v>
      </c>
      <c r="N837" t="s">
        <v>505</v>
      </c>
      <c r="O837" t="s">
        <v>82</v>
      </c>
      <c r="P837" t="str">
        <f>"217076202                     "</f>
        <v xml:space="preserve">217076202 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8.58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 s="4">
        <v>50.45</v>
      </c>
      <c r="BM837" s="4">
        <v>7.57</v>
      </c>
      <c r="BN837" s="4">
        <v>58.02</v>
      </c>
      <c r="BO837" s="4">
        <v>58.02</v>
      </c>
      <c r="BQ837" t="s">
        <v>121</v>
      </c>
      <c r="BR837" t="s">
        <v>84</v>
      </c>
      <c r="BS837" s="3">
        <v>43777</v>
      </c>
      <c r="BT837" s="5">
        <v>0.35972222222222222</v>
      </c>
      <c r="BU837" t="s">
        <v>1363</v>
      </c>
      <c r="BV837" t="s">
        <v>86</v>
      </c>
      <c r="BY837">
        <v>1200</v>
      </c>
      <c r="CA837" t="s">
        <v>1121</v>
      </c>
      <c r="CC837" t="s">
        <v>91</v>
      </c>
      <c r="CD837">
        <v>7764</v>
      </c>
      <c r="CE837" t="s">
        <v>147</v>
      </c>
      <c r="CF837" s="3">
        <v>43780</v>
      </c>
      <c r="CI837">
        <v>1</v>
      </c>
      <c r="CJ837">
        <v>1</v>
      </c>
      <c r="CK837">
        <v>21</v>
      </c>
      <c r="CL837" t="s">
        <v>89</v>
      </c>
    </row>
    <row r="838" spans="1:90">
      <c r="A838" t="s">
        <v>72</v>
      </c>
      <c r="B838" t="s">
        <v>73</v>
      </c>
      <c r="C838" t="s">
        <v>74</v>
      </c>
      <c r="E838" t="str">
        <f>"FES1162721999"</f>
        <v>FES1162721999</v>
      </c>
      <c r="F838" s="3">
        <v>43776</v>
      </c>
      <c r="G838">
        <v>202005</v>
      </c>
      <c r="H838" t="s">
        <v>75</v>
      </c>
      <c r="I838" t="s">
        <v>76</v>
      </c>
      <c r="J838" t="s">
        <v>77</v>
      </c>
      <c r="K838" t="s">
        <v>78</v>
      </c>
      <c r="L838" t="s">
        <v>192</v>
      </c>
      <c r="M838" t="s">
        <v>193</v>
      </c>
      <c r="N838" t="s">
        <v>194</v>
      </c>
      <c r="O838" t="s">
        <v>82</v>
      </c>
      <c r="P838" t="str">
        <f>"2170716197                    "</f>
        <v xml:space="preserve">2170716197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31.65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3.6</v>
      </c>
      <c r="BJ838">
        <v>2.7</v>
      </c>
      <c r="BK838">
        <v>4</v>
      </c>
      <c r="BL838" s="4">
        <v>186.05</v>
      </c>
      <c r="BM838" s="4">
        <v>27.91</v>
      </c>
      <c r="BN838" s="4">
        <v>213.96</v>
      </c>
      <c r="BO838" s="4">
        <v>213.96</v>
      </c>
      <c r="BQ838" t="s">
        <v>109</v>
      </c>
      <c r="BR838" t="s">
        <v>84</v>
      </c>
      <c r="BS838" s="3">
        <v>43777</v>
      </c>
      <c r="BT838" s="5">
        <v>0.48472222222222222</v>
      </c>
      <c r="BU838" t="s">
        <v>195</v>
      </c>
      <c r="BV838" t="s">
        <v>86</v>
      </c>
      <c r="BY838">
        <v>13311.72</v>
      </c>
      <c r="CA838" t="s">
        <v>1364</v>
      </c>
      <c r="CC838" t="s">
        <v>193</v>
      </c>
      <c r="CD838">
        <v>7130</v>
      </c>
      <c r="CE838" t="s">
        <v>88</v>
      </c>
      <c r="CF838" s="3">
        <v>43780</v>
      </c>
      <c r="CI838">
        <v>1</v>
      </c>
      <c r="CJ838">
        <v>1</v>
      </c>
      <c r="CK838">
        <v>23</v>
      </c>
      <c r="CL838" t="s">
        <v>89</v>
      </c>
    </row>
    <row r="839" spans="1:90">
      <c r="A839" t="s">
        <v>72</v>
      </c>
      <c r="B839" t="s">
        <v>73</v>
      </c>
      <c r="C839" t="s">
        <v>74</v>
      </c>
      <c r="E839" t="str">
        <f>"FES1162721985"</f>
        <v>FES1162721985</v>
      </c>
      <c r="F839" s="3">
        <v>43776</v>
      </c>
      <c r="G839">
        <v>202005</v>
      </c>
      <c r="H839" t="s">
        <v>75</v>
      </c>
      <c r="I839" t="s">
        <v>76</v>
      </c>
      <c r="J839" t="s">
        <v>77</v>
      </c>
      <c r="K839" t="s">
        <v>78</v>
      </c>
      <c r="L839" t="s">
        <v>270</v>
      </c>
      <c r="M839" t="s">
        <v>271</v>
      </c>
      <c r="N839" t="s">
        <v>618</v>
      </c>
      <c r="O839" t="s">
        <v>82</v>
      </c>
      <c r="P839" t="str">
        <f>"2170716184                    "</f>
        <v xml:space="preserve">2170716184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8.58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 s="4">
        <v>50.45</v>
      </c>
      <c r="BM839" s="4">
        <v>7.57</v>
      </c>
      <c r="BN839" s="4">
        <v>58.02</v>
      </c>
      <c r="BO839" s="4">
        <v>58.02</v>
      </c>
      <c r="BQ839" t="s">
        <v>121</v>
      </c>
      <c r="BR839" t="s">
        <v>84</v>
      </c>
      <c r="BS839" s="3">
        <v>43777</v>
      </c>
      <c r="BT839" s="5">
        <v>0.33958333333333335</v>
      </c>
      <c r="BU839" t="s">
        <v>619</v>
      </c>
      <c r="BV839" t="s">
        <v>86</v>
      </c>
      <c r="BY839">
        <v>1200</v>
      </c>
      <c r="CA839" t="s">
        <v>773</v>
      </c>
      <c r="CC839" t="s">
        <v>271</v>
      </c>
      <c r="CD839">
        <v>6220</v>
      </c>
      <c r="CE839" t="s">
        <v>147</v>
      </c>
      <c r="CF839" s="3">
        <v>43780</v>
      </c>
      <c r="CI839">
        <v>1</v>
      </c>
      <c r="CJ839">
        <v>1</v>
      </c>
      <c r="CK839">
        <v>21</v>
      </c>
      <c r="CL839" t="s">
        <v>89</v>
      </c>
    </row>
    <row r="840" spans="1:90">
      <c r="A840" t="s">
        <v>72</v>
      </c>
      <c r="B840" t="s">
        <v>73</v>
      </c>
      <c r="C840" t="s">
        <v>74</v>
      </c>
      <c r="E840" t="str">
        <f>"FES1162721986"</f>
        <v>FES1162721986</v>
      </c>
      <c r="F840" s="3">
        <v>43776</v>
      </c>
      <c r="G840">
        <v>202005</v>
      </c>
      <c r="H840" t="s">
        <v>75</v>
      </c>
      <c r="I840" t="s">
        <v>76</v>
      </c>
      <c r="J840" t="s">
        <v>77</v>
      </c>
      <c r="K840" t="s">
        <v>78</v>
      </c>
      <c r="L840" t="s">
        <v>172</v>
      </c>
      <c r="M840" t="s">
        <v>173</v>
      </c>
      <c r="N840" t="s">
        <v>1365</v>
      </c>
      <c r="O840" t="s">
        <v>82</v>
      </c>
      <c r="P840" t="str">
        <f>"2170716185                    "</f>
        <v xml:space="preserve">2170716185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12.07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 s="4">
        <v>70.95</v>
      </c>
      <c r="BM840" s="4">
        <v>10.64</v>
      </c>
      <c r="BN840" s="4">
        <v>81.59</v>
      </c>
      <c r="BO840" s="4">
        <v>81.59</v>
      </c>
      <c r="BQ840" t="s">
        <v>1366</v>
      </c>
      <c r="BR840" t="s">
        <v>84</v>
      </c>
      <c r="BS840" s="3">
        <v>43777</v>
      </c>
      <c r="BT840" s="5">
        <v>0.36041666666666666</v>
      </c>
      <c r="BU840" t="s">
        <v>1367</v>
      </c>
      <c r="BV840" t="s">
        <v>86</v>
      </c>
      <c r="BY840">
        <v>1200</v>
      </c>
      <c r="CC840" t="s">
        <v>173</v>
      </c>
      <c r="CD840">
        <v>1754</v>
      </c>
      <c r="CE840" t="s">
        <v>147</v>
      </c>
      <c r="CF840" s="3">
        <v>43780</v>
      </c>
      <c r="CI840">
        <v>1</v>
      </c>
      <c r="CJ840">
        <v>1</v>
      </c>
      <c r="CK840">
        <v>24</v>
      </c>
      <c r="CL840" t="s">
        <v>89</v>
      </c>
    </row>
    <row r="841" spans="1:90">
      <c r="A841" t="s">
        <v>72</v>
      </c>
      <c r="B841" t="s">
        <v>73</v>
      </c>
      <c r="C841" t="s">
        <v>74</v>
      </c>
      <c r="E841" t="str">
        <f>"FES1162721956"</f>
        <v>FES1162721956</v>
      </c>
      <c r="F841" s="3">
        <v>43776</v>
      </c>
      <c r="G841">
        <v>202005</v>
      </c>
      <c r="H841" t="s">
        <v>75</v>
      </c>
      <c r="I841" t="s">
        <v>76</v>
      </c>
      <c r="J841" t="s">
        <v>77</v>
      </c>
      <c r="K841" t="s">
        <v>78</v>
      </c>
      <c r="L841" t="s">
        <v>482</v>
      </c>
      <c r="M841" t="s">
        <v>483</v>
      </c>
      <c r="N841" t="s">
        <v>1164</v>
      </c>
      <c r="O841" t="s">
        <v>82</v>
      </c>
      <c r="P841" t="str">
        <f>"2170715307                    "</f>
        <v xml:space="preserve">2170715307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11.53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4.7</v>
      </c>
      <c r="BJ841">
        <v>2.9</v>
      </c>
      <c r="BK841">
        <v>5</v>
      </c>
      <c r="BL841" s="4">
        <v>67.760000000000005</v>
      </c>
      <c r="BM841" s="4">
        <v>10.16</v>
      </c>
      <c r="BN841" s="4">
        <v>77.92</v>
      </c>
      <c r="BO841" s="4">
        <v>77.92</v>
      </c>
      <c r="BQ841" t="s">
        <v>109</v>
      </c>
      <c r="BR841" t="s">
        <v>84</v>
      </c>
      <c r="BS841" s="3">
        <v>43777</v>
      </c>
      <c r="BT841" s="5">
        <v>0.3756944444444445</v>
      </c>
      <c r="BU841" t="s">
        <v>1361</v>
      </c>
      <c r="BV841" t="s">
        <v>86</v>
      </c>
      <c r="BY841">
        <v>14481.26</v>
      </c>
      <c r="CA841" t="s">
        <v>1336</v>
      </c>
      <c r="CC841" t="s">
        <v>483</v>
      </c>
      <c r="CD841">
        <v>1459</v>
      </c>
      <c r="CE841" t="s">
        <v>88</v>
      </c>
      <c r="CF841" s="3">
        <v>43780</v>
      </c>
      <c r="CI841">
        <v>1</v>
      </c>
      <c r="CJ841">
        <v>1</v>
      </c>
      <c r="CK841">
        <v>22</v>
      </c>
      <c r="CL841" t="s">
        <v>89</v>
      </c>
    </row>
    <row r="842" spans="1:90">
      <c r="A842" t="s">
        <v>72</v>
      </c>
      <c r="B842" t="s">
        <v>73</v>
      </c>
      <c r="C842" t="s">
        <v>74</v>
      </c>
      <c r="E842" t="str">
        <f>"FES1162721971"</f>
        <v>FES1162721971</v>
      </c>
      <c r="F842" s="3">
        <v>43776</v>
      </c>
      <c r="G842">
        <v>202005</v>
      </c>
      <c r="H842" t="s">
        <v>75</v>
      </c>
      <c r="I842" t="s">
        <v>76</v>
      </c>
      <c r="J842" t="s">
        <v>77</v>
      </c>
      <c r="K842" t="s">
        <v>78</v>
      </c>
      <c r="L842" t="s">
        <v>95</v>
      </c>
      <c r="M842" t="s">
        <v>96</v>
      </c>
      <c r="N842" t="s">
        <v>330</v>
      </c>
      <c r="O842" t="s">
        <v>82</v>
      </c>
      <c r="P842" t="str">
        <f>"2170716167                    "</f>
        <v xml:space="preserve">2170716167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8.31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2.6</v>
      </c>
      <c r="BJ842">
        <v>1.2</v>
      </c>
      <c r="BK842">
        <v>3</v>
      </c>
      <c r="BL842" s="4">
        <v>48.86</v>
      </c>
      <c r="BM842" s="4">
        <v>7.33</v>
      </c>
      <c r="BN842" s="4">
        <v>56.19</v>
      </c>
      <c r="BO842" s="4">
        <v>56.19</v>
      </c>
      <c r="BQ842" t="s">
        <v>109</v>
      </c>
      <c r="BR842" t="s">
        <v>84</v>
      </c>
      <c r="BS842" s="3">
        <v>43777</v>
      </c>
      <c r="BT842" s="5">
        <v>0.35069444444444442</v>
      </c>
      <c r="BU842" t="s">
        <v>1362</v>
      </c>
      <c r="BV842" t="s">
        <v>86</v>
      </c>
      <c r="BY842">
        <v>5785.24</v>
      </c>
      <c r="CC842" t="s">
        <v>96</v>
      </c>
      <c r="CD842">
        <v>1451</v>
      </c>
      <c r="CE842" t="s">
        <v>88</v>
      </c>
      <c r="CF842" s="3">
        <v>43780</v>
      </c>
      <c r="CI842">
        <v>1</v>
      </c>
      <c r="CJ842">
        <v>1</v>
      </c>
      <c r="CK842">
        <v>22</v>
      </c>
      <c r="CL842" t="s">
        <v>89</v>
      </c>
    </row>
    <row r="843" spans="1:90">
      <c r="A843" t="s">
        <v>72</v>
      </c>
      <c r="B843" t="s">
        <v>73</v>
      </c>
      <c r="C843" t="s">
        <v>74</v>
      </c>
      <c r="E843" t="str">
        <f>"FES1162721976"</f>
        <v>FES1162721976</v>
      </c>
      <c r="F843" s="3">
        <v>43776</v>
      </c>
      <c r="G843">
        <v>202005</v>
      </c>
      <c r="H843" t="s">
        <v>75</v>
      </c>
      <c r="I843" t="s">
        <v>76</v>
      </c>
      <c r="J843" t="s">
        <v>77</v>
      </c>
      <c r="K843" t="s">
        <v>78</v>
      </c>
      <c r="L843" t="s">
        <v>202</v>
      </c>
      <c r="M843" t="s">
        <v>203</v>
      </c>
      <c r="N843" t="s">
        <v>1368</v>
      </c>
      <c r="O843" t="s">
        <v>82</v>
      </c>
      <c r="P843" t="str">
        <f>"21707165172                   "</f>
        <v xml:space="preserve">21707165172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6.71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 s="4">
        <v>39.42</v>
      </c>
      <c r="BM843" s="4">
        <v>5.91</v>
      </c>
      <c r="BN843" s="4">
        <v>45.33</v>
      </c>
      <c r="BO843" s="4">
        <v>45.33</v>
      </c>
      <c r="BQ843" t="s">
        <v>1369</v>
      </c>
      <c r="BR843" t="s">
        <v>84</v>
      </c>
      <c r="BS843" s="3">
        <v>43777</v>
      </c>
      <c r="BT843" s="5">
        <v>0.2986111111111111</v>
      </c>
      <c r="BU843" t="s">
        <v>1370</v>
      </c>
      <c r="BV843" t="s">
        <v>86</v>
      </c>
      <c r="BY843">
        <v>1200</v>
      </c>
      <c r="CA843" t="s">
        <v>1181</v>
      </c>
      <c r="CC843" t="s">
        <v>203</v>
      </c>
      <c r="CD843">
        <v>1401</v>
      </c>
      <c r="CE843" t="s">
        <v>147</v>
      </c>
      <c r="CF843" s="3">
        <v>43780</v>
      </c>
      <c r="CI843">
        <v>1</v>
      </c>
      <c r="CJ843">
        <v>1</v>
      </c>
      <c r="CK843">
        <v>22</v>
      </c>
      <c r="CL843" t="s">
        <v>89</v>
      </c>
    </row>
    <row r="844" spans="1:90">
      <c r="A844" t="s">
        <v>72</v>
      </c>
      <c r="B844" t="s">
        <v>73</v>
      </c>
      <c r="C844" t="s">
        <v>74</v>
      </c>
      <c r="E844" t="str">
        <f>"FES1162711473"</f>
        <v>FES1162711473</v>
      </c>
      <c r="F844" s="3">
        <v>43776</v>
      </c>
      <c r="G844">
        <v>202005</v>
      </c>
      <c r="H844" t="s">
        <v>75</v>
      </c>
      <c r="I844" t="s">
        <v>76</v>
      </c>
      <c r="J844" t="s">
        <v>77</v>
      </c>
      <c r="K844" t="s">
        <v>78</v>
      </c>
      <c r="L844" t="s">
        <v>202</v>
      </c>
      <c r="M844" t="s">
        <v>203</v>
      </c>
      <c r="N844" t="s">
        <v>389</v>
      </c>
      <c r="O844" t="s">
        <v>82</v>
      </c>
      <c r="P844" t="str">
        <f>"2170706993                    "</f>
        <v xml:space="preserve">2170706993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12.33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5.2</v>
      </c>
      <c r="BJ844">
        <v>1.6</v>
      </c>
      <c r="BK844">
        <v>5.5</v>
      </c>
      <c r="BL844" s="4">
        <v>72.48</v>
      </c>
      <c r="BM844" s="4">
        <v>10.87</v>
      </c>
      <c r="BN844" s="4">
        <v>83.35</v>
      </c>
      <c r="BO844" s="4">
        <v>83.35</v>
      </c>
      <c r="BQ844" t="s">
        <v>121</v>
      </c>
      <c r="BR844" t="s">
        <v>84</v>
      </c>
      <c r="BS844" s="3">
        <v>43777</v>
      </c>
      <c r="BT844" s="5">
        <v>0.33333333333333331</v>
      </c>
      <c r="BU844" t="s">
        <v>713</v>
      </c>
      <c r="BV844" t="s">
        <v>86</v>
      </c>
      <c r="BY844">
        <v>7947.46</v>
      </c>
      <c r="CC844" t="s">
        <v>203</v>
      </c>
      <c r="CD844">
        <v>1401</v>
      </c>
      <c r="CE844" t="s">
        <v>88</v>
      </c>
      <c r="CF844" s="3">
        <v>43780</v>
      </c>
      <c r="CI844">
        <v>1</v>
      </c>
      <c r="CJ844">
        <v>1</v>
      </c>
      <c r="CK844">
        <v>22</v>
      </c>
      <c r="CL844" t="s">
        <v>89</v>
      </c>
    </row>
    <row r="845" spans="1:90">
      <c r="A845" t="s">
        <v>72</v>
      </c>
      <c r="B845" t="s">
        <v>73</v>
      </c>
      <c r="C845" t="s">
        <v>74</v>
      </c>
      <c r="E845" t="str">
        <f>"FES1162721994"</f>
        <v>FES1162721994</v>
      </c>
      <c r="F845" s="3">
        <v>43776</v>
      </c>
      <c r="G845">
        <v>202005</v>
      </c>
      <c r="H845" t="s">
        <v>75</v>
      </c>
      <c r="I845" t="s">
        <v>76</v>
      </c>
      <c r="J845" t="s">
        <v>77</v>
      </c>
      <c r="K845" t="s">
        <v>78</v>
      </c>
      <c r="L845" t="s">
        <v>106</v>
      </c>
      <c r="M845" t="s">
        <v>107</v>
      </c>
      <c r="N845" t="s">
        <v>128</v>
      </c>
      <c r="O845" t="s">
        <v>82</v>
      </c>
      <c r="P845" t="str">
        <f>"2170715781                    "</f>
        <v xml:space="preserve">2170715781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8.58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 s="4">
        <v>50.45</v>
      </c>
      <c r="BM845" s="4">
        <v>7.57</v>
      </c>
      <c r="BN845" s="4">
        <v>58.02</v>
      </c>
      <c r="BO845" s="4">
        <v>58.02</v>
      </c>
      <c r="BQ845" t="s">
        <v>121</v>
      </c>
      <c r="BR845" t="s">
        <v>84</v>
      </c>
      <c r="BS845" s="3">
        <v>43777</v>
      </c>
      <c r="BT845" s="5">
        <v>0.33333333333333331</v>
      </c>
      <c r="BU845" t="s">
        <v>1371</v>
      </c>
      <c r="BV845" t="s">
        <v>86</v>
      </c>
      <c r="BY845">
        <v>1200</v>
      </c>
      <c r="CA845" t="s">
        <v>87</v>
      </c>
      <c r="CC845" t="s">
        <v>107</v>
      </c>
      <c r="CD845">
        <v>6001</v>
      </c>
      <c r="CE845" t="s">
        <v>147</v>
      </c>
      <c r="CF845" s="3">
        <v>43780</v>
      </c>
      <c r="CI845">
        <v>1</v>
      </c>
      <c r="CJ845">
        <v>1</v>
      </c>
      <c r="CK845">
        <v>21</v>
      </c>
      <c r="CL845" t="s">
        <v>89</v>
      </c>
    </row>
    <row r="846" spans="1:90">
      <c r="A846" t="s">
        <v>72</v>
      </c>
      <c r="B846" t="s">
        <v>73</v>
      </c>
      <c r="C846" t="s">
        <v>74</v>
      </c>
      <c r="E846" t="str">
        <f>"FES1162721991"</f>
        <v>FES1162721991</v>
      </c>
      <c r="F846" s="3">
        <v>43776</v>
      </c>
      <c r="G846">
        <v>202005</v>
      </c>
      <c r="H846" t="s">
        <v>75</v>
      </c>
      <c r="I846" t="s">
        <v>76</v>
      </c>
      <c r="J846" t="s">
        <v>77</v>
      </c>
      <c r="K846" t="s">
        <v>78</v>
      </c>
      <c r="L846" t="s">
        <v>106</v>
      </c>
      <c r="M846" t="s">
        <v>107</v>
      </c>
      <c r="N846" t="s">
        <v>128</v>
      </c>
      <c r="O846" t="s">
        <v>82</v>
      </c>
      <c r="P846" t="str">
        <f>"21707166                      "</f>
        <v xml:space="preserve">21707166  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8.58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 s="4">
        <v>50.45</v>
      </c>
      <c r="BM846" s="4">
        <v>7.57</v>
      </c>
      <c r="BN846" s="4">
        <v>58.02</v>
      </c>
      <c r="BO846" s="4">
        <v>58.02</v>
      </c>
      <c r="BQ846" t="s">
        <v>121</v>
      </c>
      <c r="BR846" t="s">
        <v>84</v>
      </c>
      <c r="BS846" s="3">
        <v>43777</v>
      </c>
      <c r="BT846" s="5">
        <v>0.33333333333333331</v>
      </c>
      <c r="BU846" t="s">
        <v>714</v>
      </c>
      <c r="BV846" t="s">
        <v>86</v>
      </c>
      <c r="BY846">
        <v>1200</v>
      </c>
      <c r="CA846" t="s">
        <v>87</v>
      </c>
      <c r="CC846" t="s">
        <v>107</v>
      </c>
      <c r="CD846">
        <v>6001</v>
      </c>
      <c r="CE846" t="s">
        <v>147</v>
      </c>
      <c r="CF846" s="3">
        <v>43780</v>
      </c>
      <c r="CI846">
        <v>1</v>
      </c>
      <c r="CJ846">
        <v>1</v>
      </c>
      <c r="CK846">
        <v>21</v>
      </c>
      <c r="CL846" t="s">
        <v>89</v>
      </c>
    </row>
    <row r="847" spans="1:90">
      <c r="A847" t="s">
        <v>72</v>
      </c>
      <c r="B847" t="s">
        <v>73</v>
      </c>
      <c r="C847" t="s">
        <v>74</v>
      </c>
      <c r="E847" t="str">
        <f>"FES1162721992"</f>
        <v>FES1162721992</v>
      </c>
      <c r="F847" s="3">
        <v>43776</v>
      </c>
      <c r="G847">
        <v>202005</v>
      </c>
      <c r="H847" t="s">
        <v>75</v>
      </c>
      <c r="I847" t="s">
        <v>76</v>
      </c>
      <c r="J847" t="s">
        <v>77</v>
      </c>
      <c r="K847" t="s">
        <v>78</v>
      </c>
      <c r="L847" t="s">
        <v>106</v>
      </c>
      <c r="M847" t="s">
        <v>107</v>
      </c>
      <c r="N847" t="s">
        <v>128</v>
      </c>
      <c r="O847" t="s">
        <v>82</v>
      </c>
      <c r="P847" t="str">
        <f>"2170716061                    "</f>
        <v xml:space="preserve">2170716061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8.58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 s="4">
        <v>50.45</v>
      </c>
      <c r="BM847" s="4">
        <v>7.57</v>
      </c>
      <c r="BN847" s="4">
        <v>58.02</v>
      </c>
      <c r="BO847" s="4">
        <v>58.02</v>
      </c>
      <c r="BQ847" t="s">
        <v>121</v>
      </c>
      <c r="BR847" t="s">
        <v>84</v>
      </c>
      <c r="BS847" s="3">
        <v>43777</v>
      </c>
      <c r="BT847" s="5">
        <v>0.33333333333333331</v>
      </c>
      <c r="BU847" t="s">
        <v>714</v>
      </c>
      <c r="BV847" t="s">
        <v>86</v>
      </c>
      <c r="BY847">
        <v>1200</v>
      </c>
      <c r="CA847" t="s">
        <v>87</v>
      </c>
      <c r="CC847" t="s">
        <v>107</v>
      </c>
      <c r="CD847">
        <v>6001</v>
      </c>
      <c r="CE847" t="s">
        <v>147</v>
      </c>
      <c r="CF847" s="3">
        <v>43780</v>
      </c>
      <c r="CI847">
        <v>1</v>
      </c>
      <c r="CJ847">
        <v>1</v>
      </c>
      <c r="CK847">
        <v>21</v>
      </c>
      <c r="CL847" t="s">
        <v>89</v>
      </c>
    </row>
    <row r="848" spans="1:90">
      <c r="A848" t="s">
        <v>72</v>
      </c>
      <c r="B848" t="s">
        <v>73</v>
      </c>
      <c r="C848" t="s">
        <v>74</v>
      </c>
      <c r="E848" t="str">
        <f>"FES1162721963"</f>
        <v>FES1162721963</v>
      </c>
      <c r="F848" s="3">
        <v>43776</v>
      </c>
      <c r="G848">
        <v>202005</v>
      </c>
      <c r="H848" t="s">
        <v>75</v>
      </c>
      <c r="I848" t="s">
        <v>76</v>
      </c>
      <c r="J848" t="s">
        <v>77</v>
      </c>
      <c r="K848" t="s">
        <v>78</v>
      </c>
      <c r="L848" t="s">
        <v>202</v>
      </c>
      <c r="M848" t="s">
        <v>203</v>
      </c>
      <c r="N848" t="s">
        <v>1372</v>
      </c>
      <c r="O848" t="s">
        <v>82</v>
      </c>
      <c r="P848" t="str">
        <f>"2170716157                    "</f>
        <v xml:space="preserve">2170716157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6.71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 s="4">
        <v>39.42</v>
      </c>
      <c r="BM848" s="4">
        <v>5.91</v>
      </c>
      <c r="BN848" s="4">
        <v>45.33</v>
      </c>
      <c r="BO848" s="4">
        <v>45.33</v>
      </c>
      <c r="BQ848" t="s">
        <v>1373</v>
      </c>
      <c r="BR848" t="s">
        <v>84</v>
      </c>
      <c r="BS848" s="3">
        <v>43777</v>
      </c>
      <c r="BT848" s="5">
        <v>0.38194444444444442</v>
      </c>
      <c r="BU848" t="s">
        <v>1374</v>
      </c>
      <c r="BV848" t="s">
        <v>86</v>
      </c>
      <c r="BY848">
        <v>1200</v>
      </c>
      <c r="CC848" t="s">
        <v>203</v>
      </c>
      <c r="CD848">
        <v>1422</v>
      </c>
      <c r="CE848" t="s">
        <v>147</v>
      </c>
      <c r="CF848" s="3">
        <v>43780</v>
      </c>
      <c r="CI848">
        <v>1</v>
      </c>
      <c r="CJ848">
        <v>1</v>
      </c>
      <c r="CK848">
        <v>22</v>
      </c>
      <c r="CL848" t="s">
        <v>89</v>
      </c>
    </row>
    <row r="849" spans="1:90">
      <c r="A849" t="s">
        <v>72</v>
      </c>
      <c r="B849" t="s">
        <v>73</v>
      </c>
      <c r="C849" t="s">
        <v>74</v>
      </c>
      <c r="E849" t="str">
        <f>"FES1162721983"</f>
        <v>FES1162721983</v>
      </c>
      <c r="F849" s="3">
        <v>43776</v>
      </c>
      <c r="G849">
        <v>202005</v>
      </c>
      <c r="H849" t="s">
        <v>75</v>
      </c>
      <c r="I849" t="s">
        <v>76</v>
      </c>
      <c r="J849" t="s">
        <v>77</v>
      </c>
      <c r="K849" t="s">
        <v>78</v>
      </c>
      <c r="L849" t="s">
        <v>202</v>
      </c>
      <c r="M849" t="s">
        <v>203</v>
      </c>
      <c r="N849" t="s">
        <v>521</v>
      </c>
      <c r="O849" t="s">
        <v>82</v>
      </c>
      <c r="P849" t="str">
        <f>"21707161814                   "</f>
        <v xml:space="preserve">21707161814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6.71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 s="4">
        <v>39.42</v>
      </c>
      <c r="BM849" s="4">
        <v>5.91</v>
      </c>
      <c r="BN849" s="4">
        <v>45.33</v>
      </c>
      <c r="BO849" s="4">
        <v>45.33</v>
      </c>
      <c r="BQ849" t="s">
        <v>109</v>
      </c>
      <c r="BR849" t="s">
        <v>84</v>
      </c>
      <c r="BS849" s="3">
        <v>43777</v>
      </c>
      <c r="BT849" s="5">
        <v>0.39999999999999997</v>
      </c>
      <c r="BU849" t="s">
        <v>1375</v>
      </c>
      <c r="BV849" t="s">
        <v>86</v>
      </c>
      <c r="BY849">
        <v>1200</v>
      </c>
      <c r="CC849" t="s">
        <v>203</v>
      </c>
      <c r="CD849">
        <v>1428</v>
      </c>
      <c r="CE849" t="s">
        <v>147</v>
      </c>
      <c r="CF849" s="3">
        <v>43780</v>
      </c>
      <c r="CI849">
        <v>1</v>
      </c>
      <c r="CJ849">
        <v>1</v>
      </c>
      <c r="CK849">
        <v>22</v>
      </c>
      <c r="CL849" t="s">
        <v>89</v>
      </c>
    </row>
    <row r="850" spans="1:90">
      <c r="A850" t="s">
        <v>72</v>
      </c>
      <c r="B850" t="s">
        <v>73</v>
      </c>
      <c r="C850" t="s">
        <v>74</v>
      </c>
      <c r="E850" t="str">
        <f>"FES1162721911"</f>
        <v>FES1162721911</v>
      </c>
      <c r="F850" s="3">
        <v>43776</v>
      </c>
      <c r="G850">
        <v>202005</v>
      </c>
      <c r="H850" t="s">
        <v>75</v>
      </c>
      <c r="I850" t="s">
        <v>76</v>
      </c>
      <c r="J850" t="s">
        <v>77</v>
      </c>
      <c r="K850" t="s">
        <v>78</v>
      </c>
      <c r="L850" t="s">
        <v>106</v>
      </c>
      <c r="M850" t="s">
        <v>107</v>
      </c>
      <c r="N850" t="s">
        <v>128</v>
      </c>
      <c r="O850" t="s">
        <v>82</v>
      </c>
      <c r="P850" t="str">
        <f>"2170710209                    "</f>
        <v xml:space="preserve">2170710209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12.87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2.4</v>
      </c>
      <c r="BJ850">
        <v>2.7</v>
      </c>
      <c r="BK850">
        <v>3</v>
      </c>
      <c r="BL850" s="4">
        <v>75.66</v>
      </c>
      <c r="BM850" s="4">
        <v>11.35</v>
      </c>
      <c r="BN850" s="4">
        <v>87.01</v>
      </c>
      <c r="BO850" s="4">
        <v>87.01</v>
      </c>
      <c r="BQ850" t="s">
        <v>121</v>
      </c>
      <c r="BR850" t="s">
        <v>84</v>
      </c>
      <c r="BS850" s="3">
        <v>43777</v>
      </c>
      <c r="BT850" s="5">
        <v>0.33333333333333331</v>
      </c>
      <c r="BU850" t="s">
        <v>714</v>
      </c>
      <c r="BV850" t="s">
        <v>86</v>
      </c>
      <c r="BY850">
        <v>13500.37</v>
      </c>
      <c r="CA850" t="s">
        <v>87</v>
      </c>
      <c r="CC850" t="s">
        <v>107</v>
      </c>
      <c r="CD850">
        <v>6001</v>
      </c>
      <c r="CE850" t="s">
        <v>88</v>
      </c>
      <c r="CF850" s="3">
        <v>43780</v>
      </c>
      <c r="CI850">
        <v>1</v>
      </c>
      <c r="CJ850">
        <v>1</v>
      </c>
      <c r="CK850">
        <v>21</v>
      </c>
      <c r="CL850" t="s">
        <v>89</v>
      </c>
    </row>
    <row r="851" spans="1:90">
      <c r="A851" t="s">
        <v>72</v>
      </c>
      <c r="B851" t="s">
        <v>73</v>
      </c>
      <c r="C851" t="s">
        <v>74</v>
      </c>
      <c r="E851" t="str">
        <f>"FES1162721906"</f>
        <v>FES1162721906</v>
      </c>
      <c r="F851" s="3">
        <v>43776</v>
      </c>
      <c r="G851">
        <v>202005</v>
      </c>
      <c r="H851" t="s">
        <v>75</v>
      </c>
      <c r="I851" t="s">
        <v>76</v>
      </c>
      <c r="J851" t="s">
        <v>77</v>
      </c>
      <c r="K851" t="s">
        <v>78</v>
      </c>
      <c r="L851" t="s">
        <v>106</v>
      </c>
      <c r="M851" t="s">
        <v>107</v>
      </c>
      <c r="N851" t="s">
        <v>421</v>
      </c>
      <c r="O851" t="s">
        <v>82</v>
      </c>
      <c r="P851" t="str">
        <f>"2170716097                    "</f>
        <v xml:space="preserve">2170716097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10.73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2.4</v>
      </c>
      <c r="BJ851">
        <v>1.7</v>
      </c>
      <c r="BK851">
        <v>2.5</v>
      </c>
      <c r="BL851" s="4">
        <v>63.06</v>
      </c>
      <c r="BM851" s="4">
        <v>9.4600000000000009</v>
      </c>
      <c r="BN851" s="4">
        <v>72.52</v>
      </c>
      <c r="BO851" s="4">
        <v>72.52</v>
      </c>
      <c r="BQ851" t="s">
        <v>121</v>
      </c>
      <c r="BR851" t="s">
        <v>84</v>
      </c>
      <c r="BS851" s="3">
        <v>43777</v>
      </c>
      <c r="BT851" s="5">
        <v>0.36041666666666666</v>
      </c>
      <c r="BU851" t="s">
        <v>1376</v>
      </c>
      <c r="BV851" t="s">
        <v>86</v>
      </c>
      <c r="BY851">
        <v>8509</v>
      </c>
      <c r="CA851" t="s">
        <v>111</v>
      </c>
      <c r="CC851" t="s">
        <v>107</v>
      </c>
      <c r="CD851">
        <v>6014</v>
      </c>
      <c r="CE851" t="s">
        <v>88</v>
      </c>
      <c r="CF851" s="3">
        <v>43780</v>
      </c>
      <c r="CI851">
        <v>1</v>
      </c>
      <c r="CJ851">
        <v>1</v>
      </c>
      <c r="CK851">
        <v>21</v>
      </c>
      <c r="CL851" t="s">
        <v>89</v>
      </c>
    </row>
    <row r="852" spans="1:90">
      <c r="A852" t="s">
        <v>72</v>
      </c>
      <c r="B852" t="s">
        <v>73</v>
      </c>
      <c r="C852" t="s">
        <v>74</v>
      </c>
      <c r="E852" t="str">
        <f>"FES1162721886"</f>
        <v>FES1162721886</v>
      </c>
      <c r="F852" s="3">
        <v>43776</v>
      </c>
      <c r="G852">
        <v>202005</v>
      </c>
      <c r="H852" t="s">
        <v>75</v>
      </c>
      <c r="I852" t="s">
        <v>76</v>
      </c>
      <c r="J852" t="s">
        <v>77</v>
      </c>
      <c r="K852" t="s">
        <v>78</v>
      </c>
      <c r="L852" t="s">
        <v>106</v>
      </c>
      <c r="M852" t="s">
        <v>107</v>
      </c>
      <c r="N852" t="s">
        <v>242</v>
      </c>
      <c r="O852" t="s">
        <v>82</v>
      </c>
      <c r="P852" t="str">
        <f>"2170716086                    "</f>
        <v xml:space="preserve">2170716086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23.59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2.8</v>
      </c>
      <c r="BJ852">
        <v>5.0999999999999996</v>
      </c>
      <c r="BK852">
        <v>5.5</v>
      </c>
      <c r="BL852" s="4">
        <v>138.68</v>
      </c>
      <c r="BM852" s="4">
        <v>20.8</v>
      </c>
      <c r="BN852" s="4">
        <v>159.47999999999999</v>
      </c>
      <c r="BO852" s="4">
        <v>159.47999999999999</v>
      </c>
      <c r="BQ852" t="s">
        <v>109</v>
      </c>
      <c r="BR852" t="s">
        <v>84</v>
      </c>
      <c r="BS852" s="3">
        <v>43777</v>
      </c>
      <c r="BT852" s="5">
        <v>0.38541666666666669</v>
      </c>
      <c r="BU852" t="s">
        <v>243</v>
      </c>
      <c r="BV852" t="s">
        <v>86</v>
      </c>
      <c r="BY852">
        <v>25381.72</v>
      </c>
      <c r="CA852" t="s">
        <v>244</v>
      </c>
      <c r="CC852" t="s">
        <v>107</v>
      </c>
      <c r="CD852">
        <v>6001</v>
      </c>
      <c r="CE852" t="s">
        <v>88</v>
      </c>
      <c r="CF852" s="3">
        <v>43780</v>
      </c>
      <c r="CI852">
        <v>1</v>
      </c>
      <c r="CJ852">
        <v>1</v>
      </c>
      <c r="CK852">
        <v>21</v>
      </c>
      <c r="CL852" t="s">
        <v>89</v>
      </c>
    </row>
    <row r="853" spans="1:90">
      <c r="A853" t="s">
        <v>72</v>
      </c>
      <c r="B853" t="s">
        <v>73</v>
      </c>
      <c r="C853" t="s">
        <v>74</v>
      </c>
      <c r="E853" t="str">
        <f>"FES1162721982"</f>
        <v>FES1162721982</v>
      </c>
      <c r="F853" s="3">
        <v>43776</v>
      </c>
      <c r="G853">
        <v>202005</v>
      </c>
      <c r="H853" t="s">
        <v>75</v>
      </c>
      <c r="I853" t="s">
        <v>76</v>
      </c>
      <c r="J853" t="s">
        <v>77</v>
      </c>
      <c r="K853" t="s">
        <v>78</v>
      </c>
      <c r="L853" t="s">
        <v>112</v>
      </c>
      <c r="M853" t="s">
        <v>113</v>
      </c>
      <c r="N853" t="s">
        <v>620</v>
      </c>
      <c r="O853" t="s">
        <v>82</v>
      </c>
      <c r="P853" t="str">
        <f>"2170716180                    "</f>
        <v xml:space="preserve">2170716180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8.58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 s="4">
        <v>50.45</v>
      </c>
      <c r="BM853" s="4">
        <v>7.57</v>
      </c>
      <c r="BN853" s="4">
        <v>58.02</v>
      </c>
      <c r="BO853" s="4">
        <v>58.02</v>
      </c>
      <c r="BQ853" t="s">
        <v>109</v>
      </c>
      <c r="BR853" t="s">
        <v>84</v>
      </c>
      <c r="BS853" s="3">
        <v>43777</v>
      </c>
      <c r="BT853" s="5">
        <v>0.33055555555555555</v>
      </c>
      <c r="BU853" t="s">
        <v>1377</v>
      </c>
      <c r="BV853" t="s">
        <v>86</v>
      </c>
      <c r="BY853">
        <v>1200</v>
      </c>
      <c r="CA853" t="s">
        <v>255</v>
      </c>
      <c r="CC853" t="s">
        <v>113</v>
      </c>
      <c r="CD853">
        <v>4302</v>
      </c>
      <c r="CE853" t="s">
        <v>147</v>
      </c>
      <c r="CF853" s="3">
        <v>43780</v>
      </c>
      <c r="CI853">
        <v>1</v>
      </c>
      <c r="CJ853">
        <v>1</v>
      </c>
      <c r="CK853">
        <v>21</v>
      </c>
      <c r="CL853" t="s">
        <v>89</v>
      </c>
    </row>
    <row r="854" spans="1:90">
      <c r="A854" t="s">
        <v>72</v>
      </c>
      <c r="B854" t="s">
        <v>73</v>
      </c>
      <c r="C854" t="s">
        <v>74</v>
      </c>
      <c r="E854" t="str">
        <f>"FES1162721849"</f>
        <v>FES1162721849</v>
      </c>
      <c r="F854" s="3">
        <v>43776</v>
      </c>
      <c r="G854">
        <v>202005</v>
      </c>
      <c r="H854" t="s">
        <v>75</v>
      </c>
      <c r="I854" t="s">
        <v>76</v>
      </c>
      <c r="J854" t="s">
        <v>77</v>
      </c>
      <c r="K854" t="s">
        <v>78</v>
      </c>
      <c r="L854" t="s">
        <v>79</v>
      </c>
      <c r="M854" t="s">
        <v>80</v>
      </c>
      <c r="N854" t="s">
        <v>458</v>
      </c>
      <c r="O854" t="s">
        <v>82</v>
      </c>
      <c r="P854" t="str">
        <f>"2170716052                    "</f>
        <v xml:space="preserve">2170716052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8.58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 s="4">
        <v>50.45</v>
      </c>
      <c r="BM854" s="4">
        <v>7.57</v>
      </c>
      <c r="BN854" s="4">
        <v>58.02</v>
      </c>
      <c r="BO854" s="4">
        <v>58.02</v>
      </c>
      <c r="BQ854" t="s">
        <v>109</v>
      </c>
      <c r="BR854" t="s">
        <v>84</v>
      </c>
      <c r="BS854" s="3">
        <v>43777</v>
      </c>
      <c r="BT854" s="5">
        <v>0.3263888888888889</v>
      </c>
      <c r="BU854" t="s">
        <v>1318</v>
      </c>
      <c r="BV854" t="s">
        <v>86</v>
      </c>
      <c r="BY854">
        <v>1200</v>
      </c>
      <c r="CA854" t="s">
        <v>87</v>
      </c>
      <c r="CC854" t="s">
        <v>80</v>
      </c>
      <c r="CD854">
        <v>6230</v>
      </c>
      <c r="CE854" t="s">
        <v>147</v>
      </c>
      <c r="CF854" s="3">
        <v>43780</v>
      </c>
      <c r="CI854">
        <v>1</v>
      </c>
      <c r="CJ854">
        <v>1</v>
      </c>
      <c r="CK854">
        <v>21</v>
      </c>
      <c r="CL854" t="s">
        <v>89</v>
      </c>
    </row>
    <row r="855" spans="1:90">
      <c r="A855" t="s">
        <v>72</v>
      </c>
      <c r="B855" t="s">
        <v>73</v>
      </c>
      <c r="C855" t="s">
        <v>74</v>
      </c>
      <c r="E855" t="str">
        <f>"009935712102"</f>
        <v>009935712102</v>
      </c>
      <c r="F855" s="3">
        <v>43776</v>
      </c>
      <c r="G855">
        <v>202005</v>
      </c>
      <c r="H855" t="s">
        <v>75</v>
      </c>
      <c r="I855" t="s">
        <v>76</v>
      </c>
      <c r="J855" t="s">
        <v>77</v>
      </c>
      <c r="K855" t="s">
        <v>78</v>
      </c>
      <c r="L855" t="s">
        <v>482</v>
      </c>
      <c r="M855" t="s">
        <v>483</v>
      </c>
      <c r="N855" t="s">
        <v>1344</v>
      </c>
      <c r="O855" t="s">
        <v>82</v>
      </c>
      <c r="P855" t="str">
        <f>"1162716448                    "</f>
        <v xml:space="preserve">1162716448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6.71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 s="4">
        <v>39.42</v>
      </c>
      <c r="BM855" s="4">
        <v>5.91</v>
      </c>
      <c r="BN855" s="4">
        <v>45.33</v>
      </c>
      <c r="BO855" s="4">
        <v>45.33</v>
      </c>
      <c r="BP855" t="s">
        <v>219</v>
      </c>
      <c r="BR855" t="s">
        <v>84</v>
      </c>
      <c r="BS855" s="3">
        <v>43777</v>
      </c>
      <c r="BT855" s="5">
        <v>0.31805555555555554</v>
      </c>
      <c r="BU855" t="s">
        <v>1378</v>
      </c>
      <c r="BV855" t="s">
        <v>86</v>
      </c>
      <c r="BY855">
        <v>1200</v>
      </c>
      <c r="CA855" t="s">
        <v>1379</v>
      </c>
      <c r="CC855" t="s">
        <v>483</v>
      </c>
      <c r="CD855">
        <v>1459</v>
      </c>
      <c r="CE855" t="s">
        <v>147</v>
      </c>
      <c r="CI855">
        <v>1</v>
      </c>
      <c r="CJ855">
        <v>1</v>
      </c>
      <c r="CK855">
        <v>22</v>
      </c>
      <c r="CL855" t="s">
        <v>89</v>
      </c>
    </row>
    <row r="856" spans="1:90">
      <c r="A856" t="s">
        <v>72</v>
      </c>
      <c r="B856" t="s">
        <v>73</v>
      </c>
      <c r="C856" t="s">
        <v>74</v>
      </c>
      <c r="E856" t="str">
        <f>"FES1162721821"</f>
        <v>FES1162721821</v>
      </c>
      <c r="F856" s="3">
        <v>43776</v>
      </c>
      <c r="G856">
        <v>202005</v>
      </c>
      <c r="H856" t="s">
        <v>75</v>
      </c>
      <c r="I856" t="s">
        <v>76</v>
      </c>
      <c r="J856" t="s">
        <v>77</v>
      </c>
      <c r="K856" t="s">
        <v>78</v>
      </c>
      <c r="L856" t="s">
        <v>270</v>
      </c>
      <c r="M856" t="s">
        <v>271</v>
      </c>
      <c r="N856" t="s">
        <v>618</v>
      </c>
      <c r="O856" t="s">
        <v>82</v>
      </c>
      <c r="P856" t="str">
        <f>"2170713906                    "</f>
        <v xml:space="preserve">2170713906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8.58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1.6</v>
      </c>
      <c r="BJ856">
        <v>1.5</v>
      </c>
      <c r="BK856">
        <v>2</v>
      </c>
      <c r="BL856" s="4">
        <v>50.45</v>
      </c>
      <c r="BM856" s="4">
        <v>7.57</v>
      </c>
      <c r="BN856" s="4">
        <v>58.02</v>
      </c>
      <c r="BO856" s="4">
        <v>58.02</v>
      </c>
      <c r="BQ856" t="s">
        <v>121</v>
      </c>
      <c r="BR856" t="s">
        <v>84</v>
      </c>
      <c r="BS856" s="3">
        <v>43777</v>
      </c>
      <c r="BT856" s="5">
        <v>0.33958333333333335</v>
      </c>
      <c r="BU856" t="s">
        <v>619</v>
      </c>
      <c r="BV856" t="s">
        <v>86</v>
      </c>
      <c r="BY856">
        <v>7413.95</v>
      </c>
      <c r="CA856" t="s">
        <v>773</v>
      </c>
      <c r="CC856" t="s">
        <v>271</v>
      </c>
      <c r="CD856">
        <v>6220</v>
      </c>
      <c r="CE856" t="s">
        <v>88</v>
      </c>
      <c r="CF856" s="3">
        <v>43780</v>
      </c>
      <c r="CI856">
        <v>1</v>
      </c>
      <c r="CJ856">
        <v>1</v>
      </c>
      <c r="CK856">
        <v>21</v>
      </c>
      <c r="CL856" t="s">
        <v>89</v>
      </c>
    </row>
    <row r="857" spans="1:90">
      <c r="A857" t="s">
        <v>72</v>
      </c>
      <c r="B857" t="s">
        <v>73</v>
      </c>
      <c r="C857" t="s">
        <v>74</v>
      </c>
      <c r="E857" t="str">
        <f>"FES1162721835"</f>
        <v>FES1162721835</v>
      </c>
      <c r="F857" s="3">
        <v>43776</v>
      </c>
      <c r="G857">
        <v>202005</v>
      </c>
      <c r="H857" t="s">
        <v>75</v>
      </c>
      <c r="I857" t="s">
        <v>76</v>
      </c>
      <c r="J857" t="s">
        <v>77</v>
      </c>
      <c r="K857" t="s">
        <v>78</v>
      </c>
      <c r="L857" t="s">
        <v>106</v>
      </c>
      <c r="M857" t="s">
        <v>107</v>
      </c>
      <c r="N857" t="s">
        <v>489</v>
      </c>
      <c r="O857" t="s">
        <v>82</v>
      </c>
      <c r="P857" t="str">
        <f>"2170716033                    "</f>
        <v xml:space="preserve">2170716033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8.58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1.5</v>
      </c>
      <c r="BJ857">
        <v>1.5</v>
      </c>
      <c r="BK857">
        <v>1.5</v>
      </c>
      <c r="BL857" s="4">
        <v>50.45</v>
      </c>
      <c r="BM857" s="4">
        <v>7.57</v>
      </c>
      <c r="BN857" s="4">
        <v>58.02</v>
      </c>
      <c r="BO857" s="4">
        <v>58.02</v>
      </c>
      <c r="BQ857" t="s">
        <v>121</v>
      </c>
      <c r="BR857" t="s">
        <v>84</v>
      </c>
      <c r="BS857" s="3">
        <v>43777</v>
      </c>
      <c r="BT857" s="5">
        <v>0.39374999999999999</v>
      </c>
      <c r="BU857" t="s">
        <v>564</v>
      </c>
      <c r="BV857" t="s">
        <v>86</v>
      </c>
      <c r="BY857">
        <v>7264.08</v>
      </c>
      <c r="CA857" t="s">
        <v>773</v>
      </c>
      <c r="CC857" t="s">
        <v>107</v>
      </c>
      <c r="CD857">
        <v>6001</v>
      </c>
      <c r="CE857" t="s">
        <v>88</v>
      </c>
      <c r="CF857" s="3">
        <v>43780</v>
      </c>
      <c r="CI857">
        <v>1</v>
      </c>
      <c r="CJ857">
        <v>1</v>
      </c>
      <c r="CK857">
        <v>21</v>
      </c>
      <c r="CL857" t="s">
        <v>89</v>
      </c>
    </row>
    <row r="858" spans="1:90">
      <c r="A858" t="s">
        <v>72</v>
      </c>
      <c r="B858" t="s">
        <v>73</v>
      </c>
      <c r="C858" t="s">
        <v>74</v>
      </c>
      <c r="E858" t="str">
        <f>"FES1162721912"</f>
        <v>FES1162721912</v>
      </c>
      <c r="F858" s="3">
        <v>43776</v>
      </c>
      <c r="G858">
        <v>202005</v>
      </c>
      <c r="H858" t="s">
        <v>75</v>
      </c>
      <c r="I858" t="s">
        <v>76</v>
      </c>
      <c r="J858" t="s">
        <v>77</v>
      </c>
      <c r="K858" t="s">
        <v>78</v>
      </c>
      <c r="L858" t="s">
        <v>90</v>
      </c>
      <c r="M858" t="s">
        <v>91</v>
      </c>
      <c r="N858" t="s">
        <v>505</v>
      </c>
      <c r="O858" t="s">
        <v>82</v>
      </c>
      <c r="P858" t="str">
        <f>"2170711050                    "</f>
        <v xml:space="preserve">2170711050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8.58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 s="4">
        <v>50.45</v>
      </c>
      <c r="BM858" s="4">
        <v>7.57</v>
      </c>
      <c r="BN858" s="4">
        <v>58.02</v>
      </c>
      <c r="BO858" s="4">
        <v>58.02</v>
      </c>
      <c r="BQ858" t="s">
        <v>121</v>
      </c>
      <c r="BR858" t="s">
        <v>84</v>
      </c>
      <c r="BS858" s="3">
        <v>43777</v>
      </c>
      <c r="BT858" s="5">
        <v>0.35972222222222222</v>
      </c>
      <c r="BU858" t="s">
        <v>1363</v>
      </c>
      <c r="BV858" t="s">
        <v>86</v>
      </c>
      <c r="BY858">
        <v>1200</v>
      </c>
      <c r="CA858" t="s">
        <v>1121</v>
      </c>
      <c r="CC858" t="s">
        <v>91</v>
      </c>
      <c r="CD858">
        <v>7764</v>
      </c>
      <c r="CE858" t="s">
        <v>147</v>
      </c>
      <c r="CF858" s="3">
        <v>43780</v>
      </c>
      <c r="CI858">
        <v>1</v>
      </c>
      <c r="CJ858">
        <v>1</v>
      </c>
      <c r="CK858">
        <v>21</v>
      </c>
      <c r="CL858" t="s">
        <v>89</v>
      </c>
    </row>
    <row r="859" spans="1:90">
      <c r="A859" t="s">
        <v>72</v>
      </c>
      <c r="B859" t="s">
        <v>73</v>
      </c>
      <c r="C859" t="s">
        <v>74</v>
      </c>
      <c r="E859" t="str">
        <f>"FES1162721972"</f>
        <v>FES1162721972</v>
      </c>
      <c r="F859" s="3">
        <v>43776</v>
      </c>
      <c r="G859">
        <v>202005</v>
      </c>
      <c r="H859" t="s">
        <v>75</v>
      </c>
      <c r="I859" t="s">
        <v>76</v>
      </c>
      <c r="J859" t="s">
        <v>77</v>
      </c>
      <c r="K859" t="s">
        <v>78</v>
      </c>
      <c r="L859" t="s">
        <v>825</v>
      </c>
      <c r="M859" t="s">
        <v>826</v>
      </c>
      <c r="N859" t="s">
        <v>939</v>
      </c>
      <c r="O859" t="s">
        <v>82</v>
      </c>
      <c r="P859" t="str">
        <f>"2170716168                    "</f>
        <v xml:space="preserve">2170716168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12.07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 s="4">
        <v>70.95</v>
      </c>
      <c r="BM859" s="4">
        <v>10.64</v>
      </c>
      <c r="BN859" s="4">
        <v>81.59</v>
      </c>
      <c r="BO859" s="4">
        <v>81.59</v>
      </c>
      <c r="BQ859" t="s">
        <v>109</v>
      </c>
      <c r="BR859" t="s">
        <v>84</v>
      </c>
      <c r="BS859" s="3">
        <v>43777</v>
      </c>
      <c r="BT859" s="5">
        <v>0.3263888888888889</v>
      </c>
      <c r="BU859" t="s">
        <v>1039</v>
      </c>
      <c r="BV859" t="s">
        <v>86</v>
      </c>
      <c r="BY859">
        <v>1200</v>
      </c>
      <c r="CA859" t="s">
        <v>123</v>
      </c>
      <c r="CC859" t="s">
        <v>826</v>
      </c>
      <c r="CD859">
        <v>1759</v>
      </c>
      <c r="CE859" t="s">
        <v>147</v>
      </c>
      <c r="CF859" s="3">
        <v>43780</v>
      </c>
      <c r="CI859">
        <v>1</v>
      </c>
      <c r="CJ859">
        <v>1</v>
      </c>
      <c r="CK859">
        <v>24</v>
      </c>
      <c r="CL859" t="s">
        <v>89</v>
      </c>
    </row>
    <row r="860" spans="1:90">
      <c r="A860" t="s">
        <v>72</v>
      </c>
      <c r="B860" t="s">
        <v>73</v>
      </c>
      <c r="C860" t="s">
        <v>74</v>
      </c>
      <c r="E860" t="str">
        <f>"FES1162721822"</f>
        <v>FES1162721822</v>
      </c>
      <c r="F860" s="3">
        <v>43776</v>
      </c>
      <c r="G860">
        <v>202005</v>
      </c>
      <c r="H860" t="s">
        <v>75</v>
      </c>
      <c r="I860" t="s">
        <v>76</v>
      </c>
      <c r="J860" t="s">
        <v>77</v>
      </c>
      <c r="K860" t="s">
        <v>78</v>
      </c>
      <c r="L860" t="s">
        <v>270</v>
      </c>
      <c r="M860" t="s">
        <v>271</v>
      </c>
      <c r="N860" t="s">
        <v>618</v>
      </c>
      <c r="O860" t="s">
        <v>82</v>
      </c>
      <c r="P860" t="str">
        <f>"2170713909                    "</f>
        <v xml:space="preserve">2170713909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8.58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 s="4">
        <v>50.45</v>
      </c>
      <c r="BM860" s="4">
        <v>7.57</v>
      </c>
      <c r="BN860" s="4">
        <v>58.02</v>
      </c>
      <c r="BO860" s="4">
        <v>58.02</v>
      </c>
      <c r="BQ860" t="s">
        <v>121</v>
      </c>
      <c r="BR860" t="s">
        <v>84</v>
      </c>
      <c r="BS860" s="3">
        <v>43777</v>
      </c>
      <c r="BT860" s="5">
        <v>0.33958333333333335</v>
      </c>
      <c r="BU860" t="s">
        <v>619</v>
      </c>
      <c r="BV860" t="s">
        <v>86</v>
      </c>
      <c r="BY860">
        <v>1200</v>
      </c>
      <c r="CA860" t="s">
        <v>773</v>
      </c>
      <c r="CC860" t="s">
        <v>271</v>
      </c>
      <c r="CD860">
        <v>6220</v>
      </c>
      <c r="CE860" t="s">
        <v>147</v>
      </c>
      <c r="CF860" s="3">
        <v>43780</v>
      </c>
      <c r="CI860">
        <v>1</v>
      </c>
      <c r="CJ860">
        <v>1</v>
      </c>
      <c r="CK860">
        <v>21</v>
      </c>
      <c r="CL860" t="s">
        <v>89</v>
      </c>
    </row>
    <row r="861" spans="1:90">
      <c r="A861" t="s">
        <v>72</v>
      </c>
      <c r="B861" t="s">
        <v>73</v>
      </c>
      <c r="C861" t="s">
        <v>74</v>
      </c>
      <c r="E861" t="str">
        <f>"FES1162721891"</f>
        <v>FES1162721891</v>
      </c>
      <c r="F861" s="3">
        <v>43776</v>
      </c>
      <c r="G861">
        <v>202005</v>
      </c>
      <c r="H861" t="s">
        <v>75</v>
      </c>
      <c r="I861" t="s">
        <v>76</v>
      </c>
      <c r="J861" t="s">
        <v>77</v>
      </c>
      <c r="K861" t="s">
        <v>78</v>
      </c>
      <c r="L861" t="s">
        <v>112</v>
      </c>
      <c r="M861" t="s">
        <v>113</v>
      </c>
      <c r="N861" t="s">
        <v>1380</v>
      </c>
      <c r="O861" t="s">
        <v>82</v>
      </c>
      <c r="P861" t="str">
        <f>"2170712931                    "</f>
        <v xml:space="preserve">2170712931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8.58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 s="4">
        <v>50.45</v>
      </c>
      <c r="BM861" s="4">
        <v>7.57</v>
      </c>
      <c r="BN861" s="4">
        <v>58.02</v>
      </c>
      <c r="BO861" s="4">
        <v>58.02</v>
      </c>
      <c r="BQ861" t="s">
        <v>121</v>
      </c>
      <c r="BR861" t="s">
        <v>84</v>
      </c>
      <c r="BS861" s="3">
        <v>43780</v>
      </c>
      <c r="BT861" s="5">
        <v>0.50694444444444442</v>
      </c>
      <c r="BU861" t="s">
        <v>1381</v>
      </c>
      <c r="BV861" t="s">
        <v>89</v>
      </c>
      <c r="BW861" t="s">
        <v>144</v>
      </c>
      <c r="BX861" t="s">
        <v>145</v>
      </c>
      <c r="BY861">
        <v>1200</v>
      </c>
      <c r="CA861" t="s">
        <v>1046</v>
      </c>
      <c r="CC861" t="s">
        <v>113</v>
      </c>
      <c r="CD861">
        <v>4051</v>
      </c>
      <c r="CE861" t="s">
        <v>147</v>
      </c>
      <c r="CF861" s="3">
        <v>43781</v>
      </c>
      <c r="CI861">
        <v>1</v>
      </c>
      <c r="CJ861">
        <v>2</v>
      </c>
      <c r="CK861">
        <v>21</v>
      </c>
      <c r="CL861" t="s">
        <v>89</v>
      </c>
    </row>
    <row r="862" spans="1:90">
      <c r="A862" t="s">
        <v>72</v>
      </c>
      <c r="B862" t="s">
        <v>73</v>
      </c>
      <c r="C862" t="s">
        <v>74</v>
      </c>
      <c r="E862" t="str">
        <f>"FES1162721885"</f>
        <v>FES1162721885</v>
      </c>
      <c r="F862" s="3">
        <v>43776</v>
      </c>
      <c r="G862">
        <v>202005</v>
      </c>
      <c r="H862" t="s">
        <v>75</v>
      </c>
      <c r="I862" t="s">
        <v>76</v>
      </c>
      <c r="J862" t="s">
        <v>77</v>
      </c>
      <c r="K862" t="s">
        <v>78</v>
      </c>
      <c r="L862" t="s">
        <v>106</v>
      </c>
      <c r="M862" t="s">
        <v>107</v>
      </c>
      <c r="N862" t="s">
        <v>771</v>
      </c>
      <c r="O862" t="s">
        <v>82</v>
      </c>
      <c r="P862" t="str">
        <f>"2170716085                    "</f>
        <v xml:space="preserve">2170716085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8.58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 s="4">
        <v>50.45</v>
      </c>
      <c r="BM862" s="4">
        <v>7.57</v>
      </c>
      <c r="BN862" s="4">
        <v>58.02</v>
      </c>
      <c r="BO862" s="4">
        <v>58.02</v>
      </c>
      <c r="BQ862" t="s">
        <v>109</v>
      </c>
      <c r="BR862" t="s">
        <v>84</v>
      </c>
      <c r="BS862" s="3">
        <v>43777</v>
      </c>
      <c r="BT862" s="5">
        <v>0.40277777777777773</v>
      </c>
      <c r="BU862" t="s">
        <v>619</v>
      </c>
      <c r="BV862" t="s">
        <v>86</v>
      </c>
      <c r="BY862">
        <v>1200</v>
      </c>
      <c r="CA862" t="s">
        <v>773</v>
      </c>
      <c r="CC862" t="s">
        <v>107</v>
      </c>
      <c r="CD862">
        <v>6012</v>
      </c>
      <c r="CE862" t="s">
        <v>147</v>
      </c>
      <c r="CF862" s="3">
        <v>43780</v>
      </c>
      <c r="CI862">
        <v>1</v>
      </c>
      <c r="CJ862">
        <v>1</v>
      </c>
      <c r="CK862">
        <v>21</v>
      </c>
      <c r="CL862" t="s">
        <v>89</v>
      </c>
    </row>
    <row r="863" spans="1:90">
      <c r="A863" t="s">
        <v>72</v>
      </c>
      <c r="B863" t="s">
        <v>73</v>
      </c>
      <c r="C863" t="s">
        <v>74</v>
      </c>
      <c r="E863" t="str">
        <f>"FES1162721935"</f>
        <v>FES1162721935</v>
      </c>
      <c r="F863" s="3">
        <v>43776</v>
      </c>
      <c r="G863">
        <v>202005</v>
      </c>
      <c r="H863" t="s">
        <v>75</v>
      </c>
      <c r="I863" t="s">
        <v>76</v>
      </c>
      <c r="J863" t="s">
        <v>77</v>
      </c>
      <c r="K863" t="s">
        <v>78</v>
      </c>
      <c r="L863" t="s">
        <v>112</v>
      </c>
      <c r="M863" t="s">
        <v>113</v>
      </c>
      <c r="N863" t="s">
        <v>1382</v>
      </c>
      <c r="O863" t="s">
        <v>82</v>
      </c>
      <c r="P863" t="str">
        <f>"2170716131                    "</f>
        <v xml:space="preserve">2170716131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8.58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 s="4">
        <v>50.45</v>
      </c>
      <c r="BM863" s="4">
        <v>7.57</v>
      </c>
      <c r="BN863" s="4">
        <v>58.02</v>
      </c>
      <c r="BO863" s="4">
        <v>58.02</v>
      </c>
      <c r="BQ863" t="s">
        <v>121</v>
      </c>
      <c r="BR863" t="s">
        <v>84</v>
      </c>
      <c r="BS863" s="3">
        <v>43777</v>
      </c>
      <c r="BT863" s="5">
        <v>0.4069444444444445</v>
      </c>
      <c r="BU863" t="s">
        <v>1383</v>
      </c>
      <c r="BV863" t="s">
        <v>86</v>
      </c>
      <c r="BY863">
        <v>1200</v>
      </c>
      <c r="CA863" t="s">
        <v>117</v>
      </c>
      <c r="CC863" t="s">
        <v>113</v>
      </c>
      <c r="CD863">
        <v>4001</v>
      </c>
      <c r="CE863" t="s">
        <v>147</v>
      </c>
      <c r="CF863" s="3">
        <v>43780</v>
      </c>
      <c r="CI863">
        <v>1</v>
      </c>
      <c r="CJ863">
        <v>1</v>
      </c>
      <c r="CK863">
        <v>21</v>
      </c>
      <c r="CL863" t="s">
        <v>89</v>
      </c>
    </row>
    <row r="864" spans="1:90">
      <c r="A864" t="s">
        <v>72</v>
      </c>
      <c r="B864" t="s">
        <v>73</v>
      </c>
      <c r="C864" t="s">
        <v>74</v>
      </c>
      <c r="E864" t="str">
        <f>"FES1162721997"</f>
        <v>FES1162721997</v>
      </c>
      <c r="F864" s="3">
        <v>43776</v>
      </c>
      <c r="G864">
        <v>202005</v>
      </c>
      <c r="H864" t="s">
        <v>75</v>
      </c>
      <c r="I864" t="s">
        <v>76</v>
      </c>
      <c r="J864" t="s">
        <v>77</v>
      </c>
      <c r="K864" t="s">
        <v>78</v>
      </c>
      <c r="L864" t="s">
        <v>90</v>
      </c>
      <c r="M864" t="s">
        <v>91</v>
      </c>
      <c r="N864" t="s">
        <v>715</v>
      </c>
      <c r="O864" t="s">
        <v>82</v>
      </c>
      <c r="P864" t="str">
        <f>"2170716193                    "</f>
        <v xml:space="preserve">2170716193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8.58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 s="4">
        <v>50.45</v>
      </c>
      <c r="BM864" s="4">
        <v>7.57</v>
      </c>
      <c r="BN864" s="4">
        <v>58.02</v>
      </c>
      <c r="BO864" s="4">
        <v>58.02</v>
      </c>
      <c r="BQ864" t="s">
        <v>109</v>
      </c>
      <c r="BR864" t="s">
        <v>84</v>
      </c>
      <c r="BS864" s="3">
        <v>43777</v>
      </c>
      <c r="BT864" s="5">
        <v>0.375</v>
      </c>
      <c r="BU864" t="s">
        <v>716</v>
      </c>
      <c r="BV864" t="s">
        <v>86</v>
      </c>
      <c r="BY864">
        <v>1200</v>
      </c>
      <c r="CA864" t="s">
        <v>717</v>
      </c>
      <c r="CC864" t="s">
        <v>91</v>
      </c>
      <c r="CD864">
        <v>7925</v>
      </c>
      <c r="CE864" t="s">
        <v>147</v>
      </c>
      <c r="CF864" s="3">
        <v>43780</v>
      </c>
      <c r="CI864">
        <v>1</v>
      </c>
      <c r="CJ864">
        <v>1</v>
      </c>
      <c r="CK864">
        <v>21</v>
      </c>
      <c r="CL864" t="s">
        <v>89</v>
      </c>
    </row>
    <row r="865" spans="1:90">
      <c r="A865" t="s">
        <v>72</v>
      </c>
      <c r="B865" t="s">
        <v>73</v>
      </c>
      <c r="C865" t="s">
        <v>74</v>
      </c>
      <c r="E865" t="str">
        <f>"FES1162721962"</f>
        <v>FES1162721962</v>
      </c>
      <c r="F865" s="3">
        <v>43776</v>
      </c>
      <c r="G865">
        <v>202005</v>
      </c>
      <c r="H865" t="s">
        <v>75</v>
      </c>
      <c r="I865" t="s">
        <v>76</v>
      </c>
      <c r="J865" t="s">
        <v>77</v>
      </c>
      <c r="K865" t="s">
        <v>78</v>
      </c>
      <c r="L865" t="s">
        <v>1204</v>
      </c>
      <c r="M865" t="s">
        <v>1205</v>
      </c>
      <c r="N865" t="s">
        <v>1206</v>
      </c>
      <c r="O865" t="s">
        <v>82</v>
      </c>
      <c r="P865" t="str">
        <f>"2170716154                    "</f>
        <v xml:space="preserve">2170716154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8.58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 s="4">
        <v>50.45</v>
      </c>
      <c r="BM865" s="4">
        <v>7.57</v>
      </c>
      <c r="BN865" s="4">
        <v>58.02</v>
      </c>
      <c r="BO865" s="4">
        <v>58.02</v>
      </c>
      <c r="BQ865" t="s">
        <v>109</v>
      </c>
      <c r="BR865" t="s">
        <v>84</v>
      </c>
      <c r="BS865" s="3">
        <v>43777</v>
      </c>
      <c r="BT865" s="5">
        <v>0.59444444444444444</v>
      </c>
      <c r="BU865" t="s">
        <v>1384</v>
      </c>
      <c r="BV865" t="s">
        <v>86</v>
      </c>
      <c r="BY865">
        <v>1200</v>
      </c>
      <c r="CA865" t="s">
        <v>435</v>
      </c>
      <c r="CC865" t="s">
        <v>1205</v>
      </c>
      <c r="CD865">
        <v>3760</v>
      </c>
      <c r="CE865" t="s">
        <v>147</v>
      </c>
      <c r="CF865" s="3">
        <v>43780</v>
      </c>
      <c r="CI865">
        <v>4</v>
      </c>
      <c r="CJ865">
        <v>1</v>
      </c>
      <c r="CK865">
        <v>21</v>
      </c>
      <c r="CL865" t="s">
        <v>89</v>
      </c>
    </row>
    <row r="866" spans="1:90">
      <c r="A866" t="s">
        <v>72</v>
      </c>
      <c r="B866" t="s">
        <v>73</v>
      </c>
      <c r="C866" t="s">
        <v>74</v>
      </c>
      <c r="E866" t="str">
        <f>"FES1162721898"</f>
        <v>FES1162721898</v>
      </c>
      <c r="F866" s="3">
        <v>43776</v>
      </c>
      <c r="G866">
        <v>202005</v>
      </c>
      <c r="H866" t="s">
        <v>75</v>
      </c>
      <c r="I866" t="s">
        <v>76</v>
      </c>
      <c r="J866" t="s">
        <v>77</v>
      </c>
      <c r="K866" t="s">
        <v>78</v>
      </c>
      <c r="L866" t="s">
        <v>112</v>
      </c>
      <c r="M866" t="s">
        <v>113</v>
      </c>
      <c r="N866" t="s">
        <v>423</v>
      </c>
      <c r="O866" t="s">
        <v>82</v>
      </c>
      <c r="P866" t="str">
        <f>"2170716091                    "</f>
        <v xml:space="preserve">2170716091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8.58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 s="4">
        <v>50.45</v>
      </c>
      <c r="BM866" s="4">
        <v>7.57</v>
      </c>
      <c r="BN866" s="4">
        <v>58.02</v>
      </c>
      <c r="BO866" s="4">
        <v>58.02</v>
      </c>
      <c r="BQ866" t="s">
        <v>424</v>
      </c>
      <c r="BR866" t="s">
        <v>84</v>
      </c>
      <c r="BS866" s="3">
        <v>43777</v>
      </c>
      <c r="BT866" s="5">
        <v>0.31527777777777777</v>
      </c>
      <c r="BU866" t="s">
        <v>1018</v>
      </c>
      <c r="BV866" t="s">
        <v>86</v>
      </c>
      <c r="BY866">
        <v>1200</v>
      </c>
      <c r="CA866" t="s">
        <v>426</v>
      </c>
      <c r="CC866" t="s">
        <v>113</v>
      </c>
      <c r="CD866">
        <v>4001</v>
      </c>
      <c r="CE866" t="s">
        <v>147</v>
      </c>
      <c r="CF866" s="3">
        <v>43780</v>
      </c>
      <c r="CI866">
        <v>1</v>
      </c>
      <c r="CJ866">
        <v>1</v>
      </c>
      <c r="CK866">
        <v>21</v>
      </c>
      <c r="CL866" t="s">
        <v>89</v>
      </c>
    </row>
    <row r="867" spans="1:90">
      <c r="A867" t="s">
        <v>72</v>
      </c>
      <c r="B867" t="s">
        <v>73</v>
      </c>
      <c r="C867" t="s">
        <v>74</v>
      </c>
      <c r="E867" t="str">
        <f>"FES1162721964"</f>
        <v>FES1162721964</v>
      </c>
      <c r="F867" s="3">
        <v>43776</v>
      </c>
      <c r="G867">
        <v>202005</v>
      </c>
      <c r="H867" t="s">
        <v>75</v>
      </c>
      <c r="I867" t="s">
        <v>76</v>
      </c>
      <c r="J867" t="s">
        <v>77</v>
      </c>
      <c r="K867" t="s">
        <v>78</v>
      </c>
      <c r="L867" t="s">
        <v>112</v>
      </c>
      <c r="M867" t="s">
        <v>113</v>
      </c>
      <c r="N867" t="s">
        <v>160</v>
      </c>
      <c r="O867" t="s">
        <v>82</v>
      </c>
      <c r="P867" t="str">
        <f>"2170716158                    "</f>
        <v xml:space="preserve">2170716158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8.58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 s="4">
        <v>50.45</v>
      </c>
      <c r="BM867" s="4">
        <v>7.57</v>
      </c>
      <c r="BN867" s="4">
        <v>58.02</v>
      </c>
      <c r="BO867" s="4">
        <v>58.02</v>
      </c>
      <c r="BQ867" t="s">
        <v>161</v>
      </c>
      <c r="BR867" t="s">
        <v>84</v>
      </c>
      <c r="BS867" s="3">
        <v>43777</v>
      </c>
      <c r="BT867" s="5">
        <v>0.3666666666666667</v>
      </c>
      <c r="BU867" t="s">
        <v>1360</v>
      </c>
      <c r="BV867" t="s">
        <v>86</v>
      </c>
      <c r="BY867">
        <v>1200</v>
      </c>
      <c r="CA867" t="s">
        <v>163</v>
      </c>
      <c r="CC867" t="s">
        <v>113</v>
      </c>
      <c r="CD867">
        <v>4000</v>
      </c>
      <c r="CE867" t="s">
        <v>147</v>
      </c>
      <c r="CF867" s="3">
        <v>43780</v>
      </c>
      <c r="CI867">
        <v>1</v>
      </c>
      <c r="CJ867">
        <v>1</v>
      </c>
      <c r="CK867">
        <v>21</v>
      </c>
      <c r="CL867" t="s">
        <v>89</v>
      </c>
    </row>
    <row r="868" spans="1:90">
      <c r="A868" t="s">
        <v>72</v>
      </c>
      <c r="B868" t="s">
        <v>73</v>
      </c>
      <c r="C868" t="s">
        <v>74</v>
      </c>
      <c r="E868" t="str">
        <f>"FES1162721974"</f>
        <v>FES1162721974</v>
      </c>
      <c r="F868" s="3">
        <v>43776</v>
      </c>
      <c r="G868">
        <v>202005</v>
      </c>
      <c r="H868" t="s">
        <v>75</v>
      </c>
      <c r="I868" t="s">
        <v>76</v>
      </c>
      <c r="J868" t="s">
        <v>77</v>
      </c>
      <c r="K868" t="s">
        <v>78</v>
      </c>
      <c r="L868" t="s">
        <v>251</v>
      </c>
      <c r="M868" t="s">
        <v>252</v>
      </c>
      <c r="N868" t="s">
        <v>997</v>
      </c>
      <c r="O868" t="s">
        <v>82</v>
      </c>
      <c r="P868" t="str">
        <f>"2170716170                    "</f>
        <v xml:space="preserve">2170716170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8.58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 s="4">
        <v>50.45</v>
      </c>
      <c r="BM868" s="4">
        <v>7.57</v>
      </c>
      <c r="BN868" s="4">
        <v>58.02</v>
      </c>
      <c r="BO868" s="4">
        <v>58.02</v>
      </c>
      <c r="BQ868" t="s">
        <v>187</v>
      </c>
      <c r="BR868" t="s">
        <v>84</v>
      </c>
      <c r="BS868" s="3">
        <v>43777</v>
      </c>
      <c r="BT868" s="5">
        <v>0.41250000000000003</v>
      </c>
      <c r="BU868" t="s">
        <v>998</v>
      </c>
      <c r="BV868" t="s">
        <v>86</v>
      </c>
      <c r="BY868">
        <v>1200</v>
      </c>
      <c r="CA868" t="s">
        <v>255</v>
      </c>
      <c r="CC868" t="s">
        <v>252</v>
      </c>
      <c r="CD868">
        <v>4113</v>
      </c>
      <c r="CE868" t="s">
        <v>147</v>
      </c>
      <c r="CF868" s="3">
        <v>43780</v>
      </c>
      <c r="CI868">
        <v>1</v>
      </c>
      <c r="CJ868">
        <v>1</v>
      </c>
      <c r="CK868">
        <v>21</v>
      </c>
      <c r="CL868" t="s">
        <v>89</v>
      </c>
    </row>
    <row r="869" spans="1:90">
      <c r="A869" t="s">
        <v>72</v>
      </c>
      <c r="B869" t="s">
        <v>73</v>
      </c>
      <c r="C869" t="s">
        <v>74</v>
      </c>
      <c r="E869" t="str">
        <f>"FES1162721914"</f>
        <v>FES1162721914</v>
      </c>
      <c r="F869" s="3">
        <v>43776</v>
      </c>
      <c r="G869">
        <v>202005</v>
      </c>
      <c r="H869" t="s">
        <v>75</v>
      </c>
      <c r="I869" t="s">
        <v>76</v>
      </c>
      <c r="J869" t="s">
        <v>77</v>
      </c>
      <c r="K869" t="s">
        <v>78</v>
      </c>
      <c r="L869" t="s">
        <v>112</v>
      </c>
      <c r="M869" t="s">
        <v>113</v>
      </c>
      <c r="N869" t="s">
        <v>206</v>
      </c>
      <c r="O869" t="s">
        <v>82</v>
      </c>
      <c r="P869" t="str">
        <f>"2170716104                    "</f>
        <v xml:space="preserve">2170716104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8.58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 s="4">
        <v>50.45</v>
      </c>
      <c r="BM869" s="4">
        <v>7.57</v>
      </c>
      <c r="BN869" s="4">
        <v>58.02</v>
      </c>
      <c r="BO869" s="4">
        <v>58.02</v>
      </c>
      <c r="BQ869" t="s">
        <v>109</v>
      </c>
      <c r="BR869" t="s">
        <v>84</v>
      </c>
      <c r="BS869" s="3">
        <v>43777</v>
      </c>
      <c r="BT869" s="5">
        <v>0.3756944444444445</v>
      </c>
      <c r="BU869" t="s">
        <v>1325</v>
      </c>
      <c r="BV869" t="s">
        <v>86</v>
      </c>
      <c r="BY869">
        <v>1200</v>
      </c>
      <c r="CA869" t="s">
        <v>117</v>
      </c>
      <c r="CC869" t="s">
        <v>113</v>
      </c>
      <c r="CD869">
        <v>4001</v>
      </c>
      <c r="CE869" t="s">
        <v>147</v>
      </c>
      <c r="CF869" s="3">
        <v>43780</v>
      </c>
      <c r="CI869">
        <v>1</v>
      </c>
      <c r="CJ869">
        <v>1</v>
      </c>
      <c r="CK869">
        <v>21</v>
      </c>
      <c r="CL869" t="s">
        <v>89</v>
      </c>
    </row>
    <row r="870" spans="1:90">
      <c r="A870" t="s">
        <v>72</v>
      </c>
      <c r="B870" t="s">
        <v>73</v>
      </c>
      <c r="C870" t="s">
        <v>74</v>
      </c>
      <c r="E870" t="str">
        <f>"FES1162721909"</f>
        <v>FES1162721909</v>
      </c>
      <c r="F870" s="3">
        <v>43776</v>
      </c>
      <c r="G870">
        <v>202005</v>
      </c>
      <c r="H870" t="s">
        <v>75</v>
      </c>
      <c r="I870" t="s">
        <v>76</v>
      </c>
      <c r="J870" t="s">
        <v>77</v>
      </c>
      <c r="K870" t="s">
        <v>78</v>
      </c>
      <c r="L870" t="s">
        <v>176</v>
      </c>
      <c r="M870" t="s">
        <v>177</v>
      </c>
      <c r="N870" t="s">
        <v>178</v>
      </c>
      <c r="O870" t="s">
        <v>82</v>
      </c>
      <c r="P870" t="str">
        <f>"2170716100                    "</f>
        <v xml:space="preserve">2170716100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8.58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 s="4">
        <v>50.45</v>
      </c>
      <c r="BM870" s="4">
        <v>7.57</v>
      </c>
      <c r="BN870" s="4">
        <v>58.02</v>
      </c>
      <c r="BO870" s="4">
        <v>58.02</v>
      </c>
      <c r="BQ870" t="s">
        <v>142</v>
      </c>
      <c r="BR870" t="s">
        <v>84</v>
      </c>
      <c r="BS870" s="3">
        <v>43777</v>
      </c>
      <c r="BT870" s="5">
        <v>0.34652777777777777</v>
      </c>
      <c r="BU870" t="s">
        <v>179</v>
      </c>
      <c r="BV870" t="s">
        <v>86</v>
      </c>
      <c r="BY870">
        <v>1200</v>
      </c>
      <c r="CA870" t="s">
        <v>180</v>
      </c>
      <c r="CC870" t="s">
        <v>177</v>
      </c>
      <c r="CD870">
        <v>3610</v>
      </c>
      <c r="CE870" t="s">
        <v>147</v>
      </c>
      <c r="CF870" s="3">
        <v>43780</v>
      </c>
      <c r="CI870">
        <v>1</v>
      </c>
      <c r="CJ870">
        <v>1</v>
      </c>
      <c r="CK870">
        <v>21</v>
      </c>
      <c r="CL870" t="s">
        <v>89</v>
      </c>
    </row>
    <row r="871" spans="1:90">
      <c r="A871" t="s">
        <v>72</v>
      </c>
      <c r="B871" t="s">
        <v>73</v>
      </c>
      <c r="C871" t="s">
        <v>74</v>
      </c>
      <c r="E871" t="str">
        <f>"FES1162721938"</f>
        <v>FES1162721938</v>
      </c>
      <c r="F871" s="3">
        <v>43776</v>
      </c>
      <c r="G871">
        <v>202005</v>
      </c>
      <c r="H871" t="s">
        <v>75</v>
      </c>
      <c r="I871" t="s">
        <v>76</v>
      </c>
      <c r="J871" t="s">
        <v>77</v>
      </c>
      <c r="K871" t="s">
        <v>78</v>
      </c>
      <c r="L871" t="s">
        <v>184</v>
      </c>
      <c r="M871" t="s">
        <v>185</v>
      </c>
      <c r="N871" t="s">
        <v>1385</v>
      </c>
      <c r="O871" t="s">
        <v>82</v>
      </c>
      <c r="P871" t="str">
        <f>"2170715592                    "</f>
        <v xml:space="preserve">2170715592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15.55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7</v>
      </c>
      <c r="BJ871">
        <v>7.4</v>
      </c>
      <c r="BK871">
        <v>7.5</v>
      </c>
      <c r="BL871" s="4">
        <v>91.38</v>
      </c>
      <c r="BM871" s="4">
        <v>13.71</v>
      </c>
      <c r="BN871" s="4">
        <v>105.09</v>
      </c>
      <c r="BO871" s="4">
        <v>105.09</v>
      </c>
      <c r="BQ871" t="s">
        <v>121</v>
      </c>
      <c r="BR871" t="s">
        <v>84</v>
      </c>
      <c r="BS871" s="3">
        <v>43777</v>
      </c>
      <c r="BT871" s="5">
        <v>0.33819444444444446</v>
      </c>
      <c r="BU871" t="s">
        <v>1386</v>
      </c>
      <c r="BV871" t="s">
        <v>86</v>
      </c>
      <c r="BY871">
        <v>36842</v>
      </c>
      <c r="CA871" t="s">
        <v>1032</v>
      </c>
      <c r="CC871" t="s">
        <v>185</v>
      </c>
      <c r="CD871">
        <v>1500</v>
      </c>
      <c r="CE871" t="s">
        <v>88</v>
      </c>
      <c r="CF871" s="3">
        <v>43780</v>
      </c>
      <c r="CI871">
        <v>1</v>
      </c>
      <c r="CJ871">
        <v>1</v>
      </c>
      <c r="CK871">
        <v>22</v>
      </c>
      <c r="CL871" t="s">
        <v>89</v>
      </c>
    </row>
    <row r="872" spans="1:90">
      <c r="A872" t="s">
        <v>72</v>
      </c>
      <c r="B872" t="s">
        <v>73</v>
      </c>
      <c r="C872" t="s">
        <v>74</v>
      </c>
      <c r="E872" t="str">
        <f>"FES1162721975"</f>
        <v>FES1162721975</v>
      </c>
      <c r="F872" s="3">
        <v>43776</v>
      </c>
      <c r="G872">
        <v>202005</v>
      </c>
      <c r="H872" t="s">
        <v>75</v>
      </c>
      <c r="I872" t="s">
        <v>76</v>
      </c>
      <c r="J872" t="s">
        <v>77</v>
      </c>
      <c r="K872" t="s">
        <v>78</v>
      </c>
      <c r="L872" t="s">
        <v>90</v>
      </c>
      <c r="M872" t="s">
        <v>91</v>
      </c>
      <c r="N872" t="s">
        <v>401</v>
      </c>
      <c r="O872" t="s">
        <v>82</v>
      </c>
      <c r="P872" t="str">
        <f>"2170716171                    "</f>
        <v xml:space="preserve">2170716171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8.58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2</v>
      </c>
      <c r="BJ872">
        <v>1.1000000000000001</v>
      </c>
      <c r="BK872">
        <v>2</v>
      </c>
      <c r="BL872" s="4">
        <v>50.45</v>
      </c>
      <c r="BM872" s="4">
        <v>7.57</v>
      </c>
      <c r="BN872" s="4">
        <v>58.02</v>
      </c>
      <c r="BO872" s="4">
        <v>58.02</v>
      </c>
      <c r="BQ872" t="s">
        <v>109</v>
      </c>
      <c r="BR872" t="s">
        <v>84</v>
      </c>
      <c r="BS872" s="3">
        <v>43777</v>
      </c>
      <c r="BT872" s="5">
        <v>0.34861111111111115</v>
      </c>
      <c r="BU872" t="s">
        <v>402</v>
      </c>
      <c r="BV872" t="s">
        <v>86</v>
      </c>
      <c r="BY872">
        <v>5320</v>
      </c>
      <c r="CA872" t="s">
        <v>221</v>
      </c>
      <c r="CC872" t="s">
        <v>91</v>
      </c>
      <c r="CD872">
        <v>7441</v>
      </c>
      <c r="CE872" t="s">
        <v>88</v>
      </c>
      <c r="CF872" s="3">
        <v>43780</v>
      </c>
      <c r="CI872">
        <v>1</v>
      </c>
      <c r="CJ872">
        <v>1</v>
      </c>
      <c r="CK872">
        <v>21</v>
      </c>
      <c r="CL872" t="s">
        <v>89</v>
      </c>
    </row>
    <row r="873" spans="1:90">
      <c r="A873" t="s">
        <v>72</v>
      </c>
      <c r="B873" t="s">
        <v>73</v>
      </c>
      <c r="C873" t="s">
        <v>74</v>
      </c>
      <c r="E873" t="str">
        <f>"FES1162721984"</f>
        <v>FES1162721984</v>
      </c>
      <c r="F873" s="3">
        <v>43776</v>
      </c>
      <c r="G873">
        <v>202005</v>
      </c>
      <c r="H873" t="s">
        <v>75</v>
      </c>
      <c r="I873" t="s">
        <v>76</v>
      </c>
      <c r="J873" t="s">
        <v>77</v>
      </c>
      <c r="K873" t="s">
        <v>78</v>
      </c>
      <c r="L873" t="s">
        <v>270</v>
      </c>
      <c r="M873" t="s">
        <v>271</v>
      </c>
      <c r="N873" t="s">
        <v>618</v>
      </c>
      <c r="O873" t="s">
        <v>82</v>
      </c>
      <c r="P873" t="str">
        <f>"2170715966                    "</f>
        <v xml:space="preserve">2170715966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8.58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 s="4">
        <v>50.45</v>
      </c>
      <c r="BM873" s="4">
        <v>7.57</v>
      </c>
      <c r="BN873" s="4">
        <v>58.02</v>
      </c>
      <c r="BO873" s="4">
        <v>58.02</v>
      </c>
      <c r="BP873" t="s">
        <v>1387</v>
      </c>
      <c r="BQ873" t="s">
        <v>121</v>
      </c>
      <c r="BR873" t="s">
        <v>84</v>
      </c>
      <c r="BS873" s="3">
        <v>43777</v>
      </c>
      <c r="BT873" s="5">
        <v>0.38055555555555554</v>
      </c>
      <c r="BU873" t="s">
        <v>619</v>
      </c>
      <c r="BV873" t="s">
        <v>86</v>
      </c>
      <c r="BY873">
        <v>1200</v>
      </c>
      <c r="CA873" t="s">
        <v>773</v>
      </c>
      <c r="CC873" t="s">
        <v>271</v>
      </c>
      <c r="CD873">
        <v>6220</v>
      </c>
      <c r="CE873" t="s">
        <v>147</v>
      </c>
      <c r="CF873" s="3">
        <v>43780</v>
      </c>
      <c r="CI873">
        <v>1</v>
      </c>
      <c r="CJ873">
        <v>1</v>
      </c>
      <c r="CK873">
        <v>21</v>
      </c>
      <c r="CL873" t="s">
        <v>89</v>
      </c>
    </row>
    <row r="874" spans="1:90">
      <c r="A874" t="s">
        <v>72</v>
      </c>
      <c r="B874" t="s">
        <v>73</v>
      </c>
      <c r="C874" t="s">
        <v>74</v>
      </c>
      <c r="E874" t="str">
        <f>"FES1162721967"</f>
        <v>FES1162721967</v>
      </c>
      <c r="F874" s="3">
        <v>43776</v>
      </c>
      <c r="G874">
        <v>202005</v>
      </c>
      <c r="H874" t="s">
        <v>75</v>
      </c>
      <c r="I874" t="s">
        <v>76</v>
      </c>
      <c r="J874" t="s">
        <v>77</v>
      </c>
      <c r="K874" t="s">
        <v>78</v>
      </c>
      <c r="L874" t="s">
        <v>90</v>
      </c>
      <c r="M874" t="s">
        <v>91</v>
      </c>
      <c r="N874" t="s">
        <v>895</v>
      </c>
      <c r="O874" t="s">
        <v>82</v>
      </c>
      <c r="P874" t="str">
        <f>"2170716163                    "</f>
        <v xml:space="preserve">2170716163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8.58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1.9</v>
      </c>
      <c r="BJ874">
        <v>0.9</v>
      </c>
      <c r="BK874">
        <v>2</v>
      </c>
      <c r="BL874" s="4">
        <v>50.45</v>
      </c>
      <c r="BM874" s="4">
        <v>7.57</v>
      </c>
      <c r="BN874" s="4">
        <v>58.02</v>
      </c>
      <c r="BO874" s="4">
        <v>58.02</v>
      </c>
      <c r="BQ874" t="s">
        <v>121</v>
      </c>
      <c r="BR874" t="s">
        <v>84</v>
      </c>
      <c r="BS874" s="3">
        <v>43777</v>
      </c>
      <c r="BT874" s="5">
        <v>0.39999999999999997</v>
      </c>
      <c r="BU874" t="s">
        <v>1388</v>
      </c>
      <c r="BV874" t="s">
        <v>86</v>
      </c>
      <c r="BY874">
        <v>4615.5</v>
      </c>
      <c r="CA874" t="s">
        <v>717</v>
      </c>
      <c r="CC874" t="s">
        <v>91</v>
      </c>
      <c r="CD874">
        <v>7915</v>
      </c>
      <c r="CE874" t="s">
        <v>88</v>
      </c>
      <c r="CF874" s="3">
        <v>43780</v>
      </c>
      <c r="CI874">
        <v>1</v>
      </c>
      <c r="CJ874">
        <v>1</v>
      </c>
      <c r="CK874">
        <v>21</v>
      </c>
      <c r="CL874" t="s">
        <v>89</v>
      </c>
    </row>
    <row r="875" spans="1:90">
      <c r="A875" t="s">
        <v>72</v>
      </c>
      <c r="B875" t="s">
        <v>73</v>
      </c>
      <c r="C875" t="s">
        <v>74</v>
      </c>
      <c r="E875" t="str">
        <f>"FES1162721922"</f>
        <v>FES1162721922</v>
      </c>
      <c r="F875" s="3">
        <v>43776</v>
      </c>
      <c r="G875">
        <v>202005</v>
      </c>
      <c r="H875" t="s">
        <v>75</v>
      </c>
      <c r="I875" t="s">
        <v>76</v>
      </c>
      <c r="J875" t="s">
        <v>77</v>
      </c>
      <c r="K875" t="s">
        <v>78</v>
      </c>
      <c r="L875" t="s">
        <v>124</v>
      </c>
      <c r="M875" t="s">
        <v>125</v>
      </c>
      <c r="N875" t="s">
        <v>218</v>
      </c>
      <c r="O875" t="s">
        <v>756</v>
      </c>
      <c r="P875" t="str">
        <f>"2170716120                    "</f>
        <v xml:space="preserve">2170716120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12.72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2</v>
      </c>
      <c r="BI875">
        <v>11.1</v>
      </c>
      <c r="BJ875">
        <v>5.6</v>
      </c>
      <c r="BK875">
        <v>12</v>
      </c>
      <c r="BL875" s="4">
        <v>74.790000000000006</v>
      </c>
      <c r="BM875" s="4">
        <v>11.22</v>
      </c>
      <c r="BN875" s="4">
        <v>86.01</v>
      </c>
      <c r="BO875" s="4">
        <v>86.01</v>
      </c>
      <c r="BP875" t="s">
        <v>757</v>
      </c>
      <c r="BQ875" t="s">
        <v>121</v>
      </c>
      <c r="BR875" t="s">
        <v>84</v>
      </c>
      <c r="BS875" s="3">
        <v>43777</v>
      </c>
      <c r="BT875" s="5">
        <v>0.43333333333333335</v>
      </c>
      <c r="BU875" t="s">
        <v>1326</v>
      </c>
      <c r="BV875" t="s">
        <v>86</v>
      </c>
      <c r="BY875">
        <v>28008.61</v>
      </c>
      <c r="CA875" t="s">
        <v>123</v>
      </c>
      <c r="CC875" t="s">
        <v>125</v>
      </c>
      <c r="CD875">
        <v>2094</v>
      </c>
      <c r="CE875" t="s">
        <v>88</v>
      </c>
      <c r="CF875" s="3">
        <v>43780</v>
      </c>
      <c r="CI875">
        <v>1</v>
      </c>
      <c r="CJ875">
        <v>1</v>
      </c>
      <c r="CK875">
        <v>32</v>
      </c>
      <c r="CL875" t="s">
        <v>89</v>
      </c>
    </row>
    <row r="876" spans="1:90">
      <c r="A876" t="s">
        <v>72</v>
      </c>
      <c r="B876" t="s">
        <v>73</v>
      </c>
      <c r="C876" t="s">
        <v>74</v>
      </c>
      <c r="E876" t="str">
        <f>"FES1162721989"</f>
        <v>FES1162721989</v>
      </c>
      <c r="F876" s="3">
        <v>43776</v>
      </c>
      <c r="G876">
        <v>202005</v>
      </c>
      <c r="H876" t="s">
        <v>75</v>
      </c>
      <c r="I876" t="s">
        <v>76</v>
      </c>
      <c r="J876" t="s">
        <v>77</v>
      </c>
      <c r="K876" t="s">
        <v>78</v>
      </c>
      <c r="L876" t="s">
        <v>106</v>
      </c>
      <c r="M876" t="s">
        <v>107</v>
      </c>
      <c r="N876" t="s">
        <v>128</v>
      </c>
      <c r="O876" t="s">
        <v>82</v>
      </c>
      <c r="P876" t="str">
        <f>"217071618                     "</f>
        <v xml:space="preserve">217071618 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8.58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 s="4">
        <v>50.45</v>
      </c>
      <c r="BM876" s="4">
        <v>7.57</v>
      </c>
      <c r="BN876" s="4">
        <v>58.02</v>
      </c>
      <c r="BO876" s="4">
        <v>58.02</v>
      </c>
      <c r="BQ876" t="s">
        <v>121</v>
      </c>
      <c r="BR876" t="s">
        <v>84</v>
      </c>
      <c r="BS876" s="3">
        <v>43777</v>
      </c>
      <c r="BT876" s="5">
        <v>0.33333333333333331</v>
      </c>
      <c r="BU876" t="s">
        <v>714</v>
      </c>
      <c r="BV876" t="s">
        <v>86</v>
      </c>
      <c r="BY876">
        <v>1200</v>
      </c>
      <c r="CA876" t="s">
        <v>87</v>
      </c>
      <c r="CC876" t="s">
        <v>107</v>
      </c>
      <c r="CD876">
        <v>6001</v>
      </c>
      <c r="CE876" t="s">
        <v>147</v>
      </c>
      <c r="CF876" s="3">
        <v>43780</v>
      </c>
      <c r="CI876">
        <v>1</v>
      </c>
      <c r="CJ876">
        <v>1</v>
      </c>
      <c r="CK876">
        <v>21</v>
      </c>
      <c r="CL876" t="s">
        <v>89</v>
      </c>
    </row>
    <row r="877" spans="1:90">
      <c r="A877" t="s">
        <v>72</v>
      </c>
      <c r="B877" t="s">
        <v>73</v>
      </c>
      <c r="C877" t="s">
        <v>74</v>
      </c>
      <c r="E877" t="str">
        <f>"FES1162721899"</f>
        <v>FES1162721899</v>
      </c>
      <c r="F877" s="3">
        <v>43776</v>
      </c>
      <c r="G877">
        <v>202005</v>
      </c>
      <c r="H877" t="s">
        <v>75</v>
      </c>
      <c r="I877" t="s">
        <v>76</v>
      </c>
      <c r="J877" t="s">
        <v>77</v>
      </c>
      <c r="K877" t="s">
        <v>78</v>
      </c>
      <c r="L877" t="s">
        <v>118</v>
      </c>
      <c r="M877" t="s">
        <v>119</v>
      </c>
      <c r="N877" t="s">
        <v>630</v>
      </c>
      <c r="O877" t="s">
        <v>82</v>
      </c>
      <c r="P877" t="str">
        <f>"2170716092                    "</f>
        <v xml:space="preserve">2170716092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8.58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 s="4">
        <v>50.45</v>
      </c>
      <c r="BM877" s="4">
        <v>7.57</v>
      </c>
      <c r="BN877" s="4">
        <v>58.02</v>
      </c>
      <c r="BO877" s="4">
        <v>58.02</v>
      </c>
      <c r="BQ877" t="s">
        <v>121</v>
      </c>
      <c r="BR877" t="s">
        <v>84</v>
      </c>
      <c r="BS877" s="3">
        <v>43777</v>
      </c>
      <c r="BT877" s="5">
        <v>0.34722222222222227</v>
      </c>
      <c r="BU877" t="s">
        <v>1389</v>
      </c>
      <c r="BV877" t="s">
        <v>86</v>
      </c>
      <c r="BY877">
        <v>1200</v>
      </c>
      <c r="CA877" t="s">
        <v>632</v>
      </c>
      <c r="CC877" t="s">
        <v>119</v>
      </c>
      <c r="CD877">
        <v>3201</v>
      </c>
      <c r="CE877" t="s">
        <v>147</v>
      </c>
      <c r="CF877" s="3">
        <v>43780</v>
      </c>
      <c r="CI877">
        <v>1</v>
      </c>
      <c r="CJ877">
        <v>1</v>
      </c>
      <c r="CK877">
        <v>21</v>
      </c>
      <c r="CL877" t="s">
        <v>89</v>
      </c>
    </row>
    <row r="878" spans="1:90">
      <c r="A878" t="s">
        <v>72</v>
      </c>
      <c r="B878" t="s">
        <v>73</v>
      </c>
      <c r="C878" t="s">
        <v>74</v>
      </c>
      <c r="E878" t="str">
        <f>"FES1162721889"</f>
        <v>FES1162721889</v>
      </c>
      <c r="F878" s="3">
        <v>43776</v>
      </c>
      <c r="G878">
        <v>202005</v>
      </c>
      <c r="H878" t="s">
        <v>75</v>
      </c>
      <c r="I878" t="s">
        <v>76</v>
      </c>
      <c r="J878" t="s">
        <v>77</v>
      </c>
      <c r="K878" t="s">
        <v>78</v>
      </c>
      <c r="L878" t="s">
        <v>101</v>
      </c>
      <c r="M878" t="s">
        <v>102</v>
      </c>
      <c r="N878" t="s">
        <v>1390</v>
      </c>
      <c r="O878" t="s">
        <v>82</v>
      </c>
      <c r="P878" t="str">
        <f>"2170713779                    "</f>
        <v xml:space="preserve">2170713779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8.58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 s="4">
        <v>50.45</v>
      </c>
      <c r="BM878" s="4">
        <v>7.57</v>
      </c>
      <c r="BN878" s="4">
        <v>58.02</v>
      </c>
      <c r="BO878" s="4">
        <v>58.02</v>
      </c>
      <c r="BQ878" t="s">
        <v>109</v>
      </c>
      <c r="BR878" t="s">
        <v>84</v>
      </c>
      <c r="BS878" s="3">
        <v>43777</v>
      </c>
      <c r="BT878" s="5">
        <v>0.4375</v>
      </c>
      <c r="BU878" t="s">
        <v>1391</v>
      </c>
      <c r="BV878" t="s">
        <v>86</v>
      </c>
      <c r="BY878">
        <v>1200</v>
      </c>
      <c r="CC878" t="s">
        <v>102</v>
      </c>
      <c r="CD878">
        <v>200</v>
      </c>
      <c r="CE878" t="s">
        <v>147</v>
      </c>
      <c r="CF878" s="3">
        <v>43780</v>
      </c>
      <c r="CI878">
        <v>1</v>
      </c>
      <c r="CJ878">
        <v>1</v>
      </c>
      <c r="CK878">
        <v>21</v>
      </c>
      <c r="CL878" t="s">
        <v>89</v>
      </c>
    </row>
    <row r="879" spans="1:90">
      <c r="A879" t="s">
        <v>72</v>
      </c>
      <c r="B879" t="s">
        <v>73</v>
      </c>
      <c r="C879" t="s">
        <v>74</v>
      </c>
      <c r="E879" t="str">
        <f>"FES1162721838"</f>
        <v>FES1162721838</v>
      </c>
      <c r="F879" s="3">
        <v>43776</v>
      </c>
      <c r="G879">
        <v>202005</v>
      </c>
      <c r="H879" t="s">
        <v>75</v>
      </c>
      <c r="I879" t="s">
        <v>76</v>
      </c>
      <c r="J879" t="s">
        <v>77</v>
      </c>
      <c r="K879" t="s">
        <v>78</v>
      </c>
      <c r="L879" t="s">
        <v>106</v>
      </c>
      <c r="M879" t="s">
        <v>107</v>
      </c>
      <c r="N879" t="s">
        <v>150</v>
      </c>
      <c r="O879" t="s">
        <v>82</v>
      </c>
      <c r="P879" t="str">
        <f>"2170716037                    "</f>
        <v xml:space="preserve">2170716037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8.58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 s="4">
        <v>50.45</v>
      </c>
      <c r="BM879" s="4">
        <v>7.57</v>
      </c>
      <c r="BN879" s="4">
        <v>58.02</v>
      </c>
      <c r="BO879" s="4">
        <v>58.02</v>
      </c>
      <c r="BQ879" t="s">
        <v>109</v>
      </c>
      <c r="BR879" t="s">
        <v>84</v>
      </c>
      <c r="BS879" s="3">
        <v>43777</v>
      </c>
      <c r="BT879" s="5">
        <v>0.40277777777777773</v>
      </c>
      <c r="BU879" t="s">
        <v>151</v>
      </c>
      <c r="BV879" t="s">
        <v>86</v>
      </c>
      <c r="BY879">
        <v>1200</v>
      </c>
      <c r="CA879" t="s">
        <v>111</v>
      </c>
      <c r="CC879" t="s">
        <v>107</v>
      </c>
      <c r="CD879">
        <v>6001</v>
      </c>
      <c r="CE879" t="s">
        <v>147</v>
      </c>
      <c r="CF879" s="3">
        <v>43780</v>
      </c>
      <c r="CI879">
        <v>1</v>
      </c>
      <c r="CJ879">
        <v>1</v>
      </c>
      <c r="CK879">
        <v>21</v>
      </c>
      <c r="CL879" t="s">
        <v>89</v>
      </c>
    </row>
    <row r="880" spans="1:90">
      <c r="A880" t="s">
        <v>72</v>
      </c>
      <c r="B880" t="s">
        <v>73</v>
      </c>
      <c r="C880" t="s">
        <v>74</v>
      </c>
      <c r="E880" t="str">
        <f>"FES1162721915"</f>
        <v>FES1162721915</v>
      </c>
      <c r="F880" s="3">
        <v>43776</v>
      </c>
      <c r="G880">
        <v>202005</v>
      </c>
      <c r="H880" t="s">
        <v>75</v>
      </c>
      <c r="I880" t="s">
        <v>76</v>
      </c>
      <c r="J880" t="s">
        <v>77</v>
      </c>
      <c r="K880" t="s">
        <v>78</v>
      </c>
      <c r="L880" t="s">
        <v>133</v>
      </c>
      <c r="M880" t="s">
        <v>134</v>
      </c>
      <c r="N880" t="s">
        <v>1392</v>
      </c>
      <c r="O880" t="s">
        <v>82</v>
      </c>
      <c r="P880" t="str">
        <f>"217016106                     "</f>
        <v xml:space="preserve">217016106 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8.58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 s="4">
        <v>50.45</v>
      </c>
      <c r="BM880" s="4">
        <v>7.57</v>
      </c>
      <c r="BN880" s="4">
        <v>58.02</v>
      </c>
      <c r="BO880" s="4">
        <v>58.02</v>
      </c>
      <c r="BQ880" t="s">
        <v>109</v>
      </c>
      <c r="BR880" t="s">
        <v>84</v>
      </c>
      <c r="BS880" s="3">
        <v>43777</v>
      </c>
      <c r="BT880" s="5">
        <v>0.375</v>
      </c>
      <c r="BU880" t="s">
        <v>1393</v>
      </c>
      <c r="BV880" t="s">
        <v>86</v>
      </c>
      <c r="BY880">
        <v>1200</v>
      </c>
      <c r="CA880" t="s">
        <v>698</v>
      </c>
      <c r="CC880" t="s">
        <v>134</v>
      </c>
      <c r="CD880">
        <v>5201</v>
      </c>
      <c r="CE880" t="s">
        <v>147</v>
      </c>
      <c r="CF880" s="3">
        <v>43780</v>
      </c>
      <c r="CI880">
        <v>1</v>
      </c>
      <c r="CJ880">
        <v>1</v>
      </c>
      <c r="CK880">
        <v>21</v>
      </c>
      <c r="CL880" t="s">
        <v>89</v>
      </c>
    </row>
    <row r="881" spans="1:90">
      <c r="A881" t="s">
        <v>72</v>
      </c>
      <c r="B881" t="s">
        <v>73</v>
      </c>
      <c r="C881" t="s">
        <v>74</v>
      </c>
      <c r="E881" t="str">
        <f>"FES1162721917"</f>
        <v>FES1162721917</v>
      </c>
      <c r="F881" s="3">
        <v>43776</v>
      </c>
      <c r="G881">
        <v>202005</v>
      </c>
      <c r="H881" t="s">
        <v>75</v>
      </c>
      <c r="I881" t="s">
        <v>76</v>
      </c>
      <c r="J881" t="s">
        <v>77</v>
      </c>
      <c r="K881" t="s">
        <v>78</v>
      </c>
      <c r="L881" t="s">
        <v>339</v>
      </c>
      <c r="M881" t="s">
        <v>340</v>
      </c>
      <c r="N881" t="s">
        <v>718</v>
      </c>
      <c r="O881" t="s">
        <v>82</v>
      </c>
      <c r="P881" t="str">
        <f>"2170716108                    "</f>
        <v xml:space="preserve">2170716108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8.58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 s="4">
        <v>50.45</v>
      </c>
      <c r="BM881" s="4">
        <v>7.57</v>
      </c>
      <c r="BN881" s="4">
        <v>58.02</v>
      </c>
      <c r="BO881" s="4">
        <v>58.02</v>
      </c>
      <c r="BR881" t="s">
        <v>84</v>
      </c>
      <c r="BS881" s="3">
        <v>43777</v>
      </c>
      <c r="BT881" s="5">
        <v>0.41666666666666669</v>
      </c>
      <c r="BU881" t="s">
        <v>719</v>
      </c>
      <c r="BV881" t="s">
        <v>86</v>
      </c>
      <c r="BY881">
        <v>1200</v>
      </c>
      <c r="CA881" t="s">
        <v>720</v>
      </c>
      <c r="CC881" t="s">
        <v>340</v>
      </c>
      <c r="CD881">
        <v>157</v>
      </c>
      <c r="CE881" t="s">
        <v>147</v>
      </c>
      <c r="CF881" s="3">
        <v>43781</v>
      </c>
      <c r="CI881">
        <v>1</v>
      </c>
      <c r="CJ881">
        <v>1</v>
      </c>
      <c r="CK881">
        <v>21</v>
      </c>
      <c r="CL881" t="s">
        <v>89</v>
      </c>
    </row>
    <row r="882" spans="1:90">
      <c r="A882" t="s">
        <v>72</v>
      </c>
      <c r="B882" t="s">
        <v>73</v>
      </c>
      <c r="C882" t="s">
        <v>74</v>
      </c>
      <c r="E882" t="str">
        <f>"FES1162721978"</f>
        <v>FES1162721978</v>
      </c>
      <c r="F882" s="3">
        <v>43776</v>
      </c>
      <c r="G882">
        <v>202005</v>
      </c>
      <c r="H882" t="s">
        <v>75</v>
      </c>
      <c r="I882" t="s">
        <v>76</v>
      </c>
      <c r="J882" t="s">
        <v>77</v>
      </c>
      <c r="K882" t="s">
        <v>78</v>
      </c>
      <c r="L882" t="s">
        <v>90</v>
      </c>
      <c r="M882" t="s">
        <v>91</v>
      </c>
      <c r="N882" t="s">
        <v>1394</v>
      </c>
      <c r="O882" t="s">
        <v>82</v>
      </c>
      <c r="P882" t="str">
        <f>"2170716174                    "</f>
        <v xml:space="preserve">2170716174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8.58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 s="4">
        <v>50.45</v>
      </c>
      <c r="BM882" s="4">
        <v>7.57</v>
      </c>
      <c r="BN882" s="4">
        <v>58.02</v>
      </c>
      <c r="BO882" s="4">
        <v>58.02</v>
      </c>
      <c r="BR882" t="s">
        <v>84</v>
      </c>
      <c r="BS882" s="3">
        <v>43777</v>
      </c>
      <c r="BT882" s="5">
        <v>0.36736111111111108</v>
      </c>
      <c r="BU882" t="s">
        <v>1395</v>
      </c>
      <c r="BV882" t="s">
        <v>86</v>
      </c>
      <c r="BY882">
        <v>1200</v>
      </c>
      <c r="CA882" t="s">
        <v>323</v>
      </c>
      <c r="CC882" t="s">
        <v>91</v>
      </c>
      <c r="CD882">
        <v>7490</v>
      </c>
      <c r="CE882" t="s">
        <v>147</v>
      </c>
      <c r="CF882" s="3">
        <v>43780</v>
      </c>
      <c r="CI882">
        <v>1</v>
      </c>
      <c r="CJ882">
        <v>1</v>
      </c>
      <c r="CK882">
        <v>21</v>
      </c>
      <c r="CL882" t="s">
        <v>89</v>
      </c>
    </row>
    <row r="883" spans="1:90">
      <c r="A883" t="s">
        <v>72</v>
      </c>
      <c r="B883" t="s">
        <v>73</v>
      </c>
      <c r="C883" t="s">
        <v>74</v>
      </c>
      <c r="E883" t="str">
        <f>"FES1162721979"</f>
        <v>FES1162721979</v>
      </c>
      <c r="F883" s="3">
        <v>43776</v>
      </c>
      <c r="G883">
        <v>202005</v>
      </c>
      <c r="H883" t="s">
        <v>75</v>
      </c>
      <c r="I883" t="s">
        <v>76</v>
      </c>
      <c r="J883" t="s">
        <v>77</v>
      </c>
      <c r="K883" t="s">
        <v>78</v>
      </c>
      <c r="L883" t="s">
        <v>106</v>
      </c>
      <c r="M883" t="s">
        <v>107</v>
      </c>
      <c r="N883" t="s">
        <v>108</v>
      </c>
      <c r="O883" t="s">
        <v>82</v>
      </c>
      <c r="P883" t="str">
        <f>"2170716175                    "</f>
        <v xml:space="preserve">2170716175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8.58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 s="4">
        <v>50.45</v>
      </c>
      <c r="BM883" s="4">
        <v>7.57</v>
      </c>
      <c r="BN883" s="4">
        <v>58.02</v>
      </c>
      <c r="BO883" s="4">
        <v>58.02</v>
      </c>
      <c r="BQ883" t="s">
        <v>109</v>
      </c>
      <c r="BR883" t="s">
        <v>84</v>
      </c>
      <c r="BS883" s="3">
        <v>43777</v>
      </c>
      <c r="BT883" s="5">
        <v>0.41666666666666669</v>
      </c>
      <c r="BU883" t="s">
        <v>110</v>
      </c>
      <c r="BV883" t="s">
        <v>86</v>
      </c>
      <c r="BY883">
        <v>1200</v>
      </c>
      <c r="CA883" t="s">
        <v>111</v>
      </c>
      <c r="CC883" t="s">
        <v>107</v>
      </c>
      <c r="CD883">
        <v>6001</v>
      </c>
      <c r="CE883" t="s">
        <v>147</v>
      </c>
      <c r="CF883" s="3">
        <v>43780</v>
      </c>
      <c r="CI883">
        <v>1</v>
      </c>
      <c r="CJ883">
        <v>1</v>
      </c>
      <c r="CK883">
        <v>21</v>
      </c>
      <c r="CL883" t="s">
        <v>89</v>
      </c>
    </row>
    <row r="884" spans="1:90">
      <c r="A884" t="s">
        <v>72</v>
      </c>
      <c r="B884" t="s">
        <v>73</v>
      </c>
      <c r="C884" t="s">
        <v>74</v>
      </c>
      <c r="E884" t="str">
        <f>"FES1162721859"</f>
        <v>FES1162721859</v>
      </c>
      <c r="F884" s="3">
        <v>43776</v>
      </c>
      <c r="G884">
        <v>202005</v>
      </c>
      <c r="H884" t="s">
        <v>75</v>
      </c>
      <c r="I884" t="s">
        <v>76</v>
      </c>
      <c r="J884" t="s">
        <v>77</v>
      </c>
      <c r="K884" t="s">
        <v>78</v>
      </c>
      <c r="L884" t="s">
        <v>124</v>
      </c>
      <c r="M884" t="s">
        <v>125</v>
      </c>
      <c r="N884" t="s">
        <v>1396</v>
      </c>
      <c r="O884" t="s">
        <v>82</v>
      </c>
      <c r="P884" t="str">
        <f>"2170716053                    "</f>
        <v xml:space="preserve">2170716053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6.71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 s="4">
        <v>39.42</v>
      </c>
      <c r="BM884" s="4">
        <v>5.91</v>
      </c>
      <c r="BN884" s="4">
        <v>45.33</v>
      </c>
      <c r="BO884" s="4">
        <v>45.33</v>
      </c>
      <c r="BQ884" t="s">
        <v>142</v>
      </c>
      <c r="BR884" t="s">
        <v>84</v>
      </c>
      <c r="BS884" s="3">
        <v>43777</v>
      </c>
      <c r="BT884" s="5">
        <v>0.34652777777777777</v>
      </c>
      <c r="BU884" t="s">
        <v>1397</v>
      </c>
      <c r="BV884" t="s">
        <v>86</v>
      </c>
      <c r="BY884">
        <v>1200</v>
      </c>
      <c r="CA884" t="s">
        <v>1398</v>
      </c>
      <c r="CC884" t="s">
        <v>125</v>
      </c>
      <c r="CD884">
        <v>2001</v>
      </c>
      <c r="CE884" t="s">
        <v>147</v>
      </c>
      <c r="CF884" s="3">
        <v>43780</v>
      </c>
      <c r="CI884">
        <v>1</v>
      </c>
      <c r="CJ884">
        <v>1</v>
      </c>
      <c r="CK884">
        <v>22</v>
      </c>
      <c r="CL884" t="s">
        <v>89</v>
      </c>
    </row>
    <row r="885" spans="1:90">
      <c r="A885" t="s">
        <v>72</v>
      </c>
      <c r="B885" t="s">
        <v>73</v>
      </c>
      <c r="C885" t="s">
        <v>74</v>
      </c>
      <c r="E885" t="str">
        <f>"FES1162721927"</f>
        <v>FES1162721927</v>
      </c>
      <c r="F885" s="3">
        <v>43776</v>
      </c>
      <c r="G885">
        <v>202005</v>
      </c>
      <c r="H885" t="s">
        <v>75</v>
      </c>
      <c r="I885" t="s">
        <v>76</v>
      </c>
      <c r="J885" t="s">
        <v>77</v>
      </c>
      <c r="K885" t="s">
        <v>78</v>
      </c>
      <c r="L885" t="s">
        <v>90</v>
      </c>
      <c r="M885" t="s">
        <v>91</v>
      </c>
      <c r="N885" t="s">
        <v>401</v>
      </c>
      <c r="O885" t="s">
        <v>82</v>
      </c>
      <c r="P885" t="str">
        <f>"2170716127                    "</f>
        <v xml:space="preserve">2170716127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8.58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 s="4">
        <v>50.45</v>
      </c>
      <c r="BM885" s="4">
        <v>7.57</v>
      </c>
      <c r="BN885" s="4">
        <v>58.02</v>
      </c>
      <c r="BO885" s="4">
        <v>58.02</v>
      </c>
      <c r="BQ885" t="s">
        <v>109</v>
      </c>
      <c r="BR885" t="s">
        <v>84</v>
      </c>
      <c r="BS885" s="3">
        <v>43777</v>
      </c>
      <c r="BT885" s="5">
        <v>0.34861111111111115</v>
      </c>
      <c r="BU885" t="s">
        <v>402</v>
      </c>
      <c r="BV885" t="s">
        <v>86</v>
      </c>
      <c r="BY885">
        <v>1200</v>
      </c>
      <c r="CA885" t="s">
        <v>221</v>
      </c>
      <c r="CC885" t="s">
        <v>91</v>
      </c>
      <c r="CD885">
        <v>7441</v>
      </c>
      <c r="CE885" t="s">
        <v>147</v>
      </c>
      <c r="CF885" s="3">
        <v>43780</v>
      </c>
      <c r="CI885">
        <v>1</v>
      </c>
      <c r="CJ885">
        <v>1</v>
      </c>
      <c r="CK885">
        <v>21</v>
      </c>
      <c r="CL885" t="s">
        <v>89</v>
      </c>
    </row>
    <row r="886" spans="1:90">
      <c r="A886" t="s">
        <v>72</v>
      </c>
      <c r="B886" t="s">
        <v>73</v>
      </c>
      <c r="C886" t="s">
        <v>74</v>
      </c>
      <c r="E886" t="str">
        <f>"FES1162721929"</f>
        <v>FES1162721929</v>
      </c>
      <c r="F886" s="3">
        <v>43776</v>
      </c>
      <c r="G886">
        <v>202005</v>
      </c>
      <c r="H886" t="s">
        <v>75</v>
      </c>
      <c r="I886" t="s">
        <v>76</v>
      </c>
      <c r="J886" t="s">
        <v>77</v>
      </c>
      <c r="K886" t="s">
        <v>78</v>
      </c>
      <c r="L886" t="s">
        <v>90</v>
      </c>
      <c r="M886" t="s">
        <v>91</v>
      </c>
      <c r="N886" t="s">
        <v>1399</v>
      </c>
      <c r="O886" t="s">
        <v>82</v>
      </c>
      <c r="P886" t="str">
        <f>"2170716129                    "</f>
        <v xml:space="preserve">2170716129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8.58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 s="4">
        <v>50.45</v>
      </c>
      <c r="BM886" s="4">
        <v>7.57</v>
      </c>
      <c r="BN886" s="4">
        <v>58.02</v>
      </c>
      <c r="BO886" s="4">
        <v>58.02</v>
      </c>
      <c r="BR886" t="s">
        <v>84</v>
      </c>
      <c r="BS886" s="3">
        <v>43777</v>
      </c>
      <c r="BT886" s="5">
        <v>0.41944444444444445</v>
      </c>
      <c r="BU886" t="s">
        <v>1400</v>
      </c>
      <c r="BV886" t="s">
        <v>86</v>
      </c>
      <c r="BY886">
        <v>1200</v>
      </c>
      <c r="CA886" t="s">
        <v>323</v>
      </c>
      <c r="CC886" t="s">
        <v>91</v>
      </c>
      <c r="CD886">
        <v>7460</v>
      </c>
      <c r="CE886" t="s">
        <v>147</v>
      </c>
      <c r="CF886" s="3">
        <v>43780</v>
      </c>
      <c r="CI886">
        <v>1</v>
      </c>
      <c r="CJ886">
        <v>1</v>
      </c>
      <c r="CK886">
        <v>21</v>
      </c>
      <c r="CL886" t="s">
        <v>89</v>
      </c>
    </row>
    <row r="887" spans="1:90">
      <c r="A887" t="s">
        <v>72</v>
      </c>
      <c r="B887" t="s">
        <v>73</v>
      </c>
      <c r="C887" t="s">
        <v>74</v>
      </c>
      <c r="E887" t="str">
        <f>"FES1162721934"</f>
        <v>FES1162721934</v>
      </c>
      <c r="F887" s="3">
        <v>43776</v>
      </c>
      <c r="G887">
        <v>202005</v>
      </c>
      <c r="H887" t="s">
        <v>75</v>
      </c>
      <c r="I887" t="s">
        <v>76</v>
      </c>
      <c r="J887" t="s">
        <v>77</v>
      </c>
      <c r="K887" t="s">
        <v>78</v>
      </c>
      <c r="L887" t="s">
        <v>106</v>
      </c>
      <c r="M887" t="s">
        <v>107</v>
      </c>
      <c r="N887" t="s">
        <v>1401</v>
      </c>
      <c r="O887" t="s">
        <v>82</v>
      </c>
      <c r="P887" t="str">
        <f>"2170716130                    "</f>
        <v xml:space="preserve">2170716130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8.58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 s="4">
        <v>50.45</v>
      </c>
      <c r="BM887" s="4">
        <v>7.57</v>
      </c>
      <c r="BN887" s="4">
        <v>58.02</v>
      </c>
      <c r="BO887" s="4">
        <v>58.02</v>
      </c>
      <c r="BQ887" t="s">
        <v>109</v>
      </c>
      <c r="BR887" t="s">
        <v>84</v>
      </c>
      <c r="BS887" s="3">
        <v>43777</v>
      </c>
      <c r="BT887" s="5">
        <v>0.38541666666666669</v>
      </c>
      <c r="BU887" t="s">
        <v>1402</v>
      </c>
      <c r="BV887" t="s">
        <v>86</v>
      </c>
      <c r="BY887">
        <v>1200</v>
      </c>
      <c r="CA887" t="s">
        <v>87</v>
      </c>
      <c r="CC887" t="s">
        <v>107</v>
      </c>
      <c r="CD887">
        <v>6001</v>
      </c>
      <c r="CE887" t="s">
        <v>147</v>
      </c>
      <c r="CF887" s="3">
        <v>43780</v>
      </c>
      <c r="CI887">
        <v>1</v>
      </c>
      <c r="CJ887">
        <v>1</v>
      </c>
      <c r="CK887">
        <v>21</v>
      </c>
      <c r="CL887" t="s">
        <v>89</v>
      </c>
    </row>
    <row r="888" spans="1:90">
      <c r="A888" t="s">
        <v>72</v>
      </c>
      <c r="B888" t="s">
        <v>73</v>
      </c>
      <c r="C888" t="s">
        <v>74</v>
      </c>
      <c r="E888" t="str">
        <f>"FES1162721941"</f>
        <v>FES1162721941</v>
      </c>
      <c r="F888" s="3">
        <v>43776</v>
      </c>
      <c r="G888">
        <v>202005</v>
      </c>
      <c r="H888" t="s">
        <v>75</v>
      </c>
      <c r="I888" t="s">
        <v>76</v>
      </c>
      <c r="J888" t="s">
        <v>77</v>
      </c>
      <c r="K888" t="s">
        <v>78</v>
      </c>
      <c r="L888" t="s">
        <v>90</v>
      </c>
      <c r="M888" t="s">
        <v>91</v>
      </c>
      <c r="N888" t="s">
        <v>401</v>
      </c>
      <c r="O888" t="s">
        <v>82</v>
      </c>
      <c r="P888" t="str">
        <f>"2170716135                    "</f>
        <v xml:space="preserve">2170716135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8.58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 s="4">
        <v>50.45</v>
      </c>
      <c r="BM888" s="4">
        <v>7.57</v>
      </c>
      <c r="BN888" s="4">
        <v>58.02</v>
      </c>
      <c r="BO888" s="4">
        <v>58.02</v>
      </c>
      <c r="BQ888" t="s">
        <v>109</v>
      </c>
      <c r="BR888" t="s">
        <v>84</v>
      </c>
      <c r="BS888" s="3">
        <v>43777</v>
      </c>
      <c r="BT888" s="5">
        <v>0.34861111111111115</v>
      </c>
      <c r="BU888" t="s">
        <v>402</v>
      </c>
      <c r="BV888" t="s">
        <v>86</v>
      </c>
      <c r="BY888">
        <v>1200</v>
      </c>
      <c r="CA888" t="s">
        <v>221</v>
      </c>
      <c r="CC888" t="s">
        <v>91</v>
      </c>
      <c r="CD888">
        <v>7441</v>
      </c>
      <c r="CE888" t="s">
        <v>147</v>
      </c>
      <c r="CF888" s="3">
        <v>43780</v>
      </c>
      <c r="CI888">
        <v>1</v>
      </c>
      <c r="CJ888">
        <v>1</v>
      </c>
      <c r="CK888">
        <v>21</v>
      </c>
      <c r="CL888" t="s">
        <v>89</v>
      </c>
    </row>
    <row r="889" spans="1:90">
      <c r="A889" t="s">
        <v>72</v>
      </c>
      <c r="B889" t="s">
        <v>73</v>
      </c>
      <c r="C889" t="s">
        <v>74</v>
      </c>
      <c r="E889" t="str">
        <f>"FES1162721945"</f>
        <v>FES1162721945</v>
      </c>
      <c r="F889" s="3">
        <v>43776</v>
      </c>
      <c r="G889">
        <v>202005</v>
      </c>
      <c r="H889" t="s">
        <v>75</v>
      </c>
      <c r="I889" t="s">
        <v>76</v>
      </c>
      <c r="J889" t="s">
        <v>77</v>
      </c>
      <c r="K889" t="s">
        <v>78</v>
      </c>
      <c r="L889" t="s">
        <v>101</v>
      </c>
      <c r="M889" t="s">
        <v>102</v>
      </c>
      <c r="N889" t="s">
        <v>707</v>
      </c>
      <c r="O889" t="s">
        <v>82</v>
      </c>
      <c r="P889" t="str">
        <f>"2170716142                    "</f>
        <v xml:space="preserve">2170716142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8.58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1.8</v>
      </c>
      <c r="BJ889">
        <v>0.9</v>
      </c>
      <c r="BK889">
        <v>2</v>
      </c>
      <c r="BL889" s="4">
        <v>50.45</v>
      </c>
      <c r="BM889" s="4">
        <v>7.57</v>
      </c>
      <c r="BN889" s="4">
        <v>58.02</v>
      </c>
      <c r="BO889" s="4">
        <v>58.02</v>
      </c>
      <c r="BQ889" t="s">
        <v>121</v>
      </c>
      <c r="BR889" t="s">
        <v>84</v>
      </c>
      <c r="BS889" s="3">
        <v>43777</v>
      </c>
      <c r="BT889" s="5">
        <v>0.36458333333333331</v>
      </c>
      <c r="BU889" t="s">
        <v>1403</v>
      </c>
      <c r="BV889" t="s">
        <v>86</v>
      </c>
      <c r="BY889">
        <v>4437</v>
      </c>
      <c r="CA889" t="s">
        <v>709</v>
      </c>
      <c r="CC889" t="s">
        <v>102</v>
      </c>
      <c r="CD889">
        <v>1</v>
      </c>
      <c r="CE889" t="s">
        <v>88</v>
      </c>
      <c r="CF889" s="3">
        <v>43781</v>
      </c>
      <c r="CI889">
        <v>1</v>
      </c>
      <c r="CJ889">
        <v>1</v>
      </c>
      <c r="CK889">
        <v>21</v>
      </c>
      <c r="CL889" t="s">
        <v>89</v>
      </c>
    </row>
    <row r="890" spans="1:90">
      <c r="A890" t="s">
        <v>72</v>
      </c>
      <c r="B890" t="s">
        <v>73</v>
      </c>
      <c r="C890" t="s">
        <v>74</v>
      </c>
      <c r="E890" t="str">
        <f>"FES1162721968"</f>
        <v>FES1162721968</v>
      </c>
      <c r="F890" s="3">
        <v>43776</v>
      </c>
      <c r="G890">
        <v>202005</v>
      </c>
      <c r="H890" t="s">
        <v>75</v>
      </c>
      <c r="I890" t="s">
        <v>76</v>
      </c>
      <c r="J890" t="s">
        <v>77</v>
      </c>
      <c r="K890" t="s">
        <v>78</v>
      </c>
      <c r="L890" t="s">
        <v>133</v>
      </c>
      <c r="M890" t="s">
        <v>134</v>
      </c>
      <c r="N890" t="s">
        <v>1077</v>
      </c>
      <c r="O890" t="s">
        <v>82</v>
      </c>
      <c r="P890" t="str">
        <f>"2170716+164                   "</f>
        <v xml:space="preserve">2170716+164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8.58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 s="4">
        <v>50.45</v>
      </c>
      <c r="BM890" s="4">
        <v>7.57</v>
      </c>
      <c r="BN890" s="4">
        <v>58.02</v>
      </c>
      <c r="BO890" s="4">
        <v>58.02</v>
      </c>
      <c r="BQ890" t="s">
        <v>109</v>
      </c>
      <c r="BR890" t="s">
        <v>84</v>
      </c>
      <c r="BS890" s="3">
        <v>43777</v>
      </c>
      <c r="BT890" s="5">
        <v>0.43402777777777773</v>
      </c>
      <c r="BU890" t="s">
        <v>1404</v>
      </c>
      <c r="BV890" t="s">
        <v>86</v>
      </c>
      <c r="BY890">
        <v>1200</v>
      </c>
      <c r="CA890" t="s">
        <v>730</v>
      </c>
      <c r="CC890" t="s">
        <v>134</v>
      </c>
      <c r="CD890">
        <v>5201</v>
      </c>
      <c r="CE890" t="s">
        <v>147</v>
      </c>
      <c r="CF890" s="3">
        <v>43781</v>
      </c>
      <c r="CI890">
        <v>1</v>
      </c>
      <c r="CJ890">
        <v>1</v>
      </c>
      <c r="CK890">
        <v>21</v>
      </c>
      <c r="CL890" t="s">
        <v>89</v>
      </c>
    </row>
    <row r="891" spans="1:90">
      <c r="A891" t="s">
        <v>72</v>
      </c>
      <c r="B891" t="s">
        <v>73</v>
      </c>
      <c r="C891" t="s">
        <v>74</v>
      </c>
      <c r="E891" t="str">
        <f>"FES1162721951"</f>
        <v>FES1162721951</v>
      </c>
      <c r="F891" s="3">
        <v>43776</v>
      </c>
      <c r="G891">
        <v>202005</v>
      </c>
      <c r="H891" t="s">
        <v>75</v>
      </c>
      <c r="I891" t="s">
        <v>76</v>
      </c>
      <c r="J891" t="s">
        <v>77</v>
      </c>
      <c r="K891" t="s">
        <v>78</v>
      </c>
      <c r="L891" t="s">
        <v>106</v>
      </c>
      <c r="M891" t="s">
        <v>107</v>
      </c>
      <c r="N891" t="s">
        <v>242</v>
      </c>
      <c r="O891" t="s">
        <v>82</v>
      </c>
      <c r="P891" t="str">
        <f>"2170716151                    "</f>
        <v xml:space="preserve">2170716151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8.58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 s="4">
        <v>50.45</v>
      </c>
      <c r="BM891" s="4">
        <v>7.57</v>
      </c>
      <c r="BN891" s="4">
        <v>58.02</v>
      </c>
      <c r="BO891" s="4">
        <v>58.02</v>
      </c>
      <c r="BQ891" t="s">
        <v>109</v>
      </c>
      <c r="BR891" t="s">
        <v>84</v>
      </c>
      <c r="BS891" s="3">
        <v>43777</v>
      </c>
      <c r="BT891" s="5">
        <v>0.38541666666666669</v>
      </c>
      <c r="BU891" t="s">
        <v>243</v>
      </c>
      <c r="BV891" t="s">
        <v>86</v>
      </c>
      <c r="BY891">
        <v>1200</v>
      </c>
      <c r="CA891" t="s">
        <v>244</v>
      </c>
      <c r="CC891" t="s">
        <v>107</v>
      </c>
      <c r="CD891">
        <v>6001</v>
      </c>
      <c r="CE891" t="s">
        <v>147</v>
      </c>
      <c r="CF891" s="3">
        <v>43780</v>
      </c>
      <c r="CI891">
        <v>1</v>
      </c>
      <c r="CJ891">
        <v>1</v>
      </c>
      <c r="CK891">
        <v>21</v>
      </c>
      <c r="CL891" t="s">
        <v>89</v>
      </c>
    </row>
    <row r="892" spans="1:90">
      <c r="A892" t="s">
        <v>72</v>
      </c>
      <c r="B892" t="s">
        <v>73</v>
      </c>
      <c r="C892" t="s">
        <v>74</v>
      </c>
      <c r="E892" t="str">
        <f>"FES1162721970"</f>
        <v>FES1162721970</v>
      </c>
      <c r="F892" s="3">
        <v>43776</v>
      </c>
      <c r="G892">
        <v>202005</v>
      </c>
      <c r="H892" t="s">
        <v>75</v>
      </c>
      <c r="I892" t="s">
        <v>76</v>
      </c>
      <c r="J892" t="s">
        <v>77</v>
      </c>
      <c r="K892" t="s">
        <v>78</v>
      </c>
      <c r="L892" t="s">
        <v>106</v>
      </c>
      <c r="M892" t="s">
        <v>107</v>
      </c>
      <c r="N892" t="s">
        <v>700</v>
      </c>
      <c r="O892" t="s">
        <v>82</v>
      </c>
      <c r="P892" t="str">
        <f>"2170716166                    "</f>
        <v xml:space="preserve">2170716166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8.58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 s="4">
        <v>50.45</v>
      </c>
      <c r="BM892" s="4">
        <v>7.57</v>
      </c>
      <c r="BN892" s="4">
        <v>58.02</v>
      </c>
      <c r="BO892" s="4">
        <v>58.02</v>
      </c>
      <c r="BQ892" t="s">
        <v>109</v>
      </c>
      <c r="BR892" t="s">
        <v>84</v>
      </c>
      <c r="BS892" s="3">
        <v>43777</v>
      </c>
      <c r="BT892" s="5">
        <v>0.39374999999999999</v>
      </c>
      <c r="BU892" t="s">
        <v>564</v>
      </c>
      <c r="BV892" t="s">
        <v>86</v>
      </c>
      <c r="BY892">
        <v>1200</v>
      </c>
      <c r="CA892" t="s">
        <v>773</v>
      </c>
      <c r="CC892" t="s">
        <v>107</v>
      </c>
      <c r="CD892">
        <v>6001</v>
      </c>
      <c r="CE892" t="s">
        <v>147</v>
      </c>
      <c r="CF892" s="3">
        <v>43780</v>
      </c>
      <c r="CI892">
        <v>1</v>
      </c>
      <c r="CJ892">
        <v>1</v>
      </c>
      <c r="CK892">
        <v>21</v>
      </c>
      <c r="CL892" t="s">
        <v>89</v>
      </c>
    </row>
    <row r="893" spans="1:90">
      <c r="A893" t="s">
        <v>72</v>
      </c>
      <c r="B893" t="s">
        <v>73</v>
      </c>
      <c r="C893" t="s">
        <v>74</v>
      </c>
      <c r="E893" t="str">
        <f>"FES1162721888"</f>
        <v>FES1162721888</v>
      </c>
      <c r="F893" s="3">
        <v>43776</v>
      </c>
      <c r="G893">
        <v>202005</v>
      </c>
      <c r="H893" t="s">
        <v>75</v>
      </c>
      <c r="I893" t="s">
        <v>76</v>
      </c>
      <c r="J893" t="s">
        <v>77</v>
      </c>
      <c r="K893" t="s">
        <v>78</v>
      </c>
      <c r="L893" t="s">
        <v>825</v>
      </c>
      <c r="M893" t="s">
        <v>826</v>
      </c>
      <c r="N893" t="s">
        <v>939</v>
      </c>
      <c r="O893" t="s">
        <v>82</v>
      </c>
      <c r="P893" t="str">
        <f>"2170716088                    "</f>
        <v xml:space="preserve">2170716088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12.07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 s="4">
        <v>70.95</v>
      </c>
      <c r="BM893" s="4">
        <v>10.64</v>
      </c>
      <c r="BN893" s="4">
        <v>81.59</v>
      </c>
      <c r="BO893" s="4">
        <v>81.59</v>
      </c>
      <c r="BQ893" t="s">
        <v>109</v>
      </c>
      <c r="BR893" t="s">
        <v>84</v>
      </c>
      <c r="BS893" s="3">
        <v>43777</v>
      </c>
      <c r="BT893" s="5">
        <v>0.3263888888888889</v>
      </c>
      <c r="BU893" t="s">
        <v>1405</v>
      </c>
      <c r="BV893" t="s">
        <v>86</v>
      </c>
      <c r="BY893">
        <v>1200</v>
      </c>
      <c r="CA893" t="s">
        <v>123</v>
      </c>
      <c r="CC893" t="s">
        <v>826</v>
      </c>
      <c r="CD893">
        <v>1759</v>
      </c>
      <c r="CE893" t="s">
        <v>147</v>
      </c>
      <c r="CF893" s="3">
        <v>43780</v>
      </c>
      <c r="CI893">
        <v>1</v>
      </c>
      <c r="CJ893">
        <v>1</v>
      </c>
      <c r="CK893">
        <v>24</v>
      </c>
      <c r="CL893" t="s">
        <v>89</v>
      </c>
    </row>
    <row r="894" spans="1:90">
      <c r="A894" t="s">
        <v>72</v>
      </c>
      <c r="B894" t="s">
        <v>73</v>
      </c>
      <c r="C894" t="s">
        <v>74</v>
      </c>
      <c r="E894" t="str">
        <f>"FES1162721901"</f>
        <v>FES1162721901</v>
      </c>
      <c r="F894" s="3">
        <v>43776</v>
      </c>
      <c r="G894">
        <v>202005</v>
      </c>
      <c r="H894" t="s">
        <v>75</v>
      </c>
      <c r="I894" t="s">
        <v>76</v>
      </c>
      <c r="J894" t="s">
        <v>77</v>
      </c>
      <c r="K894" t="s">
        <v>78</v>
      </c>
      <c r="L894" t="s">
        <v>90</v>
      </c>
      <c r="M894" t="s">
        <v>91</v>
      </c>
      <c r="N894" t="s">
        <v>218</v>
      </c>
      <c r="O894" t="s">
        <v>82</v>
      </c>
      <c r="P894" t="str">
        <f>"2170716093                    "</f>
        <v xml:space="preserve">2170716093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8.58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 s="4">
        <v>50.45</v>
      </c>
      <c r="BM894" s="4">
        <v>7.57</v>
      </c>
      <c r="BN894" s="4">
        <v>58.02</v>
      </c>
      <c r="BO894" s="4">
        <v>58.02</v>
      </c>
      <c r="BR894" t="s">
        <v>84</v>
      </c>
      <c r="BS894" s="3">
        <v>43777</v>
      </c>
      <c r="BT894" s="5">
        <v>0.3215277777777778</v>
      </c>
      <c r="BU894" t="s">
        <v>1406</v>
      </c>
      <c r="BV894" t="s">
        <v>86</v>
      </c>
      <c r="BY894">
        <v>1200</v>
      </c>
      <c r="CA894" t="s">
        <v>221</v>
      </c>
      <c r="CC894" t="s">
        <v>91</v>
      </c>
      <c r="CD894">
        <v>8001</v>
      </c>
      <c r="CE894" t="s">
        <v>147</v>
      </c>
      <c r="CF894" s="3">
        <v>43780</v>
      </c>
      <c r="CI894">
        <v>1</v>
      </c>
      <c r="CJ894">
        <v>1</v>
      </c>
      <c r="CK894">
        <v>21</v>
      </c>
      <c r="CL894" t="s">
        <v>89</v>
      </c>
    </row>
    <row r="895" spans="1:90">
      <c r="A895" t="s">
        <v>72</v>
      </c>
      <c r="B895" t="s">
        <v>73</v>
      </c>
      <c r="C895" t="s">
        <v>74</v>
      </c>
      <c r="E895" t="str">
        <f>"FES1162721936"</f>
        <v>FES1162721936</v>
      </c>
      <c r="F895" s="3">
        <v>43776</v>
      </c>
      <c r="G895">
        <v>202005</v>
      </c>
      <c r="H895" t="s">
        <v>75</v>
      </c>
      <c r="I895" t="s">
        <v>76</v>
      </c>
      <c r="J895" t="s">
        <v>77</v>
      </c>
      <c r="K895" t="s">
        <v>78</v>
      </c>
      <c r="L895" t="s">
        <v>75</v>
      </c>
      <c r="M895" t="s">
        <v>76</v>
      </c>
      <c r="N895" t="s">
        <v>1407</v>
      </c>
      <c r="O895" t="s">
        <v>82</v>
      </c>
      <c r="P895" t="str">
        <f>"2170716132                    "</f>
        <v xml:space="preserve">2170716132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6.71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 s="4">
        <v>39.42</v>
      </c>
      <c r="BM895" s="4">
        <v>5.91</v>
      </c>
      <c r="BN895" s="4">
        <v>45.33</v>
      </c>
      <c r="BO895" s="4">
        <v>45.33</v>
      </c>
      <c r="BQ895" t="s">
        <v>187</v>
      </c>
      <c r="BR895" t="s">
        <v>84</v>
      </c>
      <c r="BS895" s="3">
        <v>43777</v>
      </c>
      <c r="BT895" s="5">
        <v>0.34375</v>
      </c>
      <c r="BU895" t="s">
        <v>1408</v>
      </c>
      <c r="BV895" t="s">
        <v>86</v>
      </c>
      <c r="BY895">
        <v>1200</v>
      </c>
      <c r="CA895" t="s">
        <v>238</v>
      </c>
      <c r="CC895" t="s">
        <v>76</v>
      </c>
      <c r="CD895">
        <v>1665</v>
      </c>
      <c r="CE895" t="s">
        <v>147</v>
      </c>
      <c r="CF895" s="3">
        <v>43780</v>
      </c>
      <c r="CI895">
        <v>1</v>
      </c>
      <c r="CJ895">
        <v>1</v>
      </c>
      <c r="CK895">
        <v>22</v>
      </c>
      <c r="CL895" t="s">
        <v>89</v>
      </c>
    </row>
    <row r="896" spans="1:90">
      <c r="A896" t="s">
        <v>72</v>
      </c>
      <c r="B896" t="s">
        <v>73</v>
      </c>
      <c r="C896" t="s">
        <v>74</v>
      </c>
      <c r="E896" t="str">
        <f>"FES1162721916"</f>
        <v>FES1162721916</v>
      </c>
      <c r="F896" s="3">
        <v>43776</v>
      </c>
      <c r="G896">
        <v>202005</v>
      </c>
      <c r="H896" t="s">
        <v>75</v>
      </c>
      <c r="I896" t="s">
        <v>76</v>
      </c>
      <c r="J896" t="s">
        <v>77</v>
      </c>
      <c r="K896" t="s">
        <v>78</v>
      </c>
      <c r="L896" t="s">
        <v>124</v>
      </c>
      <c r="M896" t="s">
        <v>125</v>
      </c>
      <c r="N896" t="s">
        <v>1409</v>
      </c>
      <c r="O896" t="s">
        <v>82</v>
      </c>
      <c r="P896" t="str">
        <f>"2170716107                    "</f>
        <v xml:space="preserve">2170716107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6.71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 s="4">
        <v>39.42</v>
      </c>
      <c r="BM896" s="4">
        <v>5.91</v>
      </c>
      <c r="BN896" s="4">
        <v>45.33</v>
      </c>
      <c r="BO896" s="4">
        <v>45.33</v>
      </c>
      <c r="BR896" t="s">
        <v>84</v>
      </c>
      <c r="BS896" s="3">
        <v>43777</v>
      </c>
      <c r="BT896" s="5">
        <v>0.3576388888888889</v>
      </c>
      <c r="BU896" t="s">
        <v>1410</v>
      </c>
      <c r="BV896" t="s">
        <v>86</v>
      </c>
      <c r="BY896">
        <v>1200</v>
      </c>
      <c r="CA896" t="s">
        <v>123</v>
      </c>
      <c r="CC896" t="s">
        <v>125</v>
      </c>
      <c r="CD896">
        <v>2094</v>
      </c>
      <c r="CE896" t="s">
        <v>147</v>
      </c>
      <c r="CF896" s="3">
        <v>43780</v>
      </c>
      <c r="CI896">
        <v>1</v>
      </c>
      <c r="CJ896">
        <v>1</v>
      </c>
      <c r="CK896">
        <v>22</v>
      </c>
      <c r="CL896" t="s">
        <v>89</v>
      </c>
    </row>
    <row r="897" spans="1:90">
      <c r="A897" t="s">
        <v>72</v>
      </c>
      <c r="B897" t="s">
        <v>73</v>
      </c>
      <c r="C897" t="s">
        <v>74</v>
      </c>
      <c r="E897" t="str">
        <f>"FES1162721949"</f>
        <v>FES1162721949</v>
      </c>
      <c r="F897" s="3">
        <v>43776</v>
      </c>
      <c r="G897">
        <v>202005</v>
      </c>
      <c r="H897" t="s">
        <v>75</v>
      </c>
      <c r="I897" t="s">
        <v>76</v>
      </c>
      <c r="J897" t="s">
        <v>77</v>
      </c>
      <c r="K897" t="s">
        <v>78</v>
      </c>
      <c r="L897" t="s">
        <v>101</v>
      </c>
      <c r="M897" t="s">
        <v>102</v>
      </c>
      <c r="N897" t="s">
        <v>1411</v>
      </c>
      <c r="O897" t="s">
        <v>82</v>
      </c>
      <c r="P897" t="str">
        <f>"2170716148                    "</f>
        <v xml:space="preserve">2170716148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8.58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 s="4">
        <v>50.45</v>
      </c>
      <c r="BM897" s="4">
        <v>7.57</v>
      </c>
      <c r="BN897" s="4">
        <v>58.02</v>
      </c>
      <c r="BO897" s="4">
        <v>58.02</v>
      </c>
      <c r="BR897" t="s">
        <v>84</v>
      </c>
      <c r="BS897" s="3">
        <v>43777</v>
      </c>
      <c r="BT897" s="5">
        <v>0.42708333333333331</v>
      </c>
      <c r="BU897" t="s">
        <v>1412</v>
      </c>
      <c r="BV897" t="s">
        <v>86</v>
      </c>
      <c r="BY897">
        <v>1200</v>
      </c>
      <c r="CC897" t="s">
        <v>102</v>
      </c>
      <c r="CD897">
        <v>200</v>
      </c>
      <c r="CE897" t="s">
        <v>147</v>
      </c>
      <c r="CF897" s="3">
        <v>43780</v>
      </c>
      <c r="CI897">
        <v>1</v>
      </c>
      <c r="CJ897">
        <v>1</v>
      </c>
      <c r="CK897">
        <v>21</v>
      </c>
      <c r="CL897" t="s">
        <v>89</v>
      </c>
    </row>
    <row r="898" spans="1:90">
      <c r="A898" t="s">
        <v>72</v>
      </c>
      <c r="B898" t="s">
        <v>73</v>
      </c>
      <c r="C898" t="s">
        <v>74</v>
      </c>
      <c r="E898" t="str">
        <f>"FES1162721961"</f>
        <v>FES1162721961</v>
      </c>
      <c r="F898" s="3">
        <v>43776</v>
      </c>
      <c r="G898">
        <v>202005</v>
      </c>
      <c r="H898" t="s">
        <v>75</v>
      </c>
      <c r="I898" t="s">
        <v>76</v>
      </c>
      <c r="J898" t="s">
        <v>77</v>
      </c>
      <c r="K898" t="s">
        <v>78</v>
      </c>
      <c r="L898" t="s">
        <v>106</v>
      </c>
      <c r="M898" t="s">
        <v>107</v>
      </c>
      <c r="N898" t="s">
        <v>150</v>
      </c>
      <c r="O898" t="s">
        <v>82</v>
      </c>
      <c r="P898" t="str">
        <f>"2170716153                    "</f>
        <v xml:space="preserve">2170716153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15.02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1.9</v>
      </c>
      <c r="BJ898">
        <v>3.3</v>
      </c>
      <c r="BK898">
        <v>3.5</v>
      </c>
      <c r="BL898" s="4">
        <v>88.27</v>
      </c>
      <c r="BM898" s="4">
        <v>13.24</v>
      </c>
      <c r="BN898" s="4">
        <v>101.51</v>
      </c>
      <c r="BO898" s="4">
        <v>101.51</v>
      </c>
      <c r="BQ898" t="s">
        <v>109</v>
      </c>
      <c r="BR898" t="s">
        <v>84</v>
      </c>
      <c r="BS898" s="3">
        <v>43777</v>
      </c>
      <c r="BT898" s="5">
        <v>0.40277777777777773</v>
      </c>
      <c r="BU898" t="s">
        <v>151</v>
      </c>
      <c r="BV898" t="s">
        <v>86</v>
      </c>
      <c r="BY898">
        <v>16675.28</v>
      </c>
      <c r="CA898" t="s">
        <v>111</v>
      </c>
      <c r="CC898" t="s">
        <v>107</v>
      </c>
      <c r="CD898">
        <v>6001</v>
      </c>
      <c r="CE898" t="s">
        <v>88</v>
      </c>
      <c r="CF898" s="3">
        <v>43780</v>
      </c>
      <c r="CI898">
        <v>1</v>
      </c>
      <c r="CJ898">
        <v>1</v>
      </c>
      <c r="CK898">
        <v>21</v>
      </c>
      <c r="CL898" t="s">
        <v>89</v>
      </c>
    </row>
    <row r="899" spans="1:90">
      <c r="A899" t="s">
        <v>72</v>
      </c>
      <c r="B899" t="s">
        <v>73</v>
      </c>
      <c r="C899" t="s">
        <v>74</v>
      </c>
      <c r="E899" t="str">
        <f>"FES1162721980"</f>
        <v>FES1162721980</v>
      </c>
      <c r="F899" s="3">
        <v>43776</v>
      </c>
      <c r="G899">
        <v>202005</v>
      </c>
      <c r="H899" t="s">
        <v>75</v>
      </c>
      <c r="I899" t="s">
        <v>76</v>
      </c>
      <c r="J899" t="s">
        <v>77</v>
      </c>
      <c r="K899" t="s">
        <v>78</v>
      </c>
      <c r="L899" t="s">
        <v>75</v>
      </c>
      <c r="M899" t="s">
        <v>76</v>
      </c>
      <c r="N899" t="s">
        <v>1413</v>
      </c>
      <c r="O899" t="s">
        <v>82</v>
      </c>
      <c r="P899" t="str">
        <f>"2170716176                    "</f>
        <v xml:space="preserve">2170716176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6.71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 s="4">
        <v>39.42</v>
      </c>
      <c r="BM899" s="4">
        <v>5.91</v>
      </c>
      <c r="BN899" s="4">
        <v>45.33</v>
      </c>
      <c r="BO899" s="4">
        <v>45.33</v>
      </c>
      <c r="BQ899" t="s">
        <v>1414</v>
      </c>
      <c r="BR899" t="s">
        <v>84</v>
      </c>
      <c r="BS899" s="3">
        <v>43777</v>
      </c>
      <c r="BT899" s="5">
        <v>0.33333333333333331</v>
      </c>
      <c r="BU899" t="s">
        <v>1415</v>
      </c>
      <c r="BV899" t="s">
        <v>86</v>
      </c>
      <c r="BY899">
        <v>1200</v>
      </c>
      <c r="CA899" t="s">
        <v>238</v>
      </c>
      <c r="CC899" t="s">
        <v>76</v>
      </c>
      <c r="CD899">
        <v>1666</v>
      </c>
      <c r="CE899" t="s">
        <v>147</v>
      </c>
      <c r="CF899" s="3">
        <v>43780</v>
      </c>
      <c r="CI899">
        <v>1</v>
      </c>
      <c r="CJ899">
        <v>1</v>
      </c>
      <c r="CK899">
        <v>22</v>
      </c>
      <c r="CL899" t="s">
        <v>89</v>
      </c>
    </row>
    <row r="900" spans="1:90">
      <c r="A900" t="s">
        <v>72</v>
      </c>
      <c r="B900" t="s">
        <v>73</v>
      </c>
      <c r="C900" t="s">
        <v>74</v>
      </c>
      <c r="E900" t="str">
        <f>"FES1162721908"</f>
        <v>FES1162721908</v>
      </c>
      <c r="F900" s="3">
        <v>43776</v>
      </c>
      <c r="G900">
        <v>202005</v>
      </c>
      <c r="H900" t="s">
        <v>75</v>
      </c>
      <c r="I900" t="s">
        <v>76</v>
      </c>
      <c r="J900" t="s">
        <v>77</v>
      </c>
      <c r="K900" t="s">
        <v>78</v>
      </c>
      <c r="L900" t="s">
        <v>75</v>
      </c>
      <c r="M900" t="s">
        <v>76</v>
      </c>
      <c r="N900" t="s">
        <v>1416</v>
      </c>
      <c r="O900" t="s">
        <v>82</v>
      </c>
      <c r="P900" t="str">
        <f>"2170716099                    "</f>
        <v xml:space="preserve">2170716099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6.71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 s="4">
        <v>39.42</v>
      </c>
      <c r="BM900" s="4">
        <v>5.91</v>
      </c>
      <c r="BN900" s="4">
        <v>45.33</v>
      </c>
      <c r="BO900" s="4">
        <v>45.33</v>
      </c>
      <c r="BQ900" t="s">
        <v>1417</v>
      </c>
      <c r="BR900" t="s">
        <v>84</v>
      </c>
      <c r="BS900" s="3">
        <v>43777</v>
      </c>
      <c r="BT900" s="5">
        <v>0.40277777777777773</v>
      </c>
      <c r="BU900" t="s">
        <v>1418</v>
      </c>
      <c r="BV900" t="s">
        <v>86</v>
      </c>
      <c r="BY900">
        <v>1200</v>
      </c>
      <c r="CA900" t="s">
        <v>198</v>
      </c>
      <c r="CC900" t="s">
        <v>76</v>
      </c>
      <c r="CD900">
        <v>1601</v>
      </c>
      <c r="CE900" t="s">
        <v>147</v>
      </c>
      <c r="CF900" s="3">
        <v>43780</v>
      </c>
      <c r="CI900">
        <v>1</v>
      </c>
      <c r="CJ900">
        <v>1</v>
      </c>
      <c r="CK900">
        <v>22</v>
      </c>
      <c r="CL900" t="s">
        <v>89</v>
      </c>
    </row>
    <row r="901" spans="1:90">
      <c r="A901" t="s">
        <v>72</v>
      </c>
      <c r="B901" t="s">
        <v>73</v>
      </c>
      <c r="C901" t="s">
        <v>74</v>
      </c>
      <c r="E901" t="str">
        <f>"FES1162721902"</f>
        <v>FES1162721902</v>
      </c>
      <c r="F901" s="3">
        <v>43776</v>
      </c>
      <c r="G901">
        <v>202005</v>
      </c>
      <c r="H901" t="s">
        <v>75</v>
      </c>
      <c r="I901" t="s">
        <v>76</v>
      </c>
      <c r="J901" t="s">
        <v>77</v>
      </c>
      <c r="K901" t="s">
        <v>78</v>
      </c>
      <c r="L901" t="s">
        <v>90</v>
      </c>
      <c r="M901" t="s">
        <v>91</v>
      </c>
      <c r="N901" t="s">
        <v>1419</v>
      </c>
      <c r="O901" t="s">
        <v>82</v>
      </c>
      <c r="P901" t="str">
        <f>"217071695                     "</f>
        <v xml:space="preserve">217071695 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8.58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 s="4">
        <v>50.45</v>
      </c>
      <c r="BM901" s="4">
        <v>7.57</v>
      </c>
      <c r="BN901" s="4">
        <v>58.02</v>
      </c>
      <c r="BO901" s="4">
        <v>58.02</v>
      </c>
      <c r="BQ901" t="s">
        <v>109</v>
      </c>
      <c r="BR901" t="s">
        <v>84</v>
      </c>
      <c r="BS901" s="3">
        <v>43777</v>
      </c>
      <c r="BT901" s="5">
        <v>0.47638888888888892</v>
      </c>
      <c r="BU901" t="s">
        <v>1420</v>
      </c>
      <c r="BV901" t="s">
        <v>86</v>
      </c>
      <c r="BY901">
        <v>1200</v>
      </c>
      <c r="CA901" t="s">
        <v>1281</v>
      </c>
      <c r="CC901" t="s">
        <v>91</v>
      </c>
      <c r="CD901">
        <v>7945</v>
      </c>
      <c r="CE901" t="s">
        <v>147</v>
      </c>
      <c r="CF901" s="3">
        <v>43780</v>
      </c>
      <c r="CI901">
        <v>1</v>
      </c>
      <c r="CJ901">
        <v>1</v>
      </c>
      <c r="CK901">
        <v>21</v>
      </c>
      <c r="CL901" t="s">
        <v>89</v>
      </c>
    </row>
    <row r="902" spans="1:90">
      <c r="A902" t="s">
        <v>72</v>
      </c>
      <c r="B902" t="s">
        <v>73</v>
      </c>
      <c r="C902" t="s">
        <v>74</v>
      </c>
      <c r="E902" t="str">
        <f>"FES1162721900"</f>
        <v>FES1162721900</v>
      </c>
      <c r="F902" s="3">
        <v>43776</v>
      </c>
      <c r="G902">
        <v>202005</v>
      </c>
      <c r="H902" t="s">
        <v>75</v>
      </c>
      <c r="I902" t="s">
        <v>76</v>
      </c>
      <c r="J902" t="s">
        <v>77</v>
      </c>
      <c r="K902" t="s">
        <v>78</v>
      </c>
      <c r="L902" t="s">
        <v>214</v>
      </c>
      <c r="M902" t="s">
        <v>214</v>
      </c>
      <c r="N902" t="s">
        <v>215</v>
      </c>
      <c r="O902" t="s">
        <v>82</v>
      </c>
      <c r="P902" t="str">
        <f>"2170716078                    "</f>
        <v xml:space="preserve">2170716078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16.63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 s="4">
        <v>97.75</v>
      </c>
      <c r="BM902" s="4">
        <v>14.66</v>
      </c>
      <c r="BN902" s="4">
        <v>112.41</v>
      </c>
      <c r="BO902" s="4">
        <v>112.41</v>
      </c>
      <c r="BQ902" t="s">
        <v>109</v>
      </c>
      <c r="BR902" t="s">
        <v>84</v>
      </c>
      <c r="BS902" s="3">
        <v>43777</v>
      </c>
      <c r="BT902" s="5">
        <v>0.4375</v>
      </c>
      <c r="BU902" t="s">
        <v>264</v>
      </c>
      <c r="BV902" t="s">
        <v>86</v>
      </c>
      <c r="BY902">
        <v>1200</v>
      </c>
      <c r="CA902" t="s">
        <v>217</v>
      </c>
      <c r="CC902" t="s">
        <v>214</v>
      </c>
      <c r="CD902">
        <v>7646</v>
      </c>
      <c r="CE902" t="s">
        <v>147</v>
      </c>
      <c r="CF902" s="3">
        <v>43780</v>
      </c>
      <c r="CI902">
        <v>1</v>
      </c>
      <c r="CJ902">
        <v>1</v>
      </c>
      <c r="CK902">
        <v>23</v>
      </c>
      <c r="CL902" t="s">
        <v>89</v>
      </c>
    </row>
    <row r="903" spans="1:90">
      <c r="A903" t="s">
        <v>72</v>
      </c>
      <c r="B903" t="s">
        <v>73</v>
      </c>
      <c r="C903" t="s">
        <v>74</v>
      </c>
      <c r="E903" t="str">
        <f>"FES1162721904"</f>
        <v>FES1162721904</v>
      </c>
      <c r="F903" s="3">
        <v>43776</v>
      </c>
      <c r="G903">
        <v>202005</v>
      </c>
      <c r="H903" t="s">
        <v>75</v>
      </c>
      <c r="I903" t="s">
        <v>76</v>
      </c>
      <c r="J903" t="s">
        <v>77</v>
      </c>
      <c r="K903" t="s">
        <v>78</v>
      </c>
      <c r="L903" t="s">
        <v>106</v>
      </c>
      <c r="M903" t="s">
        <v>107</v>
      </c>
      <c r="N903" t="s">
        <v>850</v>
      </c>
      <c r="O903" t="s">
        <v>82</v>
      </c>
      <c r="P903" t="str">
        <f>"2170711752                    "</f>
        <v xml:space="preserve">2170711752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15.02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3.2</v>
      </c>
      <c r="BJ903">
        <v>1.5</v>
      </c>
      <c r="BK903">
        <v>3.5</v>
      </c>
      <c r="BL903" s="4">
        <v>88.27</v>
      </c>
      <c r="BM903" s="4">
        <v>13.24</v>
      </c>
      <c r="BN903" s="4">
        <v>101.51</v>
      </c>
      <c r="BO903" s="4">
        <v>101.51</v>
      </c>
      <c r="BQ903" t="s">
        <v>109</v>
      </c>
      <c r="BR903" t="s">
        <v>84</v>
      </c>
      <c r="BS903" s="3">
        <v>43777</v>
      </c>
      <c r="BT903" s="5">
        <v>0.39999999999999997</v>
      </c>
      <c r="BU903" t="s">
        <v>418</v>
      </c>
      <c r="BV903" t="s">
        <v>86</v>
      </c>
      <c r="BY903">
        <v>7439.04</v>
      </c>
      <c r="CA903" t="s">
        <v>111</v>
      </c>
      <c r="CC903" t="s">
        <v>107</v>
      </c>
      <c r="CD903">
        <v>6001</v>
      </c>
      <c r="CE903" t="s">
        <v>88</v>
      </c>
      <c r="CF903" s="3">
        <v>43780</v>
      </c>
      <c r="CI903">
        <v>1</v>
      </c>
      <c r="CJ903">
        <v>1</v>
      </c>
      <c r="CK903">
        <v>21</v>
      </c>
      <c r="CL903" t="s">
        <v>89</v>
      </c>
    </row>
    <row r="904" spans="1:90">
      <c r="A904" t="s">
        <v>72</v>
      </c>
      <c r="B904" t="s">
        <v>73</v>
      </c>
      <c r="C904" t="s">
        <v>74</v>
      </c>
      <c r="E904" t="str">
        <f>"FES1162721867"</f>
        <v>FES1162721867</v>
      </c>
      <c r="F904" s="3">
        <v>43776</v>
      </c>
      <c r="G904">
        <v>202005</v>
      </c>
      <c r="H904" t="s">
        <v>75</v>
      </c>
      <c r="I904" t="s">
        <v>76</v>
      </c>
      <c r="J904" t="s">
        <v>77</v>
      </c>
      <c r="K904" t="s">
        <v>78</v>
      </c>
      <c r="L904" t="s">
        <v>133</v>
      </c>
      <c r="M904" t="s">
        <v>134</v>
      </c>
      <c r="N904" t="s">
        <v>310</v>
      </c>
      <c r="O904" t="s">
        <v>82</v>
      </c>
      <c r="P904" t="str">
        <f>"2170716073                    "</f>
        <v xml:space="preserve">2170716073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55.76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7.3</v>
      </c>
      <c r="BJ904">
        <v>13</v>
      </c>
      <c r="BK904">
        <v>13</v>
      </c>
      <c r="BL904" s="4">
        <v>327.75</v>
      </c>
      <c r="BM904" s="4">
        <v>49.16</v>
      </c>
      <c r="BN904" s="4">
        <v>376.91</v>
      </c>
      <c r="BO904" s="4">
        <v>376.91</v>
      </c>
      <c r="BQ904" t="s">
        <v>121</v>
      </c>
      <c r="BR904" t="s">
        <v>84</v>
      </c>
      <c r="BS904" s="3">
        <v>43777</v>
      </c>
      <c r="BT904" s="5">
        <v>0.40625</v>
      </c>
      <c r="BU904" t="s">
        <v>1421</v>
      </c>
      <c r="BV904" t="s">
        <v>86</v>
      </c>
      <c r="BY904">
        <v>64977.46</v>
      </c>
      <c r="CA904" t="s">
        <v>1422</v>
      </c>
      <c r="CC904" t="s">
        <v>134</v>
      </c>
      <c r="CD904">
        <v>5201</v>
      </c>
      <c r="CE904" t="s">
        <v>88</v>
      </c>
      <c r="CF904" s="3">
        <v>43780</v>
      </c>
      <c r="CI904">
        <v>1</v>
      </c>
      <c r="CJ904">
        <v>1</v>
      </c>
      <c r="CK904">
        <v>21</v>
      </c>
      <c r="CL904" t="s">
        <v>89</v>
      </c>
    </row>
    <row r="905" spans="1:90">
      <c r="A905" t="s">
        <v>72</v>
      </c>
      <c r="B905" t="s">
        <v>73</v>
      </c>
      <c r="C905" t="s">
        <v>74</v>
      </c>
      <c r="E905" t="str">
        <f>"FES1162721741"</f>
        <v>FES1162721741</v>
      </c>
      <c r="F905" s="3">
        <v>43776</v>
      </c>
      <c r="G905">
        <v>202005</v>
      </c>
      <c r="H905" t="s">
        <v>75</v>
      </c>
      <c r="I905" t="s">
        <v>76</v>
      </c>
      <c r="J905" t="s">
        <v>77</v>
      </c>
      <c r="K905" t="s">
        <v>78</v>
      </c>
      <c r="L905" t="s">
        <v>75</v>
      </c>
      <c r="M905" t="s">
        <v>76</v>
      </c>
      <c r="N905" t="s">
        <v>1423</v>
      </c>
      <c r="O905" t="s">
        <v>82</v>
      </c>
      <c r="P905" t="str">
        <f>"2170713347                    "</f>
        <v xml:space="preserve">2170713347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6.71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 s="4">
        <v>39.42</v>
      </c>
      <c r="BM905" s="4">
        <v>5.91</v>
      </c>
      <c r="BN905" s="4">
        <v>45.33</v>
      </c>
      <c r="BO905" s="4">
        <v>45.33</v>
      </c>
      <c r="BQ905" t="s">
        <v>1424</v>
      </c>
      <c r="BR905" t="s">
        <v>84</v>
      </c>
      <c r="BS905" s="3">
        <v>43777</v>
      </c>
      <c r="BT905" s="5">
        <v>0.36180555555555555</v>
      </c>
      <c r="BU905" t="s">
        <v>1425</v>
      </c>
      <c r="BV905" t="s">
        <v>86</v>
      </c>
      <c r="BY905">
        <v>1200</v>
      </c>
      <c r="CA905" t="s">
        <v>198</v>
      </c>
      <c r="CC905" t="s">
        <v>76</v>
      </c>
      <c r="CD905">
        <v>1601</v>
      </c>
      <c r="CE905" t="s">
        <v>147</v>
      </c>
      <c r="CF905" s="3">
        <v>43780</v>
      </c>
      <c r="CI905">
        <v>1</v>
      </c>
      <c r="CJ905">
        <v>1</v>
      </c>
      <c r="CK905">
        <v>22</v>
      </c>
      <c r="CL905" t="s">
        <v>89</v>
      </c>
    </row>
    <row r="906" spans="1:90">
      <c r="A906" t="s">
        <v>72</v>
      </c>
      <c r="B906" t="s">
        <v>73</v>
      </c>
      <c r="C906" t="s">
        <v>74</v>
      </c>
      <c r="E906" t="str">
        <f>"FES1162721866"</f>
        <v>FES1162721866</v>
      </c>
      <c r="F906" s="3">
        <v>43776</v>
      </c>
      <c r="G906">
        <v>202005</v>
      </c>
      <c r="H906" t="s">
        <v>75</v>
      </c>
      <c r="I906" t="s">
        <v>76</v>
      </c>
      <c r="J906" t="s">
        <v>77</v>
      </c>
      <c r="K906" t="s">
        <v>78</v>
      </c>
      <c r="L906" t="s">
        <v>270</v>
      </c>
      <c r="M906" t="s">
        <v>271</v>
      </c>
      <c r="N906" t="s">
        <v>618</v>
      </c>
      <c r="O906" t="s">
        <v>82</v>
      </c>
      <c r="P906" t="str">
        <f>"2170716070                    "</f>
        <v xml:space="preserve">2170716070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8.58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 s="4">
        <v>50.45</v>
      </c>
      <c r="BM906" s="4">
        <v>7.57</v>
      </c>
      <c r="BN906" s="4">
        <v>58.02</v>
      </c>
      <c r="BO906" s="4">
        <v>58.02</v>
      </c>
      <c r="BQ906" t="s">
        <v>121</v>
      </c>
      <c r="BR906" t="s">
        <v>84</v>
      </c>
      <c r="BS906" s="3">
        <v>43777</v>
      </c>
      <c r="BT906" s="5">
        <v>0.33958333333333335</v>
      </c>
      <c r="BU906" t="s">
        <v>1426</v>
      </c>
      <c r="BV906" t="s">
        <v>86</v>
      </c>
      <c r="BY906">
        <v>1200</v>
      </c>
      <c r="CA906" t="s">
        <v>1427</v>
      </c>
      <c r="CC906" t="s">
        <v>271</v>
      </c>
      <c r="CD906">
        <v>6220</v>
      </c>
      <c r="CE906" t="s">
        <v>147</v>
      </c>
      <c r="CF906" s="3">
        <v>43780</v>
      </c>
      <c r="CI906">
        <v>1</v>
      </c>
      <c r="CJ906">
        <v>1</v>
      </c>
      <c r="CK906">
        <v>21</v>
      </c>
      <c r="CL906" t="s">
        <v>89</v>
      </c>
    </row>
    <row r="907" spans="1:90">
      <c r="A907" t="s">
        <v>72</v>
      </c>
      <c r="B907" t="s">
        <v>73</v>
      </c>
      <c r="C907" t="s">
        <v>74</v>
      </c>
      <c r="E907" t="str">
        <f>"FES1162721825"</f>
        <v>FES1162721825</v>
      </c>
      <c r="F907" s="3">
        <v>43776</v>
      </c>
      <c r="G907">
        <v>202005</v>
      </c>
      <c r="H907" t="s">
        <v>75</v>
      </c>
      <c r="I907" t="s">
        <v>76</v>
      </c>
      <c r="J907" t="s">
        <v>77</v>
      </c>
      <c r="K907" t="s">
        <v>78</v>
      </c>
      <c r="L907" t="s">
        <v>124</v>
      </c>
      <c r="M907" t="s">
        <v>125</v>
      </c>
      <c r="N907" t="s">
        <v>460</v>
      </c>
      <c r="O907" t="s">
        <v>82</v>
      </c>
      <c r="P907" t="str">
        <f>"2170712736                    "</f>
        <v xml:space="preserve">2170712736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19.559999999999999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10</v>
      </c>
      <c r="BJ907">
        <v>6</v>
      </c>
      <c r="BK907">
        <v>10</v>
      </c>
      <c r="BL907" s="4">
        <v>114.99</v>
      </c>
      <c r="BM907" s="4">
        <v>17.25</v>
      </c>
      <c r="BN907" s="4">
        <v>132.24</v>
      </c>
      <c r="BO907" s="4">
        <v>132.24</v>
      </c>
      <c r="BQ907" t="s">
        <v>121</v>
      </c>
      <c r="BR907" t="s">
        <v>84</v>
      </c>
      <c r="BS907" s="3">
        <v>43777</v>
      </c>
      <c r="BT907" s="5">
        <v>0.40902777777777777</v>
      </c>
      <c r="BU907" t="s">
        <v>1428</v>
      </c>
      <c r="BV907" t="s">
        <v>86</v>
      </c>
      <c r="BY907">
        <v>30104.27</v>
      </c>
      <c r="CA907" t="s">
        <v>123</v>
      </c>
      <c r="CC907" t="s">
        <v>125</v>
      </c>
      <c r="CD907">
        <v>2094</v>
      </c>
      <c r="CE907" t="s">
        <v>88</v>
      </c>
      <c r="CF907" s="3">
        <v>43780</v>
      </c>
      <c r="CI907">
        <v>1</v>
      </c>
      <c r="CJ907">
        <v>1</v>
      </c>
      <c r="CK907">
        <v>22</v>
      </c>
      <c r="CL907" t="s">
        <v>89</v>
      </c>
    </row>
    <row r="908" spans="1:90">
      <c r="A908" t="s">
        <v>72</v>
      </c>
      <c r="B908" t="s">
        <v>73</v>
      </c>
      <c r="C908" t="s">
        <v>74</v>
      </c>
      <c r="E908" t="str">
        <f>"FES1162721883"</f>
        <v>FES1162721883</v>
      </c>
      <c r="F908" s="3">
        <v>43776</v>
      </c>
      <c r="G908">
        <v>202005</v>
      </c>
      <c r="H908" t="s">
        <v>75</v>
      </c>
      <c r="I908" t="s">
        <v>76</v>
      </c>
      <c r="J908" t="s">
        <v>77</v>
      </c>
      <c r="K908" t="s">
        <v>78</v>
      </c>
      <c r="L908" t="s">
        <v>75</v>
      </c>
      <c r="M908" t="s">
        <v>76</v>
      </c>
      <c r="N908" t="s">
        <v>1429</v>
      </c>
      <c r="O908" t="s">
        <v>82</v>
      </c>
      <c r="P908" t="str">
        <f>"2170716083                    "</f>
        <v xml:space="preserve">2170716083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6.71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 s="4">
        <v>39.42</v>
      </c>
      <c r="BM908" s="4">
        <v>5.91</v>
      </c>
      <c r="BN908" s="4">
        <v>45.33</v>
      </c>
      <c r="BO908" s="4">
        <v>45.33</v>
      </c>
      <c r="BQ908" t="s">
        <v>109</v>
      </c>
      <c r="BR908" t="s">
        <v>84</v>
      </c>
      <c r="BS908" s="3">
        <v>43777</v>
      </c>
      <c r="BT908" s="5">
        <v>0.3298611111111111</v>
      </c>
      <c r="BU908" t="s">
        <v>1430</v>
      </c>
      <c r="BV908" t="s">
        <v>86</v>
      </c>
      <c r="BY908">
        <v>1200</v>
      </c>
      <c r="CA908" t="s">
        <v>238</v>
      </c>
      <c r="CC908" t="s">
        <v>76</v>
      </c>
      <c r="CD908">
        <v>1665</v>
      </c>
      <c r="CE908" t="s">
        <v>147</v>
      </c>
      <c r="CF908" s="3">
        <v>43780</v>
      </c>
      <c r="CI908">
        <v>1</v>
      </c>
      <c r="CJ908">
        <v>1</v>
      </c>
      <c r="CK908">
        <v>22</v>
      </c>
      <c r="CL908" t="s">
        <v>89</v>
      </c>
    </row>
    <row r="909" spans="1:90">
      <c r="A909" t="s">
        <v>72</v>
      </c>
      <c r="B909" t="s">
        <v>73</v>
      </c>
      <c r="C909" t="s">
        <v>74</v>
      </c>
      <c r="E909" t="str">
        <f>"FES1162721944"</f>
        <v>FES1162721944</v>
      </c>
      <c r="F909" s="3">
        <v>43776</v>
      </c>
      <c r="G909">
        <v>202005</v>
      </c>
      <c r="H909" t="s">
        <v>75</v>
      </c>
      <c r="I909" t="s">
        <v>76</v>
      </c>
      <c r="J909" t="s">
        <v>77</v>
      </c>
      <c r="K909" t="s">
        <v>78</v>
      </c>
      <c r="L909" t="s">
        <v>106</v>
      </c>
      <c r="M909" t="s">
        <v>107</v>
      </c>
      <c r="N909" t="s">
        <v>1431</v>
      </c>
      <c r="O909" t="s">
        <v>82</v>
      </c>
      <c r="P909" t="str">
        <f>"2170716140                    "</f>
        <v xml:space="preserve">2170716140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12.87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2.7</v>
      </c>
      <c r="BJ909">
        <v>2.2000000000000002</v>
      </c>
      <c r="BK909">
        <v>3</v>
      </c>
      <c r="BL909" s="4">
        <v>75.66</v>
      </c>
      <c r="BM909" s="4">
        <v>11.35</v>
      </c>
      <c r="BN909" s="4">
        <v>87.01</v>
      </c>
      <c r="BO909" s="4">
        <v>87.01</v>
      </c>
      <c r="BQ909" t="s">
        <v>121</v>
      </c>
      <c r="BR909" t="s">
        <v>84</v>
      </c>
      <c r="BS909" s="3">
        <v>43777</v>
      </c>
      <c r="BT909" s="5">
        <v>0.39305555555555555</v>
      </c>
      <c r="BU909" t="s">
        <v>1432</v>
      </c>
      <c r="BV909" t="s">
        <v>86</v>
      </c>
      <c r="BY909">
        <v>11056.82</v>
      </c>
      <c r="CA909" t="s">
        <v>111</v>
      </c>
      <c r="CC909" t="s">
        <v>107</v>
      </c>
      <c r="CD909">
        <v>6001</v>
      </c>
      <c r="CE909" t="s">
        <v>88</v>
      </c>
      <c r="CF909" s="3">
        <v>43780</v>
      </c>
      <c r="CI909">
        <v>1</v>
      </c>
      <c r="CJ909">
        <v>1</v>
      </c>
      <c r="CK909">
        <v>21</v>
      </c>
      <c r="CL909" t="s">
        <v>89</v>
      </c>
    </row>
    <row r="910" spans="1:90">
      <c r="A910" t="s">
        <v>72</v>
      </c>
      <c r="B910" t="s">
        <v>73</v>
      </c>
      <c r="C910" t="s">
        <v>74</v>
      </c>
      <c r="E910" t="str">
        <f>"FES1162721857"</f>
        <v>FES1162721857</v>
      </c>
      <c r="F910" s="3">
        <v>43776</v>
      </c>
      <c r="G910">
        <v>202005</v>
      </c>
      <c r="H910" t="s">
        <v>75</v>
      </c>
      <c r="I910" t="s">
        <v>76</v>
      </c>
      <c r="J910" t="s">
        <v>77</v>
      </c>
      <c r="K910" t="s">
        <v>78</v>
      </c>
      <c r="L910" t="s">
        <v>124</v>
      </c>
      <c r="M910" t="s">
        <v>125</v>
      </c>
      <c r="N910" t="s">
        <v>218</v>
      </c>
      <c r="O910" t="s">
        <v>82</v>
      </c>
      <c r="P910" t="str">
        <f>"2170716063                    "</f>
        <v xml:space="preserve">2170716063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6.71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 s="4">
        <v>39.42</v>
      </c>
      <c r="BM910" s="4">
        <v>5.91</v>
      </c>
      <c r="BN910" s="4">
        <v>45.33</v>
      </c>
      <c r="BO910" s="4">
        <v>45.33</v>
      </c>
      <c r="BQ910" t="s">
        <v>121</v>
      </c>
      <c r="BR910" t="s">
        <v>84</v>
      </c>
      <c r="BS910" s="3">
        <v>43777</v>
      </c>
      <c r="BT910" s="5">
        <v>0.43055555555555558</v>
      </c>
      <c r="BU910" t="s">
        <v>753</v>
      </c>
      <c r="BV910" t="s">
        <v>86</v>
      </c>
      <c r="BY910">
        <v>1200</v>
      </c>
      <c r="CA910" t="s">
        <v>123</v>
      </c>
      <c r="CC910" t="s">
        <v>125</v>
      </c>
      <c r="CD910">
        <v>2094</v>
      </c>
      <c r="CE910" t="s">
        <v>147</v>
      </c>
      <c r="CF910" s="3">
        <v>43780</v>
      </c>
      <c r="CI910">
        <v>1</v>
      </c>
      <c r="CJ910">
        <v>1</v>
      </c>
      <c r="CK910">
        <v>22</v>
      </c>
      <c r="CL910" t="s">
        <v>89</v>
      </c>
    </row>
    <row r="911" spans="1:90">
      <c r="A911" t="s">
        <v>72</v>
      </c>
      <c r="B911" t="s">
        <v>73</v>
      </c>
      <c r="C911" t="s">
        <v>74</v>
      </c>
      <c r="E911" t="str">
        <f>"FES1162721878"</f>
        <v>FES1162721878</v>
      </c>
      <c r="F911" s="3">
        <v>43776</v>
      </c>
      <c r="G911">
        <v>202005</v>
      </c>
      <c r="H911" t="s">
        <v>75</v>
      </c>
      <c r="I911" t="s">
        <v>76</v>
      </c>
      <c r="J911" t="s">
        <v>77</v>
      </c>
      <c r="K911" t="s">
        <v>78</v>
      </c>
      <c r="L911" t="s">
        <v>118</v>
      </c>
      <c r="M911" t="s">
        <v>119</v>
      </c>
      <c r="N911" t="s">
        <v>120</v>
      </c>
      <c r="O911" t="s">
        <v>82</v>
      </c>
      <c r="P911" t="str">
        <f>"2170713895                    "</f>
        <v xml:space="preserve">2170713895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40.75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9.4</v>
      </c>
      <c r="BJ911">
        <v>5</v>
      </c>
      <c r="BK911">
        <v>9.5</v>
      </c>
      <c r="BL911" s="4">
        <v>239.52</v>
      </c>
      <c r="BM911" s="4">
        <v>35.93</v>
      </c>
      <c r="BN911" s="4">
        <v>275.45</v>
      </c>
      <c r="BO911" s="4">
        <v>275.45</v>
      </c>
      <c r="BQ911" t="s">
        <v>121</v>
      </c>
      <c r="BR911" t="s">
        <v>84</v>
      </c>
      <c r="BS911" s="3">
        <v>43777</v>
      </c>
      <c r="BT911" s="5">
        <v>0.37152777777777773</v>
      </c>
      <c r="BU911" t="s">
        <v>1047</v>
      </c>
      <c r="BV911" t="s">
        <v>86</v>
      </c>
      <c r="BY911">
        <v>24870.14</v>
      </c>
      <c r="CA911" t="s">
        <v>435</v>
      </c>
      <c r="CC911" t="s">
        <v>119</v>
      </c>
      <c r="CD911">
        <v>3201</v>
      </c>
      <c r="CE911" t="s">
        <v>88</v>
      </c>
      <c r="CF911" s="3">
        <v>43780</v>
      </c>
      <c r="CI911">
        <v>1</v>
      </c>
      <c r="CJ911">
        <v>1</v>
      </c>
      <c r="CK911">
        <v>21</v>
      </c>
      <c r="CL911" t="s">
        <v>89</v>
      </c>
    </row>
    <row r="912" spans="1:90">
      <c r="A912" t="s">
        <v>72</v>
      </c>
      <c r="B912" t="s">
        <v>73</v>
      </c>
      <c r="C912" t="s">
        <v>74</v>
      </c>
      <c r="E912" t="str">
        <f>"FES1162721836"</f>
        <v>FES1162721836</v>
      </c>
      <c r="F912" s="3">
        <v>43776</v>
      </c>
      <c r="G912">
        <v>202005</v>
      </c>
      <c r="H912" t="s">
        <v>75</v>
      </c>
      <c r="I912" t="s">
        <v>76</v>
      </c>
      <c r="J912" t="s">
        <v>77</v>
      </c>
      <c r="K912" t="s">
        <v>78</v>
      </c>
      <c r="L912" t="s">
        <v>917</v>
      </c>
      <c r="M912" t="s">
        <v>918</v>
      </c>
      <c r="N912" t="s">
        <v>919</v>
      </c>
      <c r="O912" t="s">
        <v>82</v>
      </c>
      <c r="P912" t="str">
        <f>"2170716030                    "</f>
        <v xml:space="preserve">2170716030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12.07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1.9</v>
      </c>
      <c r="BJ912">
        <v>2</v>
      </c>
      <c r="BK912">
        <v>2</v>
      </c>
      <c r="BL912" s="4">
        <v>70.95</v>
      </c>
      <c r="BM912" s="4">
        <v>10.64</v>
      </c>
      <c r="BN912" s="4">
        <v>81.59</v>
      </c>
      <c r="BO912" s="4">
        <v>81.59</v>
      </c>
      <c r="BQ912" t="s">
        <v>109</v>
      </c>
      <c r="BR912" t="s">
        <v>84</v>
      </c>
      <c r="BS912" s="3">
        <v>43777</v>
      </c>
      <c r="BT912" s="5">
        <v>0.33333333333333331</v>
      </c>
      <c r="BU912" t="s">
        <v>295</v>
      </c>
      <c r="BV912" t="s">
        <v>86</v>
      </c>
      <c r="BY912">
        <v>10243.11</v>
      </c>
      <c r="CC912" t="s">
        <v>918</v>
      </c>
      <c r="CD912">
        <v>2210</v>
      </c>
      <c r="CE912" t="s">
        <v>88</v>
      </c>
      <c r="CF912" s="3">
        <v>43780</v>
      </c>
      <c r="CI912">
        <v>1</v>
      </c>
      <c r="CJ912">
        <v>1</v>
      </c>
      <c r="CK912">
        <v>24</v>
      </c>
      <c r="CL912" t="s">
        <v>89</v>
      </c>
    </row>
    <row r="913" spans="1:90">
      <c r="A913" t="s">
        <v>72</v>
      </c>
      <c r="B913" t="s">
        <v>73</v>
      </c>
      <c r="C913" t="s">
        <v>74</v>
      </c>
      <c r="E913" t="str">
        <f>"FES1162721879"</f>
        <v>FES1162721879</v>
      </c>
      <c r="F913" s="3">
        <v>43776</v>
      </c>
      <c r="G913">
        <v>202005</v>
      </c>
      <c r="H913" t="s">
        <v>75</v>
      </c>
      <c r="I913" t="s">
        <v>76</v>
      </c>
      <c r="J913" t="s">
        <v>77</v>
      </c>
      <c r="K913" t="s">
        <v>78</v>
      </c>
      <c r="L913" t="s">
        <v>192</v>
      </c>
      <c r="M913" t="s">
        <v>193</v>
      </c>
      <c r="N913" t="s">
        <v>194</v>
      </c>
      <c r="O913" t="s">
        <v>82</v>
      </c>
      <c r="P913" t="str">
        <f>"2170715373                    "</f>
        <v xml:space="preserve">2170715373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16.63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 s="4">
        <v>97.75</v>
      </c>
      <c r="BM913" s="4">
        <v>14.66</v>
      </c>
      <c r="BN913" s="4">
        <v>112.41</v>
      </c>
      <c r="BO913" s="4">
        <v>112.41</v>
      </c>
      <c r="BQ913" t="s">
        <v>109</v>
      </c>
      <c r="BR913" t="s">
        <v>84</v>
      </c>
      <c r="BS913" s="3">
        <v>43777</v>
      </c>
      <c r="BT913" s="5">
        <v>0.48541666666666666</v>
      </c>
      <c r="BU913" t="s">
        <v>195</v>
      </c>
      <c r="BV913" t="s">
        <v>86</v>
      </c>
      <c r="BY913">
        <v>1200</v>
      </c>
      <c r="CA913" t="s">
        <v>1364</v>
      </c>
      <c r="CC913" t="s">
        <v>193</v>
      </c>
      <c r="CD913">
        <v>7130</v>
      </c>
      <c r="CE913" t="s">
        <v>147</v>
      </c>
      <c r="CF913" s="3">
        <v>43780</v>
      </c>
      <c r="CI913">
        <v>1</v>
      </c>
      <c r="CJ913">
        <v>1</v>
      </c>
      <c r="CK913">
        <v>23</v>
      </c>
      <c r="CL913" t="s">
        <v>89</v>
      </c>
    </row>
    <row r="914" spans="1:90">
      <c r="A914" t="s">
        <v>72</v>
      </c>
      <c r="B914" t="s">
        <v>73</v>
      </c>
      <c r="C914" t="s">
        <v>74</v>
      </c>
      <c r="E914" t="str">
        <f>"FES1162721892"</f>
        <v>FES1162721892</v>
      </c>
      <c r="F914" s="3">
        <v>43776</v>
      </c>
      <c r="G914">
        <v>202005</v>
      </c>
      <c r="H914" t="s">
        <v>75</v>
      </c>
      <c r="I914" t="s">
        <v>76</v>
      </c>
      <c r="J914" t="s">
        <v>77</v>
      </c>
      <c r="K914" t="s">
        <v>78</v>
      </c>
      <c r="L914" t="s">
        <v>101</v>
      </c>
      <c r="M914" t="s">
        <v>102</v>
      </c>
      <c r="N914" t="s">
        <v>471</v>
      </c>
      <c r="O914" t="s">
        <v>82</v>
      </c>
      <c r="P914" t="str">
        <f>"2170713620                    "</f>
        <v xml:space="preserve">2170713620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8.58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1.9</v>
      </c>
      <c r="BJ914">
        <v>0.9</v>
      </c>
      <c r="BK914">
        <v>2</v>
      </c>
      <c r="BL914" s="4">
        <v>50.45</v>
      </c>
      <c r="BM914" s="4">
        <v>7.57</v>
      </c>
      <c r="BN914" s="4">
        <v>58.02</v>
      </c>
      <c r="BO914" s="4">
        <v>58.02</v>
      </c>
      <c r="BQ914" t="s">
        <v>142</v>
      </c>
      <c r="BR914" t="s">
        <v>84</v>
      </c>
      <c r="BS914" s="3">
        <v>43780</v>
      </c>
      <c r="BT914" s="5">
        <v>0.4201388888888889</v>
      </c>
      <c r="BU914" t="s">
        <v>1433</v>
      </c>
      <c r="BV914" t="s">
        <v>89</v>
      </c>
      <c r="BW914" t="s">
        <v>319</v>
      </c>
      <c r="BX914" t="s">
        <v>474</v>
      </c>
      <c r="BY914">
        <v>4287.79</v>
      </c>
      <c r="CA914" t="s">
        <v>183</v>
      </c>
      <c r="CC914" t="s">
        <v>102</v>
      </c>
      <c r="CD914">
        <v>200</v>
      </c>
      <c r="CE914" t="s">
        <v>88</v>
      </c>
      <c r="CF914" s="3">
        <v>43781</v>
      </c>
      <c r="CI914">
        <v>1</v>
      </c>
      <c r="CJ914">
        <v>2</v>
      </c>
      <c r="CK914">
        <v>21</v>
      </c>
      <c r="CL914" t="s">
        <v>89</v>
      </c>
    </row>
    <row r="915" spans="1:90">
      <c r="A915" t="s">
        <v>72</v>
      </c>
      <c r="B915" t="s">
        <v>73</v>
      </c>
      <c r="C915" t="s">
        <v>74</v>
      </c>
      <c r="E915" t="str">
        <f>"FES1162721410"</f>
        <v>FES1162721410</v>
      </c>
      <c r="F915" s="3">
        <v>43776</v>
      </c>
      <c r="G915">
        <v>202005</v>
      </c>
      <c r="H915" t="s">
        <v>75</v>
      </c>
      <c r="I915" t="s">
        <v>76</v>
      </c>
      <c r="J915" t="s">
        <v>77</v>
      </c>
      <c r="K915" t="s">
        <v>78</v>
      </c>
      <c r="L915" t="s">
        <v>118</v>
      </c>
      <c r="M915" t="s">
        <v>119</v>
      </c>
      <c r="N915" t="s">
        <v>1434</v>
      </c>
      <c r="O915" t="s">
        <v>82</v>
      </c>
      <c r="P915" t="str">
        <f>"2170711817                    "</f>
        <v xml:space="preserve">2170711817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45.04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2</v>
      </c>
      <c r="BI915">
        <v>10.4</v>
      </c>
      <c r="BJ915">
        <v>5.0999999999999996</v>
      </c>
      <c r="BK915">
        <v>10.5</v>
      </c>
      <c r="BL915" s="4">
        <v>264.73</v>
      </c>
      <c r="BM915" s="4">
        <v>39.71</v>
      </c>
      <c r="BN915" s="4">
        <v>304.44</v>
      </c>
      <c r="BO915" s="4">
        <v>304.44</v>
      </c>
      <c r="BQ915" t="s">
        <v>121</v>
      </c>
      <c r="BR915" t="s">
        <v>84</v>
      </c>
      <c r="BS915" s="3">
        <v>43777</v>
      </c>
      <c r="BT915" s="5">
        <v>0.43055555555555558</v>
      </c>
      <c r="BU915" t="s">
        <v>1435</v>
      </c>
      <c r="BV915" t="s">
        <v>86</v>
      </c>
      <c r="BY915">
        <v>25659.96</v>
      </c>
      <c r="CA915" t="s">
        <v>171</v>
      </c>
      <c r="CC915" t="s">
        <v>119</v>
      </c>
      <c r="CD915">
        <v>3201</v>
      </c>
      <c r="CE915" t="s">
        <v>88</v>
      </c>
      <c r="CF915" s="3">
        <v>43780</v>
      </c>
      <c r="CI915">
        <v>1</v>
      </c>
      <c r="CJ915">
        <v>1</v>
      </c>
      <c r="CK915">
        <v>21</v>
      </c>
      <c r="CL915" t="s">
        <v>89</v>
      </c>
    </row>
    <row r="916" spans="1:90">
      <c r="A916" t="s">
        <v>72</v>
      </c>
      <c r="B916" t="s">
        <v>73</v>
      </c>
      <c r="C916" t="s">
        <v>74</v>
      </c>
      <c r="E916" t="str">
        <f>"FES1162721856"</f>
        <v>FES1162721856</v>
      </c>
      <c r="F916" s="3">
        <v>43776</v>
      </c>
      <c r="G916">
        <v>202005</v>
      </c>
      <c r="H916" t="s">
        <v>75</v>
      </c>
      <c r="I916" t="s">
        <v>76</v>
      </c>
      <c r="J916" t="s">
        <v>77</v>
      </c>
      <c r="K916" t="s">
        <v>78</v>
      </c>
      <c r="L916" t="s">
        <v>124</v>
      </c>
      <c r="M916" t="s">
        <v>125</v>
      </c>
      <c r="N916" t="s">
        <v>1436</v>
      </c>
      <c r="O916" t="s">
        <v>82</v>
      </c>
      <c r="P916" t="str">
        <f>"2170716059                    "</f>
        <v xml:space="preserve">2170716059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6.71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 s="4">
        <v>39.42</v>
      </c>
      <c r="BM916" s="4">
        <v>5.91</v>
      </c>
      <c r="BN916" s="4">
        <v>45.33</v>
      </c>
      <c r="BO916" s="4">
        <v>45.33</v>
      </c>
      <c r="BQ916" t="s">
        <v>1437</v>
      </c>
      <c r="BR916" t="s">
        <v>84</v>
      </c>
      <c r="BS916" s="3">
        <v>43777</v>
      </c>
      <c r="BT916" s="5">
        <v>0.36736111111111108</v>
      </c>
      <c r="BU916" t="s">
        <v>1438</v>
      </c>
      <c r="BV916" t="s">
        <v>86</v>
      </c>
      <c r="BY916">
        <v>1200</v>
      </c>
      <c r="CC916" t="s">
        <v>125</v>
      </c>
      <c r="CD916">
        <v>2091</v>
      </c>
      <c r="CE916" t="s">
        <v>147</v>
      </c>
      <c r="CF916" s="3">
        <v>43780</v>
      </c>
      <c r="CI916">
        <v>1</v>
      </c>
      <c r="CJ916">
        <v>1</v>
      </c>
      <c r="CK916">
        <v>22</v>
      </c>
      <c r="CL916" t="s">
        <v>89</v>
      </c>
    </row>
    <row r="917" spans="1:90">
      <c r="A917" t="s">
        <v>72</v>
      </c>
      <c r="B917" t="s">
        <v>73</v>
      </c>
      <c r="C917" t="s">
        <v>74</v>
      </c>
      <c r="E917" t="str">
        <f>"FES1162721841"</f>
        <v>FES1162721841</v>
      </c>
      <c r="F917" s="3">
        <v>43776</v>
      </c>
      <c r="G917">
        <v>202005</v>
      </c>
      <c r="H917" t="s">
        <v>75</v>
      </c>
      <c r="I917" t="s">
        <v>76</v>
      </c>
      <c r="J917" t="s">
        <v>77</v>
      </c>
      <c r="K917" t="s">
        <v>78</v>
      </c>
      <c r="L917" t="s">
        <v>101</v>
      </c>
      <c r="M917" t="s">
        <v>102</v>
      </c>
      <c r="N917" t="s">
        <v>330</v>
      </c>
      <c r="O917" t="s">
        <v>82</v>
      </c>
      <c r="P917" t="str">
        <f>"2170716042                    "</f>
        <v xml:space="preserve">2170716042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8.58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1.8</v>
      </c>
      <c r="BJ917">
        <v>1.3</v>
      </c>
      <c r="BK917">
        <v>2</v>
      </c>
      <c r="BL917" s="4">
        <v>50.45</v>
      </c>
      <c r="BM917" s="4">
        <v>7.57</v>
      </c>
      <c r="BN917" s="4">
        <v>58.02</v>
      </c>
      <c r="BO917" s="4">
        <v>58.02</v>
      </c>
      <c r="BQ917" t="s">
        <v>109</v>
      </c>
      <c r="BR917" t="s">
        <v>84</v>
      </c>
      <c r="BS917" s="3">
        <v>43777</v>
      </c>
      <c r="BT917" s="5">
        <v>0.42291666666666666</v>
      </c>
      <c r="BU917" t="s">
        <v>1439</v>
      </c>
      <c r="BV917" t="s">
        <v>86</v>
      </c>
      <c r="BY917">
        <v>6283.2</v>
      </c>
      <c r="CC917" t="s">
        <v>102</v>
      </c>
      <c r="CD917">
        <v>200</v>
      </c>
      <c r="CE917" t="s">
        <v>88</v>
      </c>
      <c r="CI917">
        <v>1</v>
      </c>
      <c r="CJ917">
        <v>1</v>
      </c>
      <c r="CK917">
        <v>21</v>
      </c>
      <c r="CL917" t="s">
        <v>89</v>
      </c>
    </row>
    <row r="918" spans="1:90">
      <c r="A918" t="s">
        <v>72</v>
      </c>
      <c r="B918" t="s">
        <v>73</v>
      </c>
      <c r="C918" t="s">
        <v>74</v>
      </c>
      <c r="E918" t="str">
        <f>"FES1162721882"</f>
        <v>FES1162721882</v>
      </c>
      <c r="F918" s="3">
        <v>43776</v>
      </c>
      <c r="G918">
        <v>202005</v>
      </c>
      <c r="H918" t="s">
        <v>75</v>
      </c>
      <c r="I918" t="s">
        <v>76</v>
      </c>
      <c r="J918" t="s">
        <v>77</v>
      </c>
      <c r="K918" t="s">
        <v>78</v>
      </c>
      <c r="L918" t="s">
        <v>202</v>
      </c>
      <c r="M918" t="s">
        <v>203</v>
      </c>
      <c r="N918" t="s">
        <v>1440</v>
      </c>
      <c r="O918" t="s">
        <v>82</v>
      </c>
      <c r="P918" t="str">
        <f>"2170716082                    "</f>
        <v xml:space="preserve">2170716082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6.71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 s="4">
        <v>39.42</v>
      </c>
      <c r="BM918" s="4">
        <v>5.91</v>
      </c>
      <c r="BN918" s="4">
        <v>45.33</v>
      </c>
      <c r="BO918" s="4">
        <v>45.33</v>
      </c>
      <c r="BQ918" t="s">
        <v>109</v>
      </c>
      <c r="BR918" t="s">
        <v>84</v>
      </c>
      <c r="BS918" s="3">
        <v>43777</v>
      </c>
      <c r="BT918" s="5">
        <v>0.40972222222222227</v>
      </c>
      <c r="BU918" t="s">
        <v>1441</v>
      </c>
      <c r="BV918" t="s">
        <v>86</v>
      </c>
      <c r="BY918">
        <v>1200</v>
      </c>
      <c r="CC918" t="s">
        <v>203</v>
      </c>
      <c r="CD918">
        <v>1428</v>
      </c>
      <c r="CE918" t="s">
        <v>147</v>
      </c>
      <c r="CF918" s="3">
        <v>43780</v>
      </c>
      <c r="CI918">
        <v>1</v>
      </c>
      <c r="CJ918">
        <v>1</v>
      </c>
      <c r="CK918">
        <v>22</v>
      </c>
      <c r="CL918" t="s">
        <v>89</v>
      </c>
    </row>
    <row r="919" spans="1:90">
      <c r="A919" t="s">
        <v>72</v>
      </c>
      <c r="B919" t="s">
        <v>73</v>
      </c>
      <c r="C919" t="s">
        <v>74</v>
      </c>
      <c r="E919" t="str">
        <f>"FES1162721880"</f>
        <v>FES1162721880</v>
      </c>
      <c r="F919" s="3">
        <v>43776</v>
      </c>
      <c r="G919">
        <v>202005</v>
      </c>
      <c r="H919" t="s">
        <v>75</v>
      </c>
      <c r="I919" t="s">
        <v>76</v>
      </c>
      <c r="J919" t="s">
        <v>77</v>
      </c>
      <c r="K919" t="s">
        <v>78</v>
      </c>
      <c r="L919" t="s">
        <v>133</v>
      </c>
      <c r="M919" t="s">
        <v>134</v>
      </c>
      <c r="N919" t="s">
        <v>310</v>
      </c>
      <c r="O919" t="s">
        <v>82</v>
      </c>
      <c r="P919" t="str">
        <f>"2170715561                    "</f>
        <v xml:space="preserve">2170715561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8.58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1.6</v>
      </c>
      <c r="BJ919">
        <v>1.2</v>
      </c>
      <c r="BK919">
        <v>2</v>
      </c>
      <c r="BL919" s="4">
        <v>50.45</v>
      </c>
      <c r="BM919" s="4">
        <v>7.57</v>
      </c>
      <c r="BN919" s="4">
        <v>58.02</v>
      </c>
      <c r="BO919" s="4">
        <v>58.02</v>
      </c>
      <c r="BQ919" t="s">
        <v>121</v>
      </c>
      <c r="BR919" t="s">
        <v>84</v>
      </c>
      <c r="BS919" s="3">
        <v>43777</v>
      </c>
      <c r="BT919" s="5">
        <v>0.3611111111111111</v>
      </c>
      <c r="BU919" t="s">
        <v>1421</v>
      </c>
      <c r="BV919" t="s">
        <v>86</v>
      </c>
      <c r="BY919">
        <v>6077.57</v>
      </c>
      <c r="CA919" t="s">
        <v>1422</v>
      </c>
      <c r="CC919" t="s">
        <v>134</v>
      </c>
      <c r="CD919">
        <v>5201</v>
      </c>
      <c r="CE919" t="s">
        <v>88</v>
      </c>
      <c r="CF919" s="3">
        <v>43780</v>
      </c>
      <c r="CI919">
        <v>1</v>
      </c>
      <c r="CJ919">
        <v>1</v>
      </c>
      <c r="CK919">
        <v>21</v>
      </c>
      <c r="CL919" t="s">
        <v>89</v>
      </c>
    </row>
    <row r="920" spans="1:90">
      <c r="A920" t="s">
        <v>72</v>
      </c>
      <c r="B920" t="s">
        <v>73</v>
      </c>
      <c r="C920" t="s">
        <v>74</v>
      </c>
      <c r="E920" t="str">
        <f>"FES1162721919"</f>
        <v>FES1162721919</v>
      </c>
      <c r="F920" s="3">
        <v>43776</v>
      </c>
      <c r="G920">
        <v>202005</v>
      </c>
      <c r="H920" t="s">
        <v>75</v>
      </c>
      <c r="I920" t="s">
        <v>76</v>
      </c>
      <c r="J920" t="s">
        <v>77</v>
      </c>
      <c r="K920" t="s">
        <v>78</v>
      </c>
      <c r="L920" t="s">
        <v>214</v>
      </c>
      <c r="M920" t="s">
        <v>214</v>
      </c>
      <c r="N920" t="s">
        <v>314</v>
      </c>
      <c r="O920" t="s">
        <v>82</v>
      </c>
      <c r="P920" t="str">
        <f>"2170716112                    "</f>
        <v xml:space="preserve">2170716112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57.94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5.6</v>
      </c>
      <c r="BJ920">
        <v>7.1</v>
      </c>
      <c r="BK920">
        <v>7.5</v>
      </c>
      <c r="BL920" s="4">
        <v>340.58</v>
      </c>
      <c r="BM920" s="4">
        <v>51.09</v>
      </c>
      <c r="BN920" s="4">
        <v>391.67</v>
      </c>
      <c r="BO920" s="4">
        <v>391.67</v>
      </c>
      <c r="BQ920" t="s">
        <v>109</v>
      </c>
      <c r="BR920" t="s">
        <v>84</v>
      </c>
      <c r="BS920" s="3">
        <v>43777</v>
      </c>
      <c r="BT920" s="5">
        <v>0.4375</v>
      </c>
      <c r="BU920" t="s">
        <v>1343</v>
      </c>
      <c r="BV920" t="s">
        <v>86</v>
      </c>
      <c r="BY920">
        <v>35611.46</v>
      </c>
      <c r="CA920" t="s">
        <v>217</v>
      </c>
      <c r="CC920" t="s">
        <v>214</v>
      </c>
      <c r="CD920">
        <v>7646</v>
      </c>
      <c r="CE920" t="s">
        <v>88</v>
      </c>
      <c r="CF920" s="3">
        <v>43780</v>
      </c>
      <c r="CI920">
        <v>1</v>
      </c>
      <c r="CJ920">
        <v>1</v>
      </c>
      <c r="CK920">
        <v>23</v>
      </c>
      <c r="CL920" t="s">
        <v>89</v>
      </c>
    </row>
    <row r="921" spans="1:90">
      <c r="A921" t="s">
        <v>72</v>
      </c>
      <c r="B921" t="s">
        <v>73</v>
      </c>
      <c r="C921" t="s">
        <v>74</v>
      </c>
      <c r="E921" t="str">
        <f>"FES1162721816"</f>
        <v>FES1162721816</v>
      </c>
      <c r="F921" s="3">
        <v>43776</v>
      </c>
      <c r="G921">
        <v>202005</v>
      </c>
      <c r="H921" t="s">
        <v>75</v>
      </c>
      <c r="I921" t="s">
        <v>76</v>
      </c>
      <c r="J921" t="s">
        <v>77</v>
      </c>
      <c r="K921" t="s">
        <v>78</v>
      </c>
      <c r="L921" t="s">
        <v>482</v>
      </c>
      <c r="M921" t="s">
        <v>483</v>
      </c>
      <c r="N921" t="s">
        <v>1442</v>
      </c>
      <c r="O921" t="s">
        <v>82</v>
      </c>
      <c r="P921" t="str">
        <f>"2170715988                    "</f>
        <v xml:space="preserve">2170715988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9.1199999999999992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3.4</v>
      </c>
      <c r="BJ921">
        <v>1.2</v>
      </c>
      <c r="BK921">
        <v>3.5</v>
      </c>
      <c r="BL921" s="4">
        <v>53.59</v>
      </c>
      <c r="BM921" s="4">
        <v>8.0399999999999991</v>
      </c>
      <c r="BN921" s="4">
        <v>61.63</v>
      </c>
      <c r="BO921" s="4">
        <v>61.63</v>
      </c>
      <c r="BQ921" t="s">
        <v>121</v>
      </c>
      <c r="BR921" t="s">
        <v>84</v>
      </c>
      <c r="BS921" s="3">
        <v>43777</v>
      </c>
      <c r="BT921" s="5">
        <v>0.25972222222222224</v>
      </c>
      <c r="BU921" t="s">
        <v>1443</v>
      </c>
      <c r="BV921" t="s">
        <v>86</v>
      </c>
      <c r="BY921">
        <v>5921.71</v>
      </c>
      <c r="CA921" t="s">
        <v>1336</v>
      </c>
      <c r="CC921" t="s">
        <v>483</v>
      </c>
      <c r="CD921">
        <v>1460</v>
      </c>
      <c r="CE921" t="s">
        <v>88</v>
      </c>
      <c r="CF921" s="3">
        <v>43780</v>
      </c>
      <c r="CI921">
        <v>1</v>
      </c>
      <c r="CJ921">
        <v>1</v>
      </c>
      <c r="CK921">
        <v>22</v>
      </c>
      <c r="CL921" t="s">
        <v>89</v>
      </c>
    </row>
    <row r="922" spans="1:90">
      <c r="A922" t="s">
        <v>72</v>
      </c>
      <c r="B922" t="s">
        <v>73</v>
      </c>
      <c r="C922" t="s">
        <v>74</v>
      </c>
      <c r="E922" t="str">
        <f>"FES1162721895"</f>
        <v>FES1162721895</v>
      </c>
      <c r="F922" s="3">
        <v>43776</v>
      </c>
      <c r="G922">
        <v>202005</v>
      </c>
      <c r="H922" t="s">
        <v>75</v>
      </c>
      <c r="I922" t="s">
        <v>76</v>
      </c>
      <c r="J922" t="s">
        <v>77</v>
      </c>
      <c r="K922" t="s">
        <v>78</v>
      </c>
      <c r="L922" t="s">
        <v>106</v>
      </c>
      <c r="M922" t="s">
        <v>107</v>
      </c>
      <c r="N922" t="s">
        <v>1401</v>
      </c>
      <c r="O922" t="s">
        <v>82</v>
      </c>
      <c r="P922" t="str">
        <f>"2170715026                    "</f>
        <v xml:space="preserve">2170715026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8.58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 s="4">
        <v>50.45</v>
      </c>
      <c r="BM922" s="4">
        <v>7.57</v>
      </c>
      <c r="BN922" s="4">
        <v>58.02</v>
      </c>
      <c r="BO922" s="4">
        <v>58.02</v>
      </c>
      <c r="BQ922" t="s">
        <v>109</v>
      </c>
      <c r="BR922" t="s">
        <v>84</v>
      </c>
      <c r="BS922" s="3">
        <v>43777</v>
      </c>
      <c r="BT922" s="5">
        <v>0.38541666666666669</v>
      </c>
      <c r="BU922" t="s">
        <v>1402</v>
      </c>
      <c r="BV922" t="s">
        <v>86</v>
      </c>
      <c r="BY922">
        <v>1200</v>
      </c>
      <c r="CA922" t="s">
        <v>87</v>
      </c>
      <c r="CC922" t="s">
        <v>107</v>
      </c>
      <c r="CD922">
        <v>6001</v>
      </c>
      <c r="CE922" t="s">
        <v>147</v>
      </c>
      <c r="CF922" s="3">
        <v>43780</v>
      </c>
      <c r="CI922">
        <v>1</v>
      </c>
      <c r="CJ922">
        <v>1</v>
      </c>
      <c r="CK922">
        <v>21</v>
      </c>
      <c r="CL922" t="s">
        <v>89</v>
      </c>
    </row>
    <row r="923" spans="1:90">
      <c r="A923" t="s">
        <v>72</v>
      </c>
      <c r="B923" t="s">
        <v>73</v>
      </c>
      <c r="C923" t="s">
        <v>74</v>
      </c>
      <c r="E923" t="str">
        <f>"FES1162721847"</f>
        <v>FES1162721847</v>
      </c>
      <c r="F923" s="3">
        <v>43776</v>
      </c>
      <c r="G923">
        <v>202005</v>
      </c>
      <c r="H923" t="s">
        <v>75</v>
      </c>
      <c r="I923" t="s">
        <v>76</v>
      </c>
      <c r="J923" t="s">
        <v>77</v>
      </c>
      <c r="K923" t="s">
        <v>78</v>
      </c>
      <c r="L923" t="s">
        <v>118</v>
      </c>
      <c r="M923" t="s">
        <v>119</v>
      </c>
      <c r="N923" t="s">
        <v>130</v>
      </c>
      <c r="O923" t="s">
        <v>82</v>
      </c>
      <c r="P923" t="str">
        <f>"2170716049                    "</f>
        <v xml:space="preserve">2170716049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8.58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 s="4">
        <v>50.45</v>
      </c>
      <c r="BM923" s="4">
        <v>7.57</v>
      </c>
      <c r="BN923" s="4">
        <v>58.02</v>
      </c>
      <c r="BO923" s="4">
        <v>58.02</v>
      </c>
      <c r="BQ923" t="s">
        <v>109</v>
      </c>
      <c r="BR923" t="s">
        <v>84</v>
      </c>
      <c r="BS923" s="3">
        <v>43777</v>
      </c>
      <c r="BT923" s="5">
        <v>0.4368055555555555</v>
      </c>
      <c r="BU923" t="s">
        <v>1444</v>
      </c>
      <c r="BV923" t="s">
        <v>86</v>
      </c>
      <c r="BY923">
        <v>1200</v>
      </c>
      <c r="CA923" t="s">
        <v>441</v>
      </c>
      <c r="CC923" t="s">
        <v>119</v>
      </c>
      <c r="CD923">
        <v>3201</v>
      </c>
      <c r="CE923" t="s">
        <v>147</v>
      </c>
      <c r="CF923" s="3">
        <v>43780</v>
      </c>
      <c r="CI923">
        <v>1</v>
      </c>
      <c r="CJ923">
        <v>1</v>
      </c>
      <c r="CK923">
        <v>21</v>
      </c>
      <c r="CL923" t="s">
        <v>89</v>
      </c>
    </row>
    <row r="924" spans="1:90">
      <c r="A924" t="s">
        <v>72</v>
      </c>
      <c r="B924" t="s">
        <v>73</v>
      </c>
      <c r="C924" t="s">
        <v>74</v>
      </c>
      <c r="E924" t="str">
        <f>"FES1162721865"</f>
        <v>FES1162721865</v>
      </c>
      <c r="F924" s="3">
        <v>43776</v>
      </c>
      <c r="G924">
        <v>202005</v>
      </c>
      <c r="H924" t="s">
        <v>75</v>
      </c>
      <c r="I924" t="s">
        <v>76</v>
      </c>
      <c r="J924" t="s">
        <v>77</v>
      </c>
      <c r="K924" t="s">
        <v>78</v>
      </c>
      <c r="L924" t="s">
        <v>112</v>
      </c>
      <c r="M924" t="s">
        <v>113</v>
      </c>
      <c r="N924" t="s">
        <v>1445</v>
      </c>
      <c r="O924" t="s">
        <v>82</v>
      </c>
      <c r="P924" t="str">
        <f>"2170716069                    "</f>
        <v xml:space="preserve">2170716069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8.58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 s="4">
        <v>50.45</v>
      </c>
      <c r="BM924" s="4">
        <v>7.57</v>
      </c>
      <c r="BN924" s="4">
        <v>58.02</v>
      </c>
      <c r="BO924" s="4">
        <v>58.02</v>
      </c>
      <c r="BR924" t="s">
        <v>84</v>
      </c>
      <c r="BS924" s="3">
        <v>43777</v>
      </c>
      <c r="BT924" s="5">
        <v>0.4375</v>
      </c>
      <c r="BU924" t="s">
        <v>1446</v>
      </c>
      <c r="BV924" t="s">
        <v>86</v>
      </c>
      <c r="BY924">
        <v>1200</v>
      </c>
      <c r="CC924" t="s">
        <v>113</v>
      </c>
      <c r="CD924">
        <v>4156</v>
      </c>
      <c r="CE924" t="s">
        <v>147</v>
      </c>
      <c r="CF924" s="3">
        <v>43780</v>
      </c>
      <c r="CI924">
        <v>1</v>
      </c>
      <c r="CJ924">
        <v>1</v>
      </c>
      <c r="CK924">
        <v>21</v>
      </c>
      <c r="CL924" t="s">
        <v>89</v>
      </c>
    </row>
    <row r="925" spans="1:90">
      <c r="A925" t="s">
        <v>72</v>
      </c>
      <c r="B925" t="s">
        <v>73</v>
      </c>
      <c r="C925" t="s">
        <v>74</v>
      </c>
      <c r="E925" t="str">
        <f>"FES1162721864"</f>
        <v>FES1162721864</v>
      </c>
      <c r="F925" s="3">
        <v>43776</v>
      </c>
      <c r="G925">
        <v>202005</v>
      </c>
      <c r="H925" t="s">
        <v>75</v>
      </c>
      <c r="I925" t="s">
        <v>76</v>
      </c>
      <c r="J925" t="s">
        <v>77</v>
      </c>
      <c r="K925" t="s">
        <v>78</v>
      </c>
      <c r="L925" t="s">
        <v>176</v>
      </c>
      <c r="M925" t="s">
        <v>177</v>
      </c>
      <c r="N925" t="s">
        <v>600</v>
      </c>
      <c r="O925" t="s">
        <v>82</v>
      </c>
      <c r="P925" t="str">
        <f>"2170716067                    "</f>
        <v xml:space="preserve">2170716067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8.58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 s="4">
        <v>50.45</v>
      </c>
      <c r="BM925" s="4">
        <v>7.57</v>
      </c>
      <c r="BN925" s="4">
        <v>58.02</v>
      </c>
      <c r="BO925" s="4">
        <v>58.02</v>
      </c>
      <c r="BQ925" t="s">
        <v>109</v>
      </c>
      <c r="BR925" t="s">
        <v>84</v>
      </c>
      <c r="BS925" s="3">
        <v>43777</v>
      </c>
      <c r="BT925" s="5">
        <v>0.32291666666666669</v>
      </c>
      <c r="BU925" t="s">
        <v>601</v>
      </c>
      <c r="BV925" t="s">
        <v>86</v>
      </c>
      <c r="BY925">
        <v>1200</v>
      </c>
      <c r="CA925" t="s">
        <v>224</v>
      </c>
      <c r="CC925" t="s">
        <v>177</v>
      </c>
      <c r="CD925">
        <v>3610</v>
      </c>
      <c r="CE925" t="s">
        <v>147</v>
      </c>
      <c r="CF925" s="3">
        <v>43780</v>
      </c>
      <c r="CI925">
        <v>1</v>
      </c>
      <c r="CJ925">
        <v>1</v>
      </c>
      <c r="CK925">
        <v>21</v>
      </c>
      <c r="CL925" t="s">
        <v>89</v>
      </c>
    </row>
    <row r="926" spans="1:90">
      <c r="A926" t="s">
        <v>72</v>
      </c>
      <c r="B926" t="s">
        <v>73</v>
      </c>
      <c r="C926" t="s">
        <v>74</v>
      </c>
      <c r="E926" t="str">
        <f>"FES1162721881"</f>
        <v>FES1162721881</v>
      </c>
      <c r="F926" s="3">
        <v>43776</v>
      </c>
      <c r="G926">
        <v>202005</v>
      </c>
      <c r="H926" t="s">
        <v>75</v>
      </c>
      <c r="I926" t="s">
        <v>76</v>
      </c>
      <c r="J926" t="s">
        <v>77</v>
      </c>
      <c r="K926" t="s">
        <v>78</v>
      </c>
      <c r="L926" t="s">
        <v>79</v>
      </c>
      <c r="M926" t="s">
        <v>80</v>
      </c>
      <c r="N926" t="s">
        <v>1447</v>
      </c>
      <c r="O926" t="s">
        <v>82</v>
      </c>
      <c r="P926" t="str">
        <f>"2170715741                    "</f>
        <v xml:space="preserve">2170715741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8.58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 s="4">
        <v>50.45</v>
      </c>
      <c r="BM926" s="4">
        <v>7.57</v>
      </c>
      <c r="BN926" s="4">
        <v>58.02</v>
      </c>
      <c r="BO926" s="4">
        <v>58.02</v>
      </c>
      <c r="BQ926" t="s">
        <v>109</v>
      </c>
      <c r="BR926" t="s">
        <v>84</v>
      </c>
      <c r="BS926" s="3">
        <v>43777</v>
      </c>
      <c r="BT926" s="5">
        <v>0.34375</v>
      </c>
      <c r="BU926" t="s">
        <v>85</v>
      </c>
      <c r="BV926" t="s">
        <v>86</v>
      </c>
      <c r="BY926">
        <v>1200</v>
      </c>
      <c r="CA926" t="s">
        <v>87</v>
      </c>
      <c r="CC926" t="s">
        <v>80</v>
      </c>
      <c r="CD926">
        <v>6230</v>
      </c>
      <c r="CE926" t="s">
        <v>147</v>
      </c>
      <c r="CF926" s="3">
        <v>43780</v>
      </c>
      <c r="CI926">
        <v>1</v>
      </c>
      <c r="CJ926">
        <v>1</v>
      </c>
      <c r="CK926">
        <v>21</v>
      </c>
      <c r="CL926" t="s">
        <v>89</v>
      </c>
    </row>
    <row r="927" spans="1:90">
      <c r="A927" t="s">
        <v>72</v>
      </c>
      <c r="B927" t="s">
        <v>73</v>
      </c>
      <c r="C927" t="s">
        <v>74</v>
      </c>
      <c r="E927" t="str">
        <f>"FES1162721924"</f>
        <v>FES1162721924</v>
      </c>
      <c r="F927" s="3">
        <v>43776</v>
      </c>
      <c r="G927">
        <v>202005</v>
      </c>
      <c r="H927" t="s">
        <v>75</v>
      </c>
      <c r="I927" t="s">
        <v>76</v>
      </c>
      <c r="J927" t="s">
        <v>77</v>
      </c>
      <c r="K927" t="s">
        <v>78</v>
      </c>
      <c r="L927" t="s">
        <v>106</v>
      </c>
      <c r="M927" t="s">
        <v>107</v>
      </c>
      <c r="N927" t="s">
        <v>1448</v>
      </c>
      <c r="O927" t="s">
        <v>82</v>
      </c>
      <c r="P927" t="str">
        <f>"2170716122                    "</f>
        <v xml:space="preserve">2170716122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8.58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 s="4">
        <v>50.45</v>
      </c>
      <c r="BM927" s="4">
        <v>7.57</v>
      </c>
      <c r="BN927" s="4">
        <v>58.02</v>
      </c>
      <c r="BO927" s="4">
        <v>58.02</v>
      </c>
      <c r="BQ927" t="s">
        <v>121</v>
      </c>
      <c r="BR927" t="s">
        <v>84</v>
      </c>
      <c r="BS927" s="3">
        <v>43777</v>
      </c>
      <c r="BT927" s="5">
        <v>0.36458333333333331</v>
      </c>
      <c r="BU927" t="s">
        <v>1449</v>
      </c>
      <c r="BV927" t="s">
        <v>86</v>
      </c>
      <c r="BY927">
        <v>1200</v>
      </c>
      <c r="CA927" t="s">
        <v>244</v>
      </c>
      <c r="CC927" t="s">
        <v>107</v>
      </c>
      <c r="CD927">
        <v>6045</v>
      </c>
      <c r="CE927" t="s">
        <v>147</v>
      </c>
      <c r="CF927" s="3">
        <v>43780</v>
      </c>
      <c r="CI927">
        <v>1</v>
      </c>
      <c r="CJ927">
        <v>1</v>
      </c>
      <c r="CK927">
        <v>21</v>
      </c>
      <c r="CL927" t="s">
        <v>89</v>
      </c>
    </row>
    <row r="928" spans="1:90">
      <c r="A928" t="s">
        <v>72</v>
      </c>
      <c r="B928" t="s">
        <v>73</v>
      </c>
      <c r="C928" t="s">
        <v>74</v>
      </c>
      <c r="E928" t="str">
        <f>"FES1162721840"</f>
        <v>FES1162721840</v>
      </c>
      <c r="F928" s="3">
        <v>43776</v>
      </c>
      <c r="G928">
        <v>202005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1450</v>
      </c>
      <c r="O928" t="s">
        <v>82</v>
      </c>
      <c r="P928" t="str">
        <f>"2170716041                    "</f>
        <v xml:space="preserve">2170716041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6.71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 s="4">
        <v>39.42</v>
      </c>
      <c r="BM928" s="4">
        <v>5.91</v>
      </c>
      <c r="BN928" s="4">
        <v>45.33</v>
      </c>
      <c r="BO928" s="4">
        <v>45.33</v>
      </c>
      <c r="BR928" t="s">
        <v>84</v>
      </c>
      <c r="BS928" s="3">
        <v>43777</v>
      </c>
      <c r="BT928" s="5">
        <v>0.42708333333333331</v>
      </c>
      <c r="BU928" t="s">
        <v>1451</v>
      </c>
      <c r="BV928" t="s">
        <v>86</v>
      </c>
      <c r="BY928">
        <v>1200</v>
      </c>
      <c r="CA928" t="s">
        <v>198</v>
      </c>
      <c r="CC928" t="s">
        <v>76</v>
      </c>
      <c r="CD928">
        <v>1600</v>
      </c>
      <c r="CE928" t="s">
        <v>147</v>
      </c>
      <c r="CF928" s="3">
        <v>43780</v>
      </c>
      <c r="CI928">
        <v>1</v>
      </c>
      <c r="CJ928">
        <v>1</v>
      </c>
      <c r="CK928">
        <v>22</v>
      </c>
      <c r="CL928" t="s">
        <v>89</v>
      </c>
    </row>
    <row r="929" spans="1:90">
      <c r="A929" t="s">
        <v>72</v>
      </c>
      <c r="B929" t="s">
        <v>73</v>
      </c>
      <c r="C929" t="s">
        <v>74</v>
      </c>
      <c r="E929" t="str">
        <f>"FES1162721913"</f>
        <v>FES1162721913</v>
      </c>
      <c r="F929" s="3">
        <v>43776</v>
      </c>
      <c r="G929">
        <v>202005</v>
      </c>
      <c r="H929" t="s">
        <v>75</v>
      </c>
      <c r="I929" t="s">
        <v>76</v>
      </c>
      <c r="J929" t="s">
        <v>77</v>
      </c>
      <c r="K929" t="s">
        <v>78</v>
      </c>
      <c r="L929" t="s">
        <v>106</v>
      </c>
      <c r="M929" t="s">
        <v>107</v>
      </c>
      <c r="N929" t="s">
        <v>150</v>
      </c>
      <c r="O929" t="s">
        <v>82</v>
      </c>
      <c r="P929" t="str">
        <f>"2170716103                    "</f>
        <v xml:space="preserve">2170716103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8.58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 s="4">
        <v>50.45</v>
      </c>
      <c r="BM929" s="4">
        <v>7.57</v>
      </c>
      <c r="BN929" s="4">
        <v>58.02</v>
      </c>
      <c r="BO929" s="4">
        <v>58.02</v>
      </c>
      <c r="BQ929" t="s">
        <v>109</v>
      </c>
      <c r="BR929" t="s">
        <v>84</v>
      </c>
      <c r="BS929" s="3">
        <v>43777</v>
      </c>
      <c r="BT929" s="5">
        <v>0.40277777777777773</v>
      </c>
      <c r="BU929" t="s">
        <v>151</v>
      </c>
      <c r="BV929" t="s">
        <v>86</v>
      </c>
      <c r="BY929">
        <v>1200</v>
      </c>
      <c r="CA929" t="s">
        <v>111</v>
      </c>
      <c r="CC929" t="s">
        <v>107</v>
      </c>
      <c r="CD929">
        <v>6001</v>
      </c>
      <c r="CE929" t="s">
        <v>147</v>
      </c>
      <c r="CF929" s="3">
        <v>43780</v>
      </c>
      <c r="CI929">
        <v>1</v>
      </c>
      <c r="CJ929">
        <v>1</v>
      </c>
      <c r="CK929">
        <v>21</v>
      </c>
      <c r="CL929" t="s">
        <v>89</v>
      </c>
    </row>
    <row r="930" spans="1:90">
      <c r="A930" t="s">
        <v>72</v>
      </c>
      <c r="B930" t="s">
        <v>73</v>
      </c>
      <c r="C930" t="s">
        <v>74</v>
      </c>
      <c r="E930" t="str">
        <f>"FES1162721834"</f>
        <v>FES1162721834</v>
      </c>
      <c r="F930" s="3">
        <v>43776</v>
      </c>
      <c r="G930">
        <v>202005</v>
      </c>
      <c r="H930" t="s">
        <v>75</v>
      </c>
      <c r="I930" t="s">
        <v>76</v>
      </c>
      <c r="J930" t="s">
        <v>77</v>
      </c>
      <c r="K930" t="s">
        <v>78</v>
      </c>
      <c r="L930" t="s">
        <v>184</v>
      </c>
      <c r="M930" t="s">
        <v>185</v>
      </c>
      <c r="N930" t="s">
        <v>1030</v>
      </c>
      <c r="O930" t="s">
        <v>82</v>
      </c>
      <c r="P930" t="str">
        <f>"2170716032                    "</f>
        <v xml:space="preserve">2170716032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6.71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 s="4">
        <v>39.42</v>
      </c>
      <c r="BM930" s="4">
        <v>5.91</v>
      </c>
      <c r="BN930" s="4">
        <v>45.33</v>
      </c>
      <c r="BO930" s="4">
        <v>45.33</v>
      </c>
      <c r="BQ930" t="s">
        <v>109</v>
      </c>
      <c r="BR930" t="s">
        <v>84</v>
      </c>
      <c r="BS930" s="3">
        <v>43777</v>
      </c>
      <c r="BT930" s="5">
        <v>0.33888888888888885</v>
      </c>
      <c r="BU930" t="s">
        <v>1031</v>
      </c>
      <c r="BV930" t="s">
        <v>86</v>
      </c>
      <c r="BY930">
        <v>1200</v>
      </c>
      <c r="CA930" t="s">
        <v>1032</v>
      </c>
      <c r="CC930" t="s">
        <v>185</v>
      </c>
      <c r="CD930">
        <v>1501</v>
      </c>
      <c r="CE930" t="s">
        <v>147</v>
      </c>
      <c r="CF930" s="3">
        <v>43780</v>
      </c>
      <c r="CI930">
        <v>1</v>
      </c>
      <c r="CJ930">
        <v>1</v>
      </c>
      <c r="CK930">
        <v>22</v>
      </c>
      <c r="CL930" t="s">
        <v>89</v>
      </c>
    </row>
    <row r="931" spans="1:90">
      <c r="A931" t="s">
        <v>72</v>
      </c>
      <c r="B931" t="s">
        <v>73</v>
      </c>
      <c r="C931" t="s">
        <v>74</v>
      </c>
      <c r="E931" t="str">
        <f>"FES1162721893"</f>
        <v>FES1162721893</v>
      </c>
      <c r="F931" s="3">
        <v>43776</v>
      </c>
      <c r="G931">
        <v>202005</v>
      </c>
      <c r="H931" t="s">
        <v>75</v>
      </c>
      <c r="I931" t="s">
        <v>76</v>
      </c>
      <c r="J931" t="s">
        <v>77</v>
      </c>
      <c r="K931" t="s">
        <v>78</v>
      </c>
      <c r="L931" t="s">
        <v>202</v>
      </c>
      <c r="M931" t="s">
        <v>203</v>
      </c>
      <c r="N931" t="s">
        <v>204</v>
      </c>
      <c r="O931" t="s">
        <v>82</v>
      </c>
      <c r="P931" t="str">
        <f>"2170714104                    "</f>
        <v xml:space="preserve">2170714104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21.17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2</v>
      </c>
      <c r="BI931">
        <v>10.6</v>
      </c>
      <c r="BJ931">
        <v>8.5</v>
      </c>
      <c r="BK931">
        <v>11</v>
      </c>
      <c r="BL931" s="4">
        <v>124.44</v>
      </c>
      <c r="BM931" s="4">
        <v>18.670000000000002</v>
      </c>
      <c r="BN931" s="4">
        <v>143.11000000000001</v>
      </c>
      <c r="BO931" s="4">
        <v>143.11000000000001</v>
      </c>
      <c r="BQ931" t="s">
        <v>121</v>
      </c>
      <c r="BR931" t="s">
        <v>84</v>
      </c>
      <c r="BS931" s="3">
        <v>43777</v>
      </c>
      <c r="BT931" s="5">
        <v>0.36527777777777781</v>
      </c>
      <c r="BU931" t="s">
        <v>1452</v>
      </c>
      <c r="BV931" t="s">
        <v>86</v>
      </c>
      <c r="BY931">
        <v>42376.62</v>
      </c>
      <c r="CC931" t="s">
        <v>203</v>
      </c>
      <c r="CD931">
        <v>1422</v>
      </c>
      <c r="CE931" t="s">
        <v>88</v>
      </c>
      <c r="CF931" s="3">
        <v>43780</v>
      </c>
      <c r="CI931">
        <v>1</v>
      </c>
      <c r="CJ931">
        <v>1</v>
      </c>
      <c r="CK931">
        <v>22</v>
      </c>
      <c r="CL931" t="s">
        <v>89</v>
      </c>
    </row>
    <row r="932" spans="1:90">
      <c r="A932" t="s">
        <v>72</v>
      </c>
      <c r="B932" t="s">
        <v>73</v>
      </c>
      <c r="C932" t="s">
        <v>74</v>
      </c>
      <c r="E932" t="str">
        <f>"FES1162721809"</f>
        <v>FES1162721809</v>
      </c>
      <c r="F932" s="3">
        <v>43776</v>
      </c>
      <c r="G932">
        <v>202005</v>
      </c>
      <c r="H932" t="s">
        <v>75</v>
      </c>
      <c r="I932" t="s">
        <v>76</v>
      </c>
      <c r="J932" t="s">
        <v>77</v>
      </c>
      <c r="K932" t="s">
        <v>78</v>
      </c>
      <c r="L932" t="s">
        <v>90</v>
      </c>
      <c r="M932" t="s">
        <v>91</v>
      </c>
      <c r="N932" t="s">
        <v>1453</v>
      </c>
      <c r="O932" t="s">
        <v>82</v>
      </c>
      <c r="P932" t="str">
        <f>"2170715897                    "</f>
        <v xml:space="preserve">2170715897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8.58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 s="4">
        <v>50.45</v>
      </c>
      <c r="BM932" s="4">
        <v>7.57</v>
      </c>
      <c r="BN932" s="4">
        <v>58.02</v>
      </c>
      <c r="BO932" s="4">
        <v>58.02</v>
      </c>
      <c r="BR932" t="s">
        <v>84</v>
      </c>
      <c r="BS932" s="3">
        <v>43777</v>
      </c>
      <c r="BT932" s="5">
        <v>0.4375</v>
      </c>
      <c r="BU932" t="s">
        <v>1454</v>
      </c>
      <c r="BV932" t="s">
        <v>86</v>
      </c>
      <c r="BY932">
        <v>1200</v>
      </c>
      <c r="CA932" t="s">
        <v>1309</v>
      </c>
      <c r="CC932" t="s">
        <v>91</v>
      </c>
      <c r="CD932">
        <v>7580</v>
      </c>
      <c r="CE932" t="s">
        <v>147</v>
      </c>
      <c r="CF932" s="3">
        <v>43780</v>
      </c>
      <c r="CI932">
        <v>1</v>
      </c>
      <c r="CJ932">
        <v>1</v>
      </c>
      <c r="CK932">
        <v>21</v>
      </c>
      <c r="CL932" t="s">
        <v>89</v>
      </c>
    </row>
    <row r="933" spans="1:90">
      <c r="A933" t="s">
        <v>72</v>
      </c>
      <c r="B933" t="s">
        <v>73</v>
      </c>
      <c r="C933" t="s">
        <v>74</v>
      </c>
      <c r="E933" t="str">
        <f>"FES1162721827"</f>
        <v>FES1162721827</v>
      </c>
      <c r="F933" s="3">
        <v>43776</v>
      </c>
      <c r="G933">
        <v>202005</v>
      </c>
      <c r="H933" t="s">
        <v>75</v>
      </c>
      <c r="I933" t="s">
        <v>76</v>
      </c>
      <c r="J933" t="s">
        <v>77</v>
      </c>
      <c r="K933" t="s">
        <v>78</v>
      </c>
      <c r="L933" t="s">
        <v>176</v>
      </c>
      <c r="M933" t="s">
        <v>177</v>
      </c>
      <c r="N933" t="s">
        <v>1136</v>
      </c>
      <c r="O933" t="s">
        <v>82</v>
      </c>
      <c r="P933" t="str">
        <f>"2170716018                    "</f>
        <v xml:space="preserve">2170716018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19.3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4.3</v>
      </c>
      <c r="BJ933">
        <v>2.4</v>
      </c>
      <c r="BK933">
        <v>4.5</v>
      </c>
      <c r="BL933" s="4">
        <v>113.47</v>
      </c>
      <c r="BM933" s="4">
        <v>17.02</v>
      </c>
      <c r="BN933" s="4">
        <v>130.49</v>
      </c>
      <c r="BO933" s="4">
        <v>130.49</v>
      </c>
      <c r="BQ933" t="s">
        <v>121</v>
      </c>
      <c r="BR933" t="s">
        <v>84</v>
      </c>
      <c r="BS933" s="3">
        <v>43777</v>
      </c>
      <c r="BT933" s="5">
        <v>0.40347222222222223</v>
      </c>
      <c r="BU933" t="s">
        <v>1137</v>
      </c>
      <c r="BV933" t="s">
        <v>86</v>
      </c>
      <c r="BY933">
        <v>12092.97</v>
      </c>
      <c r="CA933" t="s">
        <v>180</v>
      </c>
      <c r="CC933" t="s">
        <v>177</v>
      </c>
      <c r="CD933">
        <v>3610</v>
      </c>
      <c r="CE933" t="s">
        <v>88</v>
      </c>
      <c r="CF933" s="3">
        <v>43780</v>
      </c>
      <c r="CI933">
        <v>1</v>
      </c>
      <c r="CJ933">
        <v>1</v>
      </c>
      <c r="CK933">
        <v>21</v>
      </c>
      <c r="CL933" t="s">
        <v>89</v>
      </c>
    </row>
    <row r="934" spans="1:90">
      <c r="A934" t="s">
        <v>72</v>
      </c>
      <c r="B934" t="s">
        <v>73</v>
      </c>
      <c r="C934" t="s">
        <v>74</v>
      </c>
      <c r="E934" t="str">
        <f>"FES1162721769"</f>
        <v>FES1162721769</v>
      </c>
      <c r="F934" s="3">
        <v>43776</v>
      </c>
      <c r="G934">
        <v>202005</v>
      </c>
      <c r="H934" t="s">
        <v>75</v>
      </c>
      <c r="I934" t="s">
        <v>76</v>
      </c>
      <c r="J934" t="s">
        <v>77</v>
      </c>
      <c r="K934" t="s">
        <v>78</v>
      </c>
      <c r="L934" t="s">
        <v>202</v>
      </c>
      <c r="M934" t="s">
        <v>203</v>
      </c>
      <c r="N934" t="s">
        <v>1455</v>
      </c>
      <c r="O934" t="s">
        <v>82</v>
      </c>
      <c r="P934" t="str">
        <f>"2170715641                    "</f>
        <v xml:space="preserve">2170715641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6.71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 s="4">
        <v>39.42</v>
      </c>
      <c r="BM934" s="4">
        <v>5.91</v>
      </c>
      <c r="BN934" s="4">
        <v>45.33</v>
      </c>
      <c r="BO934" s="4">
        <v>45.33</v>
      </c>
      <c r="BQ934" t="s">
        <v>1456</v>
      </c>
      <c r="BR934" t="s">
        <v>84</v>
      </c>
      <c r="BS934" s="3">
        <v>43777</v>
      </c>
      <c r="BT934" s="5">
        <v>0.41666666666666669</v>
      </c>
      <c r="BU934" t="s">
        <v>1457</v>
      </c>
      <c r="BV934" t="s">
        <v>86</v>
      </c>
      <c r="BY934">
        <v>1200</v>
      </c>
      <c r="CC934" t="s">
        <v>203</v>
      </c>
      <c r="CD934">
        <v>1422</v>
      </c>
      <c r="CE934" t="s">
        <v>147</v>
      </c>
      <c r="CF934" s="3">
        <v>43780</v>
      </c>
      <c r="CI934">
        <v>1</v>
      </c>
      <c r="CJ934">
        <v>1</v>
      </c>
      <c r="CK934">
        <v>22</v>
      </c>
      <c r="CL934" t="s">
        <v>89</v>
      </c>
    </row>
    <row r="935" spans="1:90">
      <c r="A935" t="s">
        <v>72</v>
      </c>
      <c r="B935" t="s">
        <v>73</v>
      </c>
      <c r="C935" t="s">
        <v>74</v>
      </c>
      <c r="E935" t="str">
        <f>"FES1162721846"</f>
        <v>FES1162721846</v>
      </c>
      <c r="F935" s="3">
        <v>43776</v>
      </c>
      <c r="G935">
        <v>202005</v>
      </c>
      <c r="H935" t="s">
        <v>75</v>
      </c>
      <c r="I935" t="s">
        <v>76</v>
      </c>
      <c r="J935" t="s">
        <v>77</v>
      </c>
      <c r="K935" t="s">
        <v>78</v>
      </c>
      <c r="L935" t="s">
        <v>75</v>
      </c>
      <c r="M935" t="s">
        <v>76</v>
      </c>
      <c r="N935" t="s">
        <v>1458</v>
      </c>
      <c r="O935" t="s">
        <v>82</v>
      </c>
      <c r="P935" t="str">
        <f>"2170716048                    "</f>
        <v xml:space="preserve">2170716048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6.71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 s="4">
        <v>39.42</v>
      </c>
      <c r="BM935" s="4">
        <v>5.91</v>
      </c>
      <c r="BN935" s="4">
        <v>45.33</v>
      </c>
      <c r="BO935" s="4">
        <v>45.33</v>
      </c>
      <c r="BR935" t="s">
        <v>84</v>
      </c>
      <c r="BS935" s="3">
        <v>43777</v>
      </c>
      <c r="BT935" s="5">
        <v>0.34166666666666662</v>
      </c>
      <c r="BU935" t="s">
        <v>1459</v>
      </c>
      <c r="BV935" t="s">
        <v>86</v>
      </c>
      <c r="BY935">
        <v>1200</v>
      </c>
      <c r="CA935" t="s">
        <v>238</v>
      </c>
      <c r="CC935" t="s">
        <v>76</v>
      </c>
      <c r="CD935">
        <v>1665</v>
      </c>
      <c r="CE935" t="s">
        <v>147</v>
      </c>
      <c r="CF935" s="3">
        <v>43780</v>
      </c>
      <c r="CI935">
        <v>1</v>
      </c>
      <c r="CJ935">
        <v>1</v>
      </c>
      <c r="CK935">
        <v>22</v>
      </c>
      <c r="CL935" t="s">
        <v>89</v>
      </c>
    </row>
    <row r="936" spans="1:90">
      <c r="A936" t="s">
        <v>72</v>
      </c>
      <c r="B936" t="s">
        <v>73</v>
      </c>
      <c r="C936" t="s">
        <v>74</v>
      </c>
      <c r="E936" t="str">
        <f>"FES1162721829"</f>
        <v>FES1162721829</v>
      </c>
      <c r="F936" s="3">
        <v>43776</v>
      </c>
      <c r="G936">
        <v>202005</v>
      </c>
      <c r="H936" t="s">
        <v>75</v>
      </c>
      <c r="I936" t="s">
        <v>76</v>
      </c>
      <c r="J936" t="s">
        <v>77</v>
      </c>
      <c r="K936" t="s">
        <v>78</v>
      </c>
      <c r="L936" t="s">
        <v>118</v>
      </c>
      <c r="M936" t="s">
        <v>119</v>
      </c>
      <c r="N936" t="s">
        <v>775</v>
      </c>
      <c r="O936" t="s">
        <v>82</v>
      </c>
      <c r="P936" t="str">
        <f>"2170716022                    "</f>
        <v xml:space="preserve">2170716022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8.58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 s="4">
        <v>50.45</v>
      </c>
      <c r="BM936" s="4">
        <v>7.57</v>
      </c>
      <c r="BN936" s="4">
        <v>58.02</v>
      </c>
      <c r="BO936" s="4">
        <v>58.02</v>
      </c>
      <c r="BQ936" t="s">
        <v>142</v>
      </c>
      <c r="BR936" t="s">
        <v>84</v>
      </c>
      <c r="BS936" s="3">
        <v>43777</v>
      </c>
      <c r="BT936" s="5">
        <v>0.4284722222222222</v>
      </c>
      <c r="BU936" t="s">
        <v>1460</v>
      </c>
      <c r="BV936" t="s">
        <v>86</v>
      </c>
      <c r="BY936">
        <v>1200</v>
      </c>
      <c r="CA936" t="s">
        <v>171</v>
      </c>
      <c r="CC936" t="s">
        <v>119</v>
      </c>
      <c r="CD936">
        <v>3201</v>
      </c>
      <c r="CE936" t="s">
        <v>147</v>
      </c>
      <c r="CF936" s="3">
        <v>43780</v>
      </c>
      <c r="CI936">
        <v>1</v>
      </c>
      <c r="CJ936">
        <v>1</v>
      </c>
      <c r="CK936">
        <v>21</v>
      </c>
      <c r="CL936" t="s">
        <v>89</v>
      </c>
    </row>
    <row r="937" spans="1:90">
      <c r="A937" t="s">
        <v>72</v>
      </c>
      <c r="B937" t="s">
        <v>73</v>
      </c>
      <c r="C937" t="s">
        <v>74</v>
      </c>
      <c r="E937" t="str">
        <f>"FES1162721839"</f>
        <v>FES1162721839</v>
      </c>
      <c r="F937" s="3">
        <v>43776</v>
      </c>
      <c r="G937">
        <v>202005</v>
      </c>
      <c r="H937" t="s">
        <v>75</v>
      </c>
      <c r="I937" t="s">
        <v>76</v>
      </c>
      <c r="J937" t="s">
        <v>77</v>
      </c>
      <c r="K937" t="s">
        <v>78</v>
      </c>
      <c r="L937" t="s">
        <v>101</v>
      </c>
      <c r="M937" t="s">
        <v>102</v>
      </c>
      <c r="N937" t="s">
        <v>707</v>
      </c>
      <c r="O937" t="s">
        <v>82</v>
      </c>
      <c r="P937" t="str">
        <f>"2170716040                    "</f>
        <v xml:space="preserve">2170716040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8.58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 s="4">
        <v>50.45</v>
      </c>
      <c r="BM937" s="4">
        <v>7.57</v>
      </c>
      <c r="BN937" s="4">
        <v>58.02</v>
      </c>
      <c r="BO937" s="4">
        <v>58.02</v>
      </c>
      <c r="BQ937" t="s">
        <v>121</v>
      </c>
      <c r="BR937" t="s">
        <v>84</v>
      </c>
      <c r="BS937" s="3">
        <v>43777</v>
      </c>
      <c r="BT937" s="5">
        <v>0.36458333333333331</v>
      </c>
      <c r="BU937" t="s">
        <v>1403</v>
      </c>
      <c r="BV937" t="s">
        <v>86</v>
      </c>
      <c r="BY937">
        <v>1200</v>
      </c>
      <c r="CA937" t="s">
        <v>709</v>
      </c>
      <c r="CC937" t="s">
        <v>102</v>
      </c>
      <c r="CD937">
        <v>1</v>
      </c>
      <c r="CE937" t="s">
        <v>147</v>
      </c>
      <c r="CF937" s="3">
        <v>43781</v>
      </c>
      <c r="CI937">
        <v>1</v>
      </c>
      <c r="CJ937">
        <v>1</v>
      </c>
      <c r="CK937">
        <v>21</v>
      </c>
      <c r="CL937" t="s">
        <v>89</v>
      </c>
    </row>
    <row r="938" spans="1:90">
      <c r="A938" t="s">
        <v>72</v>
      </c>
      <c r="B938" t="s">
        <v>73</v>
      </c>
      <c r="C938" t="s">
        <v>74</v>
      </c>
      <c r="E938" t="str">
        <f>"FES1162721981"</f>
        <v>FES1162721981</v>
      </c>
      <c r="F938" s="3">
        <v>43776</v>
      </c>
      <c r="G938">
        <v>202005</v>
      </c>
      <c r="H938" t="s">
        <v>75</v>
      </c>
      <c r="I938" t="s">
        <v>76</v>
      </c>
      <c r="J938" t="s">
        <v>77</v>
      </c>
      <c r="K938" t="s">
        <v>78</v>
      </c>
      <c r="L938" t="s">
        <v>124</v>
      </c>
      <c r="M938" t="s">
        <v>125</v>
      </c>
      <c r="N938" t="s">
        <v>1461</v>
      </c>
      <c r="O938" t="s">
        <v>282</v>
      </c>
      <c r="P938" t="str">
        <f>"2170716178                    "</f>
        <v xml:space="preserve">2170716178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16.11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2</v>
      </c>
      <c r="BI938">
        <v>24.2</v>
      </c>
      <c r="BJ938">
        <v>18.100000000000001</v>
      </c>
      <c r="BK938">
        <v>25</v>
      </c>
      <c r="BL938" s="4">
        <v>99.69</v>
      </c>
      <c r="BM938" s="4">
        <v>14.95</v>
      </c>
      <c r="BN938" s="4">
        <v>114.64</v>
      </c>
      <c r="BO938" s="4">
        <v>114.64</v>
      </c>
      <c r="BQ938" t="s">
        <v>109</v>
      </c>
      <c r="BR938" t="s">
        <v>84</v>
      </c>
      <c r="BS938" s="3">
        <v>43777</v>
      </c>
      <c r="BT938" s="5">
        <v>0.51874999999999993</v>
      </c>
      <c r="BU938" t="s">
        <v>1462</v>
      </c>
      <c r="BV938" t="s">
        <v>86</v>
      </c>
      <c r="BY938">
        <v>90331.27</v>
      </c>
      <c r="CC938" t="s">
        <v>125</v>
      </c>
      <c r="CD938">
        <v>2040</v>
      </c>
      <c r="CE938" t="s">
        <v>88</v>
      </c>
      <c r="CF938" s="3">
        <v>43780</v>
      </c>
      <c r="CI938">
        <v>1</v>
      </c>
      <c r="CJ938">
        <v>1</v>
      </c>
      <c r="CK938" t="s">
        <v>379</v>
      </c>
      <c r="CL938" t="s">
        <v>89</v>
      </c>
    </row>
    <row r="939" spans="1:90">
      <c r="A939" t="s">
        <v>72</v>
      </c>
      <c r="B939" t="s">
        <v>73</v>
      </c>
      <c r="C939" t="s">
        <v>74</v>
      </c>
      <c r="E939" t="str">
        <f>"FES1162721996"</f>
        <v>FES1162721996</v>
      </c>
      <c r="F939" s="3">
        <v>43776</v>
      </c>
      <c r="G939">
        <v>202005</v>
      </c>
      <c r="H939" t="s">
        <v>75</v>
      </c>
      <c r="I939" t="s">
        <v>76</v>
      </c>
      <c r="J939" t="s">
        <v>77</v>
      </c>
      <c r="K939" t="s">
        <v>78</v>
      </c>
      <c r="L939" t="s">
        <v>176</v>
      </c>
      <c r="M939" t="s">
        <v>177</v>
      </c>
      <c r="N939" t="s">
        <v>600</v>
      </c>
      <c r="O939" t="s">
        <v>282</v>
      </c>
      <c r="P939" t="str">
        <f>"2170716192                    "</f>
        <v xml:space="preserve">2170716192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12.07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6</v>
      </c>
      <c r="BJ939">
        <v>2</v>
      </c>
      <c r="BK939">
        <v>6</v>
      </c>
      <c r="BL939" s="4">
        <v>75.95</v>
      </c>
      <c r="BM939" s="4">
        <v>11.39</v>
      </c>
      <c r="BN939" s="4">
        <v>87.34</v>
      </c>
      <c r="BO939" s="4">
        <v>87.34</v>
      </c>
      <c r="BP939" t="s">
        <v>757</v>
      </c>
      <c r="BQ939" t="s">
        <v>109</v>
      </c>
      <c r="BR939" t="s">
        <v>84</v>
      </c>
      <c r="BS939" s="3">
        <v>43780</v>
      </c>
      <c r="BT939" s="5">
        <v>0.52777777777777779</v>
      </c>
      <c r="BU939" t="s">
        <v>1463</v>
      </c>
      <c r="BV939" t="s">
        <v>89</v>
      </c>
      <c r="BW939" t="s">
        <v>144</v>
      </c>
      <c r="BX939" t="s">
        <v>145</v>
      </c>
      <c r="BY939">
        <v>9918</v>
      </c>
      <c r="CA939" t="s">
        <v>1464</v>
      </c>
      <c r="CC939" t="s">
        <v>177</v>
      </c>
      <c r="CD939">
        <v>3610</v>
      </c>
      <c r="CE939" t="s">
        <v>88</v>
      </c>
      <c r="CF939" s="3">
        <v>43781</v>
      </c>
      <c r="CI939">
        <v>1</v>
      </c>
      <c r="CJ939">
        <v>2</v>
      </c>
      <c r="CK939" t="s">
        <v>711</v>
      </c>
      <c r="CL939" t="s">
        <v>89</v>
      </c>
    </row>
    <row r="940" spans="1:90">
      <c r="A940" t="s">
        <v>72</v>
      </c>
      <c r="B940" t="s">
        <v>73</v>
      </c>
      <c r="C940" t="s">
        <v>74</v>
      </c>
      <c r="E940" t="str">
        <f>"FES1162721937"</f>
        <v>FES1162721937</v>
      </c>
      <c r="F940" s="3">
        <v>43776</v>
      </c>
      <c r="G940">
        <v>202005</v>
      </c>
      <c r="H940" t="s">
        <v>75</v>
      </c>
      <c r="I940" t="s">
        <v>76</v>
      </c>
      <c r="J940" t="s">
        <v>77</v>
      </c>
      <c r="K940" t="s">
        <v>78</v>
      </c>
      <c r="L940" t="s">
        <v>405</v>
      </c>
      <c r="M940" t="s">
        <v>406</v>
      </c>
      <c r="N940" t="s">
        <v>934</v>
      </c>
      <c r="O940" t="s">
        <v>282</v>
      </c>
      <c r="P940" t="str">
        <f>"2170716134                    "</f>
        <v xml:space="preserve">2170716134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40.799999999999997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2</v>
      </c>
      <c r="BI940">
        <v>32.1</v>
      </c>
      <c r="BJ940">
        <v>57.1</v>
      </c>
      <c r="BK940">
        <v>57</v>
      </c>
      <c r="BL940" s="4">
        <v>244.84</v>
      </c>
      <c r="BM940" s="4">
        <v>36.729999999999997</v>
      </c>
      <c r="BN940" s="4">
        <v>281.57</v>
      </c>
      <c r="BO940" s="4">
        <v>281.57</v>
      </c>
      <c r="BP940" t="s">
        <v>1465</v>
      </c>
      <c r="BQ940" t="s">
        <v>109</v>
      </c>
      <c r="BR940" t="s">
        <v>84</v>
      </c>
      <c r="BS940" s="3">
        <v>43777</v>
      </c>
      <c r="BT940" s="5">
        <v>0.54166666666666663</v>
      </c>
      <c r="BU940" t="s">
        <v>1466</v>
      </c>
      <c r="BV940" t="s">
        <v>86</v>
      </c>
      <c r="BY940">
        <v>285462.84999999998</v>
      </c>
      <c r="CA940" t="s">
        <v>409</v>
      </c>
      <c r="CC940" t="s">
        <v>406</v>
      </c>
      <c r="CD940">
        <v>250</v>
      </c>
      <c r="CE940" t="s">
        <v>88</v>
      </c>
      <c r="CF940" s="3">
        <v>43781</v>
      </c>
      <c r="CI940">
        <v>0</v>
      </c>
      <c r="CJ940">
        <v>0</v>
      </c>
      <c r="CK940" t="s">
        <v>289</v>
      </c>
      <c r="CL940" t="s">
        <v>89</v>
      </c>
    </row>
    <row r="941" spans="1:90">
      <c r="A941" t="s">
        <v>72</v>
      </c>
      <c r="B941" t="s">
        <v>73</v>
      </c>
      <c r="C941" t="s">
        <v>74</v>
      </c>
      <c r="E941" t="str">
        <f>"FES1162721826"</f>
        <v>FES1162721826</v>
      </c>
      <c r="F941" s="3">
        <v>43776</v>
      </c>
      <c r="G941">
        <v>202005</v>
      </c>
      <c r="H941" t="s">
        <v>75</v>
      </c>
      <c r="I941" t="s">
        <v>76</v>
      </c>
      <c r="J941" t="s">
        <v>77</v>
      </c>
      <c r="K941" t="s">
        <v>78</v>
      </c>
      <c r="L941" t="s">
        <v>133</v>
      </c>
      <c r="M941" t="s">
        <v>134</v>
      </c>
      <c r="N941" t="s">
        <v>310</v>
      </c>
      <c r="O941" t="s">
        <v>282</v>
      </c>
      <c r="P941" t="str">
        <f>"2170715904                    "</f>
        <v xml:space="preserve">2170715904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25.09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24.9</v>
      </c>
      <c r="BJ941">
        <v>18.600000000000001</v>
      </c>
      <c r="BK941">
        <v>25</v>
      </c>
      <c r="BL941" s="4">
        <v>152.5</v>
      </c>
      <c r="BM941" s="4">
        <v>22.88</v>
      </c>
      <c r="BN941" s="4">
        <v>175.38</v>
      </c>
      <c r="BO941" s="4">
        <v>175.38</v>
      </c>
      <c r="BQ941" t="s">
        <v>121</v>
      </c>
      <c r="BR941" t="s">
        <v>84</v>
      </c>
      <c r="BS941" s="3">
        <v>43780</v>
      </c>
      <c r="BT941" s="5">
        <v>0.43402777777777773</v>
      </c>
      <c r="BU941" t="s">
        <v>1467</v>
      </c>
      <c r="BV941" t="s">
        <v>86</v>
      </c>
      <c r="BY941">
        <v>93123.21</v>
      </c>
      <c r="CA941" t="s">
        <v>730</v>
      </c>
      <c r="CC941" t="s">
        <v>134</v>
      </c>
      <c r="CD941">
        <v>5201</v>
      </c>
      <c r="CE941" t="s">
        <v>88</v>
      </c>
      <c r="CF941" s="3">
        <v>43782</v>
      </c>
      <c r="CI941">
        <v>2</v>
      </c>
      <c r="CJ941">
        <v>2</v>
      </c>
      <c r="CK941" t="s">
        <v>994</v>
      </c>
      <c r="CL941" t="s">
        <v>89</v>
      </c>
    </row>
    <row r="942" spans="1:90">
      <c r="A942" t="s">
        <v>1353</v>
      </c>
      <c r="B942" t="s">
        <v>73</v>
      </c>
      <c r="C942" t="s">
        <v>74</v>
      </c>
      <c r="E942" t="str">
        <f>"029908346760"</f>
        <v>029908346760</v>
      </c>
      <c r="F942" s="3">
        <v>43776</v>
      </c>
      <c r="G942">
        <v>202005</v>
      </c>
      <c r="H942" t="s">
        <v>112</v>
      </c>
      <c r="I942" t="s">
        <v>113</v>
      </c>
      <c r="J942" t="s">
        <v>1468</v>
      </c>
      <c r="K942" t="s">
        <v>78</v>
      </c>
      <c r="L942" t="s">
        <v>124</v>
      </c>
      <c r="M942" t="s">
        <v>125</v>
      </c>
      <c r="N942" t="s">
        <v>1469</v>
      </c>
      <c r="O942" t="s">
        <v>282</v>
      </c>
      <c r="P942" t="str">
        <f>"NOMA                          "</f>
        <v xml:space="preserve">NOMA      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16.09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4.5</v>
      </c>
      <c r="BJ942">
        <v>3.3</v>
      </c>
      <c r="BK942">
        <v>5</v>
      </c>
      <c r="BL942" s="4">
        <v>99.59</v>
      </c>
      <c r="BM942" s="4">
        <v>14.94</v>
      </c>
      <c r="BN942" s="4">
        <v>114.53</v>
      </c>
      <c r="BO942" s="4">
        <v>114.53</v>
      </c>
      <c r="BR942" t="s">
        <v>1470</v>
      </c>
      <c r="BS942" s="3">
        <v>43777</v>
      </c>
      <c r="BT942" s="5">
        <v>0.37916666666666665</v>
      </c>
      <c r="BU942" t="s">
        <v>1016</v>
      </c>
      <c r="BV942" t="s">
        <v>86</v>
      </c>
      <c r="BY942">
        <v>18106.919999999998</v>
      </c>
      <c r="CA942" t="s">
        <v>198</v>
      </c>
      <c r="CC942" t="s">
        <v>125</v>
      </c>
      <c r="CD942">
        <v>2000</v>
      </c>
      <c r="CE942" t="s">
        <v>88</v>
      </c>
      <c r="CF942" s="3">
        <v>43780</v>
      </c>
      <c r="CI942">
        <v>1</v>
      </c>
      <c r="CJ942">
        <v>1</v>
      </c>
      <c r="CK942" t="s">
        <v>1471</v>
      </c>
      <c r="CL942" t="s">
        <v>89</v>
      </c>
    </row>
    <row r="943" spans="1:90">
      <c r="A943" t="s">
        <v>72</v>
      </c>
      <c r="B943" t="s">
        <v>73</v>
      </c>
      <c r="C943" t="s">
        <v>74</v>
      </c>
      <c r="E943" t="str">
        <f>"FES1162721824"</f>
        <v>FES1162721824</v>
      </c>
      <c r="F943" s="3">
        <v>43776</v>
      </c>
      <c r="G943">
        <v>202005</v>
      </c>
      <c r="H943" t="s">
        <v>75</v>
      </c>
      <c r="I943" t="s">
        <v>76</v>
      </c>
      <c r="J943" t="s">
        <v>77</v>
      </c>
      <c r="K943" t="s">
        <v>78</v>
      </c>
      <c r="L943" t="s">
        <v>214</v>
      </c>
      <c r="M943" t="s">
        <v>214</v>
      </c>
      <c r="N943" t="s">
        <v>1472</v>
      </c>
      <c r="O943" t="s">
        <v>282</v>
      </c>
      <c r="P943" t="str">
        <f>"2170716020                    "</f>
        <v xml:space="preserve">2170716020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28.86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19.8</v>
      </c>
      <c r="BJ943">
        <v>29.3</v>
      </c>
      <c r="BK943">
        <v>30</v>
      </c>
      <c r="BL943" s="4">
        <v>174.62</v>
      </c>
      <c r="BM943" s="4">
        <v>26.19</v>
      </c>
      <c r="BN943" s="4">
        <v>200.81</v>
      </c>
      <c r="BO943" s="4">
        <v>200.81</v>
      </c>
      <c r="BQ943" t="s">
        <v>109</v>
      </c>
      <c r="BR943" t="s">
        <v>84</v>
      </c>
      <c r="BS943" s="3">
        <v>43780</v>
      </c>
      <c r="BT943" s="5">
        <v>0.55902777777777779</v>
      </c>
      <c r="BU943" t="s">
        <v>1473</v>
      </c>
      <c r="BV943" t="s">
        <v>86</v>
      </c>
      <c r="BY943">
        <v>146692.26</v>
      </c>
      <c r="CA943" t="s">
        <v>1474</v>
      </c>
      <c r="CC943" t="s">
        <v>214</v>
      </c>
      <c r="CD943">
        <v>7646</v>
      </c>
      <c r="CE943" t="s">
        <v>88</v>
      </c>
      <c r="CF943" s="3">
        <v>43781</v>
      </c>
      <c r="CI943">
        <v>2</v>
      </c>
      <c r="CJ943">
        <v>2</v>
      </c>
      <c r="CK943" t="s">
        <v>1002</v>
      </c>
      <c r="CL943" t="s">
        <v>89</v>
      </c>
    </row>
    <row r="944" spans="1:90">
      <c r="A944" t="s">
        <v>72</v>
      </c>
      <c r="B944" t="s">
        <v>73</v>
      </c>
      <c r="C944" t="s">
        <v>74</v>
      </c>
      <c r="E944" t="str">
        <f>"FES1162722042"</f>
        <v>FES1162722042</v>
      </c>
      <c r="F944" s="3">
        <v>43777</v>
      </c>
      <c r="G944">
        <v>202005</v>
      </c>
      <c r="H944" t="s">
        <v>75</v>
      </c>
      <c r="I944" t="s">
        <v>76</v>
      </c>
      <c r="J944" t="s">
        <v>77</v>
      </c>
      <c r="K944" t="s">
        <v>78</v>
      </c>
      <c r="L944" t="s">
        <v>999</v>
      </c>
      <c r="M944" t="s">
        <v>91</v>
      </c>
      <c r="N944" t="s">
        <v>393</v>
      </c>
      <c r="O944" t="s">
        <v>282</v>
      </c>
      <c r="P944" t="str">
        <f>"2170716237                    "</f>
        <v xml:space="preserve">2170716237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21.33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19.7</v>
      </c>
      <c r="BJ944">
        <v>17.399999999999999</v>
      </c>
      <c r="BK944">
        <v>20</v>
      </c>
      <c r="BL944" s="4">
        <v>130.38999999999999</v>
      </c>
      <c r="BM944" s="4">
        <v>19.559999999999999</v>
      </c>
      <c r="BN944" s="4">
        <v>149.94999999999999</v>
      </c>
      <c r="BO944" s="4">
        <v>149.94999999999999</v>
      </c>
      <c r="BQ944" t="s">
        <v>1475</v>
      </c>
      <c r="BR944" t="s">
        <v>84</v>
      </c>
      <c r="BS944" s="3">
        <v>43780</v>
      </c>
      <c r="BT944" s="5">
        <v>0.39583333333333331</v>
      </c>
      <c r="BU944" t="s">
        <v>590</v>
      </c>
      <c r="BV944" t="s">
        <v>86</v>
      </c>
      <c r="BY944">
        <v>86903.85</v>
      </c>
      <c r="CA944" t="s">
        <v>1476</v>
      </c>
      <c r="CC944" t="s">
        <v>91</v>
      </c>
      <c r="CD944">
        <v>7405</v>
      </c>
      <c r="CE944" t="s">
        <v>88</v>
      </c>
      <c r="CF944" s="3">
        <v>43781</v>
      </c>
      <c r="CI944">
        <v>2</v>
      </c>
      <c r="CJ944">
        <v>1</v>
      </c>
      <c r="CK944" t="s">
        <v>1002</v>
      </c>
      <c r="CL944" t="s">
        <v>89</v>
      </c>
    </row>
    <row r="945" spans="1:90">
      <c r="A945" t="s">
        <v>72</v>
      </c>
      <c r="B945" t="s">
        <v>73</v>
      </c>
      <c r="C945" t="s">
        <v>74</v>
      </c>
      <c r="E945" t="str">
        <f>"FES1162722077"</f>
        <v>FES1162722077</v>
      </c>
      <c r="F945" s="3">
        <v>43777</v>
      </c>
      <c r="G945">
        <v>202005</v>
      </c>
      <c r="H945" t="s">
        <v>75</v>
      </c>
      <c r="I945" t="s">
        <v>76</v>
      </c>
      <c r="J945" t="s">
        <v>77</v>
      </c>
      <c r="K945" t="s">
        <v>78</v>
      </c>
      <c r="L945" t="s">
        <v>691</v>
      </c>
      <c r="M945" t="s">
        <v>692</v>
      </c>
      <c r="N945" t="s">
        <v>1217</v>
      </c>
      <c r="O945" t="s">
        <v>82</v>
      </c>
      <c r="P945" t="str">
        <f>"2170716287                    "</f>
        <v xml:space="preserve">2170716287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6.71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 s="4">
        <v>39.42</v>
      </c>
      <c r="BM945" s="4">
        <v>5.91</v>
      </c>
      <c r="BN945" s="4">
        <v>45.33</v>
      </c>
      <c r="BO945" s="4">
        <v>45.33</v>
      </c>
      <c r="BQ945" t="s">
        <v>109</v>
      </c>
      <c r="BR945" t="s">
        <v>84</v>
      </c>
      <c r="BS945" s="3">
        <v>43780</v>
      </c>
      <c r="BT945" s="5">
        <v>0.33333333333333331</v>
      </c>
      <c r="BU945" t="s">
        <v>370</v>
      </c>
      <c r="BV945" t="s">
        <v>86</v>
      </c>
      <c r="BY945">
        <v>1200</v>
      </c>
      <c r="CC945" t="s">
        <v>692</v>
      </c>
      <c r="CD945">
        <v>1559</v>
      </c>
      <c r="CE945" t="s">
        <v>147</v>
      </c>
      <c r="CF945" s="3">
        <v>43781</v>
      </c>
      <c r="CI945">
        <v>1</v>
      </c>
      <c r="CJ945">
        <v>1</v>
      </c>
      <c r="CK945">
        <v>22</v>
      </c>
      <c r="CL945" t="s">
        <v>89</v>
      </c>
    </row>
    <row r="946" spans="1:90">
      <c r="A946" t="s">
        <v>72</v>
      </c>
      <c r="B946" t="s">
        <v>73</v>
      </c>
      <c r="C946" t="s">
        <v>74</v>
      </c>
      <c r="E946" t="str">
        <f>"FES1162722153"</f>
        <v>FES1162722153</v>
      </c>
      <c r="F946" s="3">
        <v>43777</v>
      </c>
      <c r="G946">
        <v>202005</v>
      </c>
      <c r="H946" t="s">
        <v>75</v>
      </c>
      <c r="I946" t="s">
        <v>76</v>
      </c>
      <c r="J946" t="s">
        <v>77</v>
      </c>
      <c r="K946" t="s">
        <v>78</v>
      </c>
      <c r="L946" t="s">
        <v>90</v>
      </c>
      <c r="M946" t="s">
        <v>91</v>
      </c>
      <c r="N946" t="s">
        <v>576</v>
      </c>
      <c r="O946" t="s">
        <v>82</v>
      </c>
      <c r="P946" t="str">
        <f>"2170716372                    "</f>
        <v xml:space="preserve">2170716372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34.31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7.7</v>
      </c>
      <c r="BJ946">
        <v>4.5</v>
      </c>
      <c r="BK946">
        <v>8</v>
      </c>
      <c r="BL946" s="4">
        <v>201.7</v>
      </c>
      <c r="BM946" s="4">
        <v>30.26</v>
      </c>
      <c r="BN946" s="4">
        <v>231.96</v>
      </c>
      <c r="BO946" s="4">
        <v>231.96</v>
      </c>
      <c r="BQ946" t="s">
        <v>109</v>
      </c>
      <c r="BR946" t="s">
        <v>84</v>
      </c>
      <c r="BS946" s="3">
        <v>43780</v>
      </c>
      <c r="BT946" s="5">
        <v>0.35138888888888892</v>
      </c>
      <c r="BU946" t="s">
        <v>1477</v>
      </c>
      <c r="BV946" t="s">
        <v>86</v>
      </c>
      <c r="BY946">
        <v>22304.35</v>
      </c>
      <c r="CA946" t="s">
        <v>213</v>
      </c>
      <c r="CC946" t="s">
        <v>91</v>
      </c>
      <c r="CD946">
        <v>7441</v>
      </c>
      <c r="CE946" t="s">
        <v>88</v>
      </c>
      <c r="CF946" s="3">
        <v>43781</v>
      </c>
      <c r="CI946">
        <v>1</v>
      </c>
      <c r="CJ946">
        <v>1</v>
      </c>
      <c r="CK946">
        <v>21</v>
      </c>
      <c r="CL946" t="s">
        <v>89</v>
      </c>
    </row>
    <row r="947" spans="1:90">
      <c r="A947" t="s">
        <v>72</v>
      </c>
      <c r="B947" t="s">
        <v>73</v>
      </c>
      <c r="C947" t="s">
        <v>74</v>
      </c>
      <c r="E947" t="str">
        <f>"FES1162722159"</f>
        <v>FES1162722159</v>
      </c>
      <c r="F947" s="3">
        <v>43777</v>
      </c>
      <c r="G947">
        <v>202005</v>
      </c>
      <c r="H947" t="s">
        <v>75</v>
      </c>
      <c r="I947" t="s">
        <v>76</v>
      </c>
      <c r="J947" t="s">
        <v>77</v>
      </c>
      <c r="K947" t="s">
        <v>78</v>
      </c>
      <c r="L947" t="s">
        <v>270</v>
      </c>
      <c r="M947" t="s">
        <v>271</v>
      </c>
      <c r="N947" t="s">
        <v>1478</v>
      </c>
      <c r="O947" t="s">
        <v>82</v>
      </c>
      <c r="P947" t="str">
        <f>"2170716378                    "</f>
        <v xml:space="preserve">2170716378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8.58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1.4</v>
      </c>
      <c r="BJ947">
        <v>0.9</v>
      </c>
      <c r="BK947">
        <v>1.5</v>
      </c>
      <c r="BL947" s="4">
        <v>50.45</v>
      </c>
      <c r="BM947" s="4">
        <v>7.57</v>
      </c>
      <c r="BN947" s="4">
        <v>58.02</v>
      </c>
      <c r="BO947" s="4">
        <v>58.02</v>
      </c>
      <c r="BQ947" t="s">
        <v>142</v>
      </c>
      <c r="BR947" t="s">
        <v>84</v>
      </c>
      <c r="BS947" s="3">
        <v>43780</v>
      </c>
      <c r="BT947" s="5">
        <v>0.42083333333333334</v>
      </c>
      <c r="BU947" t="s">
        <v>382</v>
      </c>
      <c r="BV947" t="s">
        <v>86</v>
      </c>
      <c r="BY947">
        <v>4441.03</v>
      </c>
      <c r="CA947" t="s">
        <v>773</v>
      </c>
      <c r="CC947" t="s">
        <v>271</v>
      </c>
      <c r="CD947">
        <v>6220</v>
      </c>
      <c r="CE947" t="s">
        <v>88</v>
      </c>
      <c r="CF947" s="3">
        <v>43781</v>
      </c>
      <c r="CI947">
        <v>1</v>
      </c>
      <c r="CJ947">
        <v>1</v>
      </c>
      <c r="CK947">
        <v>21</v>
      </c>
      <c r="CL947" t="s">
        <v>89</v>
      </c>
    </row>
    <row r="948" spans="1:90">
      <c r="A948" t="s">
        <v>72</v>
      </c>
      <c r="B948" t="s">
        <v>73</v>
      </c>
      <c r="C948" t="s">
        <v>74</v>
      </c>
      <c r="E948" t="str">
        <f>"FES1162722156"</f>
        <v>FES1162722156</v>
      </c>
      <c r="F948" s="3">
        <v>43777</v>
      </c>
      <c r="G948">
        <v>202005</v>
      </c>
      <c r="H948" t="s">
        <v>75</v>
      </c>
      <c r="I948" t="s">
        <v>76</v>
      </c>
      <c r="J948" t="s">
        <v>77</v>
      </c>
      <c r="K948" t="s">
        <v>78</v>
      </c>
      <c r="L948" t="s">
        <v>75</v>
      </c>
      <c r="M948" t="s">
        <v>76</v>
      </c>
      <c r="N948" t="s">
        <v>1479</v>
      </c>
      <c r="O948" t="s">
        <v>82</v>
      </c>
      <c r="P948" t="str">
        <f>"21707163676                   "</f>
        <v xml:space="preserve">21707163676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6.71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 s="4">
        <v>39.42</v>
      </c>
      <c r="BM948" s="4">
        <v>5.91</v>
      </c>
      <c r="BN948" s="4">
        <v>45.33</v>
      </c>
      <c r="BO948" s="4">
        <v>45.33</v>
      </c>
      <c r="BQ948" t="s">
        <v>121</v>
      </c>
      <c r="BR948" t="s">
        <v>84</v>
      </c>
      <c r="BS948" s="3">
        <v>43780</v>
      </c>
      <c r="BT948" s="5">
        <v>0.41666666666666669</v>
      </c>
      <c r="BU948" t="s">
        <v>1480</v>
      </c>
      <c r="BV948" t="s">
        <v>86</v>
      </c>
      <c r="BY948">
        <v>1200</v>
      </c>
      <c r="CC948" t="s">
        <v>76</v>
      </c>
      <c r="CD948">
        <v>1645</v>
      </c>
      <c r="CE948" t="s">
        <v>147</v>
      </c>
      <c r="CF948" s="3">
        <v>43781</v>
      </c>
      <c r="CI948">
        <v>1</v>
      </c>
      <c r="CJ948">
        <v>1</v>
      </c>
      <c r="CK948">
        <v>22</v>
      </c>
      <c r="CL948" t="s">
        <v>89</v>
      </c>
    </row>
    <row r="949" spans="1:90">
      <c r="A949" t="s">
        <v>72</v>
      </c>
      <c r="B949" t="s">
        <v>73</v>
      </c>
      <c r="C949" t="s">
        <v>74</v>
      </c>
      <c r="E949" t="str">
        <f>"FES1162722155"</f>
        <v>FES1162722155</v>
      </c>
      <c r="F949" s="3">
        <v>43777</v>
      </c>
      <c r="G949">
        <v>202005</v>
      </c>
      <c r="H949" t="s">
        <v>75</v>
      </c>
      <c r="I949" t="s">
        <v>76</v>
      </c>
      <c r="J949" t="s">
        <v>77</v>
      </c>
      <c r="K949" t="s">
        <v>78</v>
      </c>
      <c r="L949" t="s">
        <v>90</v>
      </c>
      <c r="M949" t="s">
        <v>91</v>
      </c>
      <c r="N949" t="s">
        <v>1481</v>
      </c>
      <c r="O949" t="s">
        <v>82</v>
      </c>
      <c r="P949" t="str">
        <f>"2170716375                    "</f>
        <v xml:space="preserve">2170716375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19.3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4.4000000000000004</v>
      </c>
      <c r="BJ949">
        <v>3</v>
      </c>
      <c r="BK949">
        <v>4.5</v>
      </c>
      <c r="BL949" s="4">
        <v>113.47</v>
      </c>
      <c r="BM949" s="4">
        <v>17.02</v>
      </c>
      <c r="BN949" s="4">
        <v>130.49</v>
      </c>
      <c r="BO949" s="4">
        <v>130.49</v>
      </c>
      <c r="BQ949" t="s">
        <v>121</v>
      </c>
      <c r="BR949" t="s">
        <v>84</v>
      </c>
      <c r="BS949" s="3">
        <v>43780</v>
      </c>
      <c r="BT949" s="5">
        <v>0.39652777777777781</v>
      </c>
      <c r="BU949" t="s">
        <v>1482</v>
      </c>
      <c r="BV949" t="s">
        <v>86</v>
      </c>
      <c r="BY949">
        <v>14870.31</v>
      </c>
      <c r="CA949" t="s">
        <v>1238</v>
      </c>
      <c r="CC949" t="s">
        <v>91</v>
      </c>
      <c r="CD949">
        <v>7441</v>
      </c>
      <c r="CE949" t="s">
        <v>88</v>
      </c>
      <c r="CF949" s="3">
        <v>43781</v>
      </c>
      <c r="CI949">
        <v>1</v>
      </c>
      <c r="CJ949">
        <v>1</v>
      </c>
      <c r="CK949">
        <v>21</v>
      </c>
      <c r="CL949" t="s">
        <v>89</v>
      </c>
    </row>
    <row r="950" spans="1:90">
      <c r="A950" t="s">
        <v>72</v>
      </c>
      <c r="B950" t="s">
        <v>73</v>
      </c>
      <c r="C950" t="s">
        <v>74</v>
      </c>
      <c r="E950" t="str">
        <f>"FES1162722139"</f>
        <v>FES1162722139</v>
      </c>
      <c r="F950" s="3">
        <v>43777</v>
      </c>
      <c r="G950">
        <v>202005</v>
      </c>
      <c r="H950" t="s">
        <v>75</v>
      </c>
      <c r="I950" t="s">
        <v>76</v>
      </c>
      <c r="J950" t="s">
        <v>77</v>
      </c>
      <c r="K950" t="s">
        <v>78</v>
      </c>
      <c r="L950" t="s">
        <v>106</v>
      </c>
      <c r="M950" t="s">
        <v>107</v>
      </c>
      <c r="N950" t="s">
        <v>489</v>
      </c>
      <c r="O950" t="s">
        <v>82</v>
      </c>
      <c r="P950" t="str">
        <f>"2170716358                    "</f>
        <v xml:space="preserve">2170716358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8.58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1.4</v>
      </c>
      <c r="BJ950">
        <v>1.2</v>
      </c>
      <c r="BK950">
        <v>1.5</v>
      </c>
      <c r="BL950" s="4">
        <v>50.45</v>
      </c>
      <c r="BM950" s="4">
        <v>7.57</v>
      </c>
      <c r="BN950" s="4">
        <v>58.02</v>
      </c>
      <c r="BO950" s="4">
        <v>58.02</v>
      </c>
      <c r="BQ950" t="s">
        <v>121</v>
      </c>
      <c r="BR950" t="s">
        <v>84</v>
      </c>
      <c r="BS950" s="3">
        <v>43780</v>
      </c>
      <c r="BT950" s="5">
        <v>0.3527777777777778</v>
      </c>
      <c r="BU950" t="s">
        <v>1483</v>
      </c>
      <c r="BV950" t="s">
        <v>86</v>
      </c>
      <c r="BY950">
        <v>6125.75</v>
      </c>
      <c r="CA950" t="s">
        <v>773</v>
      </c>
      <c r="CC950" t="s">
        <v>107</v>
      </c>
      <c r="CD950">
        <v>6001</v>
      </c>
      <c r="CE950" t="s">
        <v>88</v>
      </c>
      <c r="CF950" s="3">
        <v>43781</v>
      </c>
      <c r="CI950">
        <v>1</v>
      </c>
      <c r="CJ950">
        <v>1</v>
      </c>
      <c r="CK950">
        <v>21</v>
      </c>
      <c r="CL950" t="s">
        <v>89</v>
      </c>
    </row>
    <row r="951" spans="1:90">
      <c r="A951" t="s">
        <v>72</v>
      </c>
      <c r="B951" t="s">
        <v>73</v>
      </c>
      <c r="C951" t="s">
        <v>74</v>
      </c>
      <c r="E951" t="str">
        <f>"FES1162722140"</f>
        <v>FES1162722140</v>
      </c>
      <c r="F951" s="3">
        <v>43777</v>
      </c>
      <c r="G951">
        <v>202005</v>
      </c>
      <c r="H951" t="s">
        <v>75</v>
      </c>
      <c r="I951" t="s">
        <v>76</v>
      </c>
      <c r="J951" t="s">
        <v>77</v>
      </c>
      <c r="K951" t="s">
        <v>78</v>
      </c>
      <c r="L951" t="s">
        <v>79</v>
      </c>
      <c r="M951" t="s">
        <v>80</v>
      </c>
      <c r="N951" t="s">
        <v>1233</v>
      </c>
      <c r="O951" t="s">
        <v>82</v>
      </c>
      <c r="P951" t="str">
        <f>"2170716359                    "</f>
        <v xml:space="preserve">2170716359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8.58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1.6</v>
      </c>
      <c r="BJ951">
        <v>1.9</v>
      </c>
      <c r="BK951">
        <v>2</v>
      </c>
      <c r="BL951" s="4">
        <v>50.45</v>
      </c>
      <c r="BM951" s="4">
        <v>7.57</v>
      </c>
      <c r="BN951" s="4">
        <v>58.02</v>
      </c>
      <c r="BO951" s="4">
        <v>58.02</v>
      </c>
      <c r="BQ951" t="s">
        <v>142</v>
      </c>
      <c r="BR951" t="s">
        <v>84</v>
      </c>
      <c r="BS951" s="3">
        <v>43780</v>
      </c>
      <c r="BT951" s="5">
        <v>0.3298611111111111</v>
      </c>
      <c r="BU951" t="s">
        <v>1484</v>
      </c>
      <c r="BV951" t="s">
        <v>86</v>
      </c>
      <c r="BY951">
        <v>9329.6</v>
      </c>
      <c r="CA951" t="s">
        <v>87</v>
      </c>
      <c r="CC951" t="s">
        <v>80</v>
      </c>
      <c r="CD951">
        <v>6229</v>
      </c>
      <c r="CE951" t="s">
        <v>88</v>
      </c>
      <c r="CF951" s="3">
        <v>43782</v>
      </c>
      <c r="CI951">
        <v>1</v>
      </c>
      <c r="CJ951">
        <v>1</v>
      </c>
      <c r="CK951">
        <v>21</v>
      </c>
      <c r="CL951" t="s">
        <v>89</v>
      </c>
    </row>
    <row r="952" spans="1:90">
      <c r="A952" t="s">
        <v>72</v>
      </c>
      <c r="B952" t="s">
        <v>73</v>
      </c>
      <c r="C952" t="s">
        <v>74</v>
      </c>
      <c r="E952" t="str">
        <f>"FES1162722119"</f>
        <v>FES1162722119</v>
      </c>
      <c r="F952" s="3">
        <v>43777</v>
      </c>
      <c r="G952">
        <v>202005</v>
      </c>
      <c r="H952" t="s">
        <v>75</v>
      </c>
      <c r="I952" t="s">
        <v>76</v>
      </c>
      <c r="J952" t="s">
        <v>77</v>
      </c>
      <c r="K952" t="s">
        <v>78</v>
      </c>
      <c r="L952" t="s">
        <v>270</v>
      </c>
      <c r="M952" t="s">
        <v>271</v>
      </c>
      <c r="N952" t="s">
        <v>779</v>
      </c>
      <c r="O952" t="s">
        <v>82</v>
      </c>
      <c r="P952" t="str">
        <f>"2170714877                    "</f>
        <v xml:space="preserve">2170714877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57.9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13.4</v>
      </c>
      <c r="BJ952">
        <v>9.4</v>
      </c>
      <c r="BK952">
        <v>13.5</v>
      </c>
      <c r="BL952" s="4">
        <v>340.35</v>
      </c>
      <c r="BM952" s="4">
        <v>51.05</v>
      </c>
      <c r="BN952" s="4">
        <v>391.4</v>
      </c>
      <c r="BO952" s="4">
        <v>391.4</v>
      </c>
      <c r="BQ952" t="s">
        <v>121</v>
      </c>
      <c r="BR952" t="s">
        <v>84</v>
      </c>
      <c r="BS952" s="3">
        <v>43780</v>
      </c>
      <c r="BT952" s="5">
        <v>0.41180555555555554</v>
      </c>
      <c r="BU952" t="s">
        <v>1485</v>
      </c>
      <c r="BV952" t="s">
        <v>86</v>
      </c>
      <c r="BY952">
        <v>47064</v>
      </c>
      <c r="CA952" t="s">
        <v>773</v>
      </c>
      <c r="CC952" t="s">
        <v>271</v>
      </c>
      <c r="CD952">
        <v>6220</v>
      </c>
      <c r="CE952" t="s">
        <v>88</v>
      </c>
      <c r="CF952" s="3">
        <v>43781</v>
      </c>
      <c r="CI952">
        <v>1</v>
      </c>
      <c r="CJ952">
        <v>1</v>
      </c>
      <c r="CK952">
        <v>21</v>
      </c>
      <c r="CL952" t="s">
        <v>89</v>
      </c>
    </row>
    <row r="953" spans="1:90">
      <c r="A953" t="s">
        <v>72</v>
      </c>
      <c r="B953" t="s">
        <v>73</v>
      </c>
      <c r="C953" t="s">
        <v>74</v>
      </c>
      <c r="E953" t="str">
        <f>"FES1162722154"</f>
        <v>FES1162722154</v>
      </c>
      <c r="F953" s="3">
        <v>43777</v>
      </c>
      <c r="G953">
        <v>202005</v>
      </c>
      <c r="H953" t="s">
        <v>75</v>
      </c>
      <c r="I953" t="s">
        <v>76</v>
      </c>
      <c r="J953" t="s">
        <v>77</v>
      </c>
      <c r="K953" t="s">
        <v>78</v>
      </c>
      <c r="L953" t="s">
        <v>176</v>
      </c>
      <c r="M953" t="s">
        <v>177</v>
      </c>
      <c r="N953" t="s">
        <v>1299</v>
      </c>
      <c r="O953" t="s">
        <v>82</v>
      </c>
      <c r="P953" t="str">
        <f>"2170716373                    "</f>
        <v xml:space="preserve">2170716373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8.58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 s="4">
        <v>50.45</v>
      </c>
      <c r="BM953" s="4">
        <v>7.57</v>
      </c>
      <c r="BN953" s="4">
        <v>58.02</v>
      </c>
      <c r="BO953" s="4">
        <v>58.02</v>
      </c>
      <c r="BQ953" t="s">
        <v>1300</v>
      </c>
      <c r="BR953" t="s">
        <v>84</v>
      </c>
      <c r="BS953" s="3">
        <v>43780</v>
      </c>
      <c r="BT953" s="5">
        <v>0.34375</v>
      </c>
      <c r="BU953" t="s">
        <v>1200</v>
      </c>
      <c r="BV953" t="s">
        <v>86</v>
      </c>
      <c r="BY953">
        <v>1200</v>
      </c>
      <c r="CA953" t="s">
        <v>224</v>
      </c>
      <c r="CC953" t="s">
        <v>177</v>
      </c>
      <c r="CD953">
        <v>3610</v>
      </c>
      <c r="CE953" t="s">
        <v>147</v>
      </c>
      <c r="CF953" s="3">
        <v>43780</v>
      </c>
      <c r="CI953">
        <v>1</v>
      </c>
      <c r="CJ953">
        <v>1</v>
      </c>
      <c r="CK953">
        <v>21</v>
      </c>
      <c r="CL953" t="s">
        <v>89</v>
      </c>
    </row>
    <row r="954" spans="1:90">
      <c r="A954" t="s">
        <v>72</v>
      </c>
      <c r="B954" t="s">
        <v>73</v>
      </c>
      <c r="C954" t="s">
        <v>74</v>
      </c>
      <c r="E954" t="str">
        <f>"FES1162722138"</f>
        <v>FES1162722138</v>
      </c>
      <c r="F954" s="3">
        <v>43777</v>
      </c>
      <c r="G954">
        <v>202005</v>
      </c>
      <c r="H954" t="s">
        <v>75</v>
      </c>
      <c r="I954" t="s">
        <v>76</v>
      </c>
      <c r="J954" t="s">
        <v>77</v>
      </c>
      <c r="K954" t="s">
        <v>78</v>
      </c>
      <c r="L954" t="s">
        <v>292</v>
      </c>
      <c r="M954" t="s">
        <v>293</v>
      </c>
      <c r="N954" t="s">
        <v>294</v>
      </c>
      <c r="O954" t="s">
        <v>82</v>
      </c>
      <c r="P954" t="str">
        <f>"2170716357                    "</f>
        <v xml:space="preserve">2170716357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16.63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 s="4">
        <v>97.75</v>
      </c>
      <c r="BM954" s="4">
        <v>14.66</v>
      </c>
      <c r="BN954" s="4">
        <v>112.41</v>
      </c>
      <c r="BO954" s="4">
        <v>112.41</v>
      </c>
      <c r="BQ954" t="s">
        <v>121</v>
      </c>
      <c r="BR954" t="s">
        <v>84</v>
      </c>
      <c r="BS954" s="3">
        <v>43780</v>
      </c>
      <c r="BT954" s="5">
        <v>0.4236111111111111</v>
      </c>
      <c r="BU954" t="s">
        <v>370</v>
      </c>
      <c r="BV954" t="s">
        <v>86</v>
      </c>
      <c r="BY954">
        <v>1200</v>
      </c>
      <c r="CC954" t="s">
        <v>293</v>
      </c>
      <c r="CD954">
        <v>1947</v>
      </c>
      <c r="CE954" t="s">
        <v>147</v>
      </c>
      <c r="CF954" s="3">
        <v>43781</v>
      </c>
      <c r="CI954">
        <v>1</v>
      </c>
      <c r="CJ954">
        <v>1</v>
      </c>
      <c r="CK954">
        <v>23</v>
      </c>
      <c r="CL954" t="s">
        <v>89</v>
      </c>
    </row>
    <row r="955" spans="1:90">
      <c r="A955" t="s">
        <v>72</v>
      </c>
      <c r="B955" t="s">
        <v>73</v>
      </c>
      <c r="C955" t="s">
        <v>74</v>
      </c>
      <c r="E955" t="str">
        <f>"FES1162722122"</f>
        <v>FES1162722122</v>
      </c>
      <c r="F955" s="3">
        <v>43777</v>
      </c>
      <c r="G955">
        <v>202005</v>
      </c>
      <c r="H955" t="s">
        <v>75</v>
      </c>
      <c r="I955" t="s">
        <v>76</v>
      </c>
      <c r="J955" t="s">
        <v>77</v>
      </c>
      <c r="K955" t="s">
        <v>78</v>
      </c>
      <c r="L955" t="s">
        <v>75</v>
      </c>
      <c r="M955" t="s">
        <v>76</v>
      </c>
      <c r="N955" t="s">
        <v>1486</v>
      </c>
      <c r="O955" t="s">
        <v>82</v>
      </c>
      <c r="P955" t="str">
        <f>"217071516417                  "</f>
        <v xml:space="preserve">217071516417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6.71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 s="4">
        <v>39.42</v>
      </c>
      <c r="BM955" s="4">
        <v>5.91</v>
      </c>
      <c r="BN955" s="4">
        <v>45.33</v>
      </c>
      <c r="BO955" s="4">
        <v>45.33</v>
      </c>
      <c r="BQ955" t="s">
        <v>187</v>
      </c>
      <c r="BR955" t="s">
        <v>84</v>
      </c>
      <c r="BS955" s="3">
        <v>43780</v>
      </c>
      <c r="BT955" s="5">
        <v>0.41666666666666669</v>
      </c>
      <c r="BU955" t="s">
        <v>1487</v>
      </c>
      <c r="BV955" t="s">
        <v>86</v>
      </c>
      <c r="BY955">
        <v>1200</v>
      </c>
      <c r="CA955" t="s">
        <v>123</v>
      </c>
      <c r="CC955" t="s">
        <v>76</v>
      </c>
      <c r="CD955">
        <v>1619</v>
      </c>
      <c r="CE955" t="s">
        <v>147</v>
      </c>
      <c r="CF955" s="3">
        <v>43781</v>
      </c>
      <c r="CI955">
        <v>1</v>
      </c>
      <c r="CJ955">
        <v>1</v>
      </c>
      <c r="CK955">
        <v>22</v>
      </c>
      <c r="CL955" t="s">
        <v>89</v>
      </c>
    </row>
    <row r="956" spans="1:90">
      <c r="A956" t="s">
        <v>72</v>
      </c>
      <c r="B956" t="s">
        <v>73</v>
      </c>
      <c r="C956" t="s">
        <v>74</v>
      </c>
      <c r="E956" t="str">
        <f>"FES1162722130"</f>
        <v>FES1162722130</v>
      </c>
      <c r="F956" s="3">
        <v>43777</v>
      </c>
      <c r="G956">
        <v>202005</v>
      </c>
      <c r="H956" t="s">
        <v>75</v>
      </c>
      <c r="I956" t="s">
        <v>76</v>
      </c>
      <c r="J956" t="s">
        <v>77</v>
      </c>
      <c r="K956" t="s">
        <v>78</v>
      </c>
      <c r="L956" t="s">
        <v>75</v>
      </c>
      <c r="M956" t="s">
        <v>76</v>
      </c>
      <c r="N956" t="s">
        <v>1416</v>
      </c>
      <c r="O956" t="s">
        <v>82</v>
      </c>
      <c r="P956" t="str">
        <f>"2170716099                    "</f>
        <v xml:space="preserve">2170716099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13.94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6.4</v>
      </c>
      <c r="BJ956">
        <v>4.4000000000000004</v>
      </c>
      <c r="BK956">
        <v>6.5</v>
      </c>
      <c r="BL956" s="4">
        <v>81.93</v>
      </c>
      <c r="BM956" s="4">
        <v>12.29</v>
      </c>
      <c r="BN956" s="4">
        <v>94.22</v>
      </c>
      <c r="BO956" s="4">
        <v>94.22</v>
      </c>
      <c r="BQ956" t="s">
        <v>121</v>
      </c>
      <c r="BR956" t="s">
        <v>84</v>
      </c>
      <c r="BS956" s="3">
        <v>43780</v>
      </c>
      <c r="BT956" s="5">
        <v>0.3298611111111111</v>
      </c>
      <c r="BU956" t="s">
        <v>1488</v>
      </c>
      <c r="BV956" t="s">
        <v>86</v>
      </c>
      <c r="BY956">
        <v>21761.84</v>
      </c>
      <c r="CA956" t="s">
        <v>123</v>
      </c>
      <c r="CC956" t="s">
        <v>76</v>
      </c>
      <c r="CD956">
        <v>1601</v>
      </c>
      <c r="CE956" t="s">
        <v>88</v>
      </c>
      <c r="CF956" s="3">
        <v>43781</v>
      </c>
      <c r="CI956">
        <v>1</v>
      </c>
      <c r="CJ956">
        <v>1</v>
      </c>
      <c r="CK956">
        <v>22</v>
      </c>
      <c r="CL956" t="s">
        <v>89</v>
      </c>
    </row>
    <row r="957" spans="1:90">
      <c r="A957" t="s">
        <v>72</v>
      </c>
      <c r="B957" t="s">
        <v>73</v>
      </c>
      <c r="C957" t="s">
        <v>74</v>
      </c>
      <c r="E957" t="str">
        <f>"FES1162722129"</f>
        <v>FES1162722129</v>
      </c>
      <c r="F957" s="3">
        <v>43777</v>
      </c>
      <c r="G957">
        <v>202005</v>
      </c>
      <c r="H957" t="s">
        <v>75</v>
      </c>
      <c r="I957" t="s">
        <v>76</v>
      </c>
      <c r="J957" t="s">
        <v>77</v>
      </c>
      <c r="K957" t="s">
        <v>78</v>
      </c>
      <c r="L957" t="s">
        <v>214</v>
      </c>
      <c r="M957" t="s">
        <v>214</v>
      </c>
      <c r="N957" t="s">
        <v>314</v>
      </c>
      <c r="O957" t="s">
        <v>82</v>
      </c>
      <c r="P957" t="str">
        <f>"2170715983                    "</f>
        <v xml:space="preserve">2170715983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24.14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2.8</v>
      </c>
      <c r="BJ957">
        <v>1.3</v>
      </c>
      <c r="BK957">
        <v>3</v>
      </c>
      <c r="BL957" s="4">
        <v>141.9</v>
      </c>
      <c r="BM957" s="4">
        <v>21.29</v>
      </c>
      <c r="BN957" s="4">
        <v>163.19</v>
      </c>
      <c r="BO957" s="4">
        <v>163.19</v>
      </c>
      <c r="BQ957" t="s">
        <v>109</v>
      </c>
      <c r="BR957" t="s">
        <v>84</v>
      </c>
      <c r="BS957" s="3">
        <v>43780</v>
      </c>
      <c r="BT957" s="5">
        <v>0.47847222222222219</v>
      </c>
      <c r="BU957" t="s">
        <v>315</v>
      </c>
      <c r="BV957" t="s">
        <v>86</v>
      </c>
      <c r="BY957">
        <v>6716.29</v>
      </c>
      <c r="CA957" t="s">
        <v>217</v>
      </c>
      <c r="CC957" t="s">
        <v>214</v>
      </c>
      <c r="CD957">
        <v>7646</v>
      </c>
      <c r="CE957" t="s">
        <v>88</v>
      </c>
      <c r="CF957" s="3">
        <v>43781</v>
      </c>
      <c r="CI957">
        <v>1</v>
      </c>
      <c r="CJ957">
        <v>1</v>
      </c>
      <c r="CK957">
        <v>23</v>
      </c>
      <c r="CL957" t="s">
        <v>89</v>
      </c>
    </row>
    <row r="958" spans="1:90">
      <c r="A958" t="s">
        <v>72</v>
      </c>
      <c r="B958" t="s">
        <v>73</v>
      </c>
      <c r="C958" t="s">
        <v>74</v>
      </c>
      <c r="E958" t="str">
        <f>"FES1162722120"</f>
        <v>FES1162722120</v>
      </c>
      <c r="F958" s="3">
        <v>43777</v>
      </c>
      <c r="G958">
        <v>202005</v>
      </c>
      <c r="H958" t="s">
        <v>75</v>
      </c>
      <c r="I958" t="s">
        <v>76</v>
      </c>
      <c r="J958" t="s">
        <v>77</v>
      </c>
      <c r="K958" t="s">
        <v>78</v>
      </c>
      <c r="L958" t="s">
        <v>90</v>
      </c>
      <c r="M958" t="s">
        <v>91</v>
      </c>
      <c r="N958" t="s">
        <v>674</v>
      </c>
      <c r="O958" t="s">
        <v>82</v>
      </c>
      <c r="P958" t="str">
        <f>"2170714985                    "</f>
        <v xml:space="preserve">2170714985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21.45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4.9000000000000004</v>
      </c>
      <c r="BJ958">
        <v>1.6</v>
      </c>
      <c r="BK958">
        <v>5</v>
      </c>
      <c r="BL958" s="4">
        <v>126.08</v>
      </c>
      <c r="BM958" s="4">
        <v>18.91</v>
      </c>
      <c r="BN958" s="4">
        <v>144.99</v>
      </c>
      <c r="BO958" s="4">
        <v>144.99</v>
      </c>
      <c r="BQ958" t="s">
        <v>109</v>
      </c>
      <c r="BR958" t="s">
        <v>84</v>
      </c>
      <c r="BS958" s="3">
        <v>43780</v>
      </c>
      <c r="BT958" s="5">
        <v>0.34166666666666662</v>
      </c>
      <c r="BU958" t="s">
        <v>1120</v>
      </c>
      <c r="BV958" t="s">
        <v>86</v>
      </c>
      <c r="BY958">
        <v>8154.9</v>
      </c>
      <c r="CA958" t="s">
        <v>1121</v>
      </c>
      <c r="CC958" t="s">
        <v>91</v>
      </c>
      <c r="CD958">
        <v>7764</v>
      </c>
      <c r="CE958" t="s">
        <v>88</v>
      </c>
      <c r="CF958" s="3">
        <v>43781</v>
      </c>
      <c r="CI958">
        <v>1</v>
      </c>
      <c r="CJ958">
        <v>1</v>
      </c>
      <c r="CK958">
        <v>21</v>
      </c>
      <c r="CL958" t="s">
        <v>89</v>
      </c>
    </row>
    <row r="959" spans="1:90">
      <c r="A959" t="s">
        <v>72</v>
      </c>
      <c r="B959" t="s">
        <v>73</v>
      </c>
      <c r="C959" t="s">
        <v>74</v>
      </c>
      <c r="E959" t="str">
        <f>"FES1162722113"</f>
        <v>FES1162722113</v>
      </c>
      <c r="F959" s="3">
        <v>43777</v>
      </c>
      <c r="G959">
        <v>202005</v>
      </c>
      <c r="H959" t="s">
        <v>75</v>
      </c>
      <c r="I959" t="s">
        <v>76</v>
      </c>
      <c r="J959" t="s">
        <v>77</v>
      </c>
      <c r="K959" t="s">
        <v>78</v>
      </c>
      <c r="L959" t="s">
        <v>292</v>
      </c>
      <c r="M959" t="s">
        <v>293</v>
      </c>
      <c r="N959" t="s">
        <v>436</v>
      </c>
      <c r="O959" t="s">
        <v>82</v>
      </c>
      <c r="P959" t="str">
        <f>"2170716346                    "</f>
        <v xml:space="preserve">2170716346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16.63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 s="4">
        <v>97.75</v>
      </c>
      <c r="BM959" s="4">
        <v>14.66</v>
      </c>
      <c r="BN959" s="4">
        <v>112.41</v>
      </c>
      <c r="BO959" s="4">
        <v>112.41</v>
      </c>
      <c r="BR959" t="s">
        <v>84</v>
      </c>
      <c r="BS959" s="3">
        <v>43781</v>
      </c>
      <c r="BT959" s="5">
        <v>0.41666666666666669</v>
      </c>
      <c r="BU959" t="s">
        <v>1374</v>
      </c>
      <c r="BV959" t="s">
        <v>89</v>
      </c>
      <c r="BW959" t="s">
        <v>319</v>
      </c>
      <c r="BX959" t="s">
        <v>1323</v>
      </c>
      <c r="BY959">
        <v>1200</v>
      </c>
      <c r="CC959" t="s">
        <v>293</v>
      </c>
      <c r="CD959">
        <v>1947</v>
      </c>
      <c r="CE959" t="s">
        <v>147</v>
      </c>
      <c r="CF959" s="3">
        <v>43782</v>
      </c>
      <c r="CI959">
        <v>1</v>
      </c>
      <c r="CJ959">
        <v>2</v>
      </c>
      <c r="CK959">
        <v>23</v>
      </c>
      <c r="CL959" t="s">
        <v>89</v>
      </c>
    </row>
    <row r="960" spans="1:90">
      <c r="A960" t="s">
        <v>72</v>
      </c>
      <c r="B960" t="s">
        <v>73</v>
      </c>
      <c r="C960" t="s">
        <v>74</v>
      </c>
      <c r="E960" t="str">
        <f>"FES1162722158"</f>
        <v>FES1162722158</v>
      </c>
      <c r="F960" s="3">
        <v>43777</v>
      </c>
      <c r="G960">
        <v>202005</v>
      </c>
      <c r="H960" t="s">
        <v>75</v>
      </c>
      <c r="I960" t="s">
        <v>76</v>
      </c>
      <c r="J960" t="s">
        <v>77</v>
      </c>
      <c r="K960" t="s">
        <v>78</v>
      </c>
      <c r="L960" t="s">
        <v>90</v>
      </c>
      <c r="M960" t="s">
        <v>91</v>
      </c>
      <c r="N960" t="s">
        <v>538</v>
      </c>
      <c r="O960" t="s">
        <v>82</v>
      </c>
      <c r="P960" t="str">
        <f>"2170716377                    "</f>
        <v xml:space="preserve">2170716377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27.88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4.4000000000000004</v>
      </c>
      <c r="BJ960">
        <v>6.5</v>
      </c>
      <c r="BK960">
        <v>6.5</v>
      </c>
      <c r="BL960" s="4">
        <v>163.89</v>
      </c>
      <c r="BM960" s="4">
        <v>24.58</v>
      </c>
      <c r="BN960" s="4">
        <v>188.47</v>
      </c>
      <c r="BO960" s="4">
        <v>188.47</v>
      </c>
      <c r="BQ960" t="s">
        <v>109</v>
      </c>
      <c r="BR960" t="s">
        <v>84</v>
      </c>
      <c r="BS960" s="3">
        <v>43780</v>
      </c>
      <c r="BT960" s="5">
        <v>0.3215277777777778</v>
      </c>
      <c r="BU960" t="s">
        <v>1489</v>
      </c>
      <c r="BV960" t="s">
        <v>86</v>
      </c>
      <c r="BY960">
        <v>32666.63</v>
      </c>
      <c r="CC960" t="s">
        <v>91</v>
      </c>
      <c r="CD960">
        <v>7530</v>
      </c>
      <c r="CE960" t="s">
        <v>88</v>
      </c>
      <c r="CF960" s="3">
        <v>43781</v>
      </c>
      <c r="CI960">
        <v>1</v>
      </c>
      <c r="CJ960">
        <v>1</v>
      </c>
      <c r="CK960">
        <v>21</v>
      </c>
      <c r="CL960" t="s">
        <v>89</v>
      </c>
    </row>
    <row r="961" spans="1:90">
      <c r="A961" t="s">
        <v>72</v>
      </c>
      <c r="B961" t="s">
        <v>73</v>
      </c>
      <c r="C961" t="s">
        <v>74</v>
      </c>
      <c r="E961" t="str">
        <f>"FES1162722164"</f>
        <v>FES1162722164</v>
      </c>
      <c r="F961" s="3">
        <v>43777</v>
      </c>
      <c r="G961">
        <v>202005</v>
      </c>
      <c r="H961" t="s">
        <v>75</v>
      </c>
      <c r="I961" t="s">
        <v>76</v>
      </c>
      <c r="J961" t="s">
        <v>77</v>
      </c>
      <c r="K961" t="s">
        <v>78</v>
      </c>
      <c r="L961" t="s">
        <v>482</v>
      </c>
      <c r="M961" t="s">
        <v>483</v>
      </c>
      <c r="N961" t="s">
        <v>544</v>
      </c>
      <c r="O961" t="s">
        <v>82</v>
      </c>
      <c r="P961" t="str">
        <f>"2170716388                    "</f>
        <v xml:space="preserve">2170716388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6.71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 s="4">
        <v>39.42</v>
      </c>
      <c r="BM961" s="4">
        <v>5.91</v>
      </c>
      <c r="BN961" s="4">
        <v>45.33</v>
      </c>
      <c r="BO961" s="4">
        <v>45.33</v>
      </c>
      <c r="BQ961" t="s">
        <v>545</v>
      </c>
      <c r="BR961" t="s">
        <v>84</v>
      </c>
      <c r="BS961" s="3">
        <v>43781</v>
      </c>
      <c r="BT961" s="5">
        <v>0.39583333333333331</v>
      </c>
      <c r="BU961" t="s">
        <v>231</v>
      </c>
      <c r="BV961" t="s">
        <v>89</v>
      </c>
      <c r="BW961" t="s">
        <v>319</v>
      </c>
      <c r="BX961" t="s">
        <v>481</v>
      </c>
      <c r="BY961">
        <v>1200</v>
      </c>
      <c r="CC961" t="s">
        <v>483</v>
      </c>
      <c r="CD961">
        <v>1459</v>
      </c>
      <c r="CE961" t="s">
        <v>147</v>
      </c>
      <c r="CF961" s="3">
        <v>43782</v>
      </c>
      <c r="CI961">
        <v>1</v>
      </c>
      <c r="CJ961">
        <v>2</v>
      </c>
      <c r="CK961">
        <v>22</v>
      </c>
      <c r="CL961" t="s">
        <v>89</v>
      </c>
    </row>
    <row r="962" spans="1:90">
      <c r="A962" t="s">
        <v>72</v>
      </c>
      <c r="B962" t="s">
        <v>73</v>
      </c>
      <c r="C962" t="s">
        <v>74</v>
      </c>
      <c r="E962" t="str">
        <f>"FES1162713067"</f>
        <v>FES1162713067</v>
      </c>
      <c r="F962" s="3">
        <v>43777</v>
      </c>
      <c r="G962">
        <v>202005</v>
      </c>
      <c r="H962" t="s">
        <v>75</v>
      </c>
      <c r="I962" t="s">
        <v>76</v>
      </c>
      <c r="J962" t="s">
        <v>77</v>
      </c>
      <c r="K962" t="s">
        <v>78</v>
      </c>
      <c r="L962" t="s">
        <v>164</v>
      </c>
      <c r="M962" t="s">
        <v>165</v>
      </c>
      <c r="N962" t="s">
        <v>1490</v>
      </c>
      <c r="O962" t="s">
        <v>82</v>
      </c>
      <c r="P962" t="str">
        <f>"2170708350                    "</f>
        <v xml:space="preserve">2170708350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27.9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3.2</v>
      </c>
      <c r="BJ962">
        <v>1.6</v>
      </c>
      <c r="BK962">
        <v>3.5</v>
      </c>
      <c r="BL962" s="4">
        <v>163.98</v>
      </c>
      <c r="BM962" s="4">
        <v>24.6</v>
      </c>
      <c r="BN962" s="4">
        <v>188.58</v>
      </c>
      <c r="BO962" s="4">
        <v>188.58</v>
      </c>
      <c r="BQ962" t="s">
        <v>121</v>
      </c>
      <c r="BR962" t="s">
        <v>84</v>
      </c>
      <c r="BS962" s="3">
        <v>43781</v>
      </c>
      <c r="BT962" s="5">
        <v>0.58888888888888891</v>
      </c>
      <c r="BU962" t="s">
        <v>1491</v>
      </c>
      <c r="BV962" t="s">
        <v>86</v>
      </c>
      <c r="BY962">
        <v>7841.65</v>
      </c>
      <c r="CA962" t="s">
        <v>123</v>
      </c>
      <c r="CC962" t="s">
        <v>165</v>
      </c>
      <c r="CD962">
        <v>3370</v>
      </c>
      <c r="CE962" t="s">
        <v>88</v>
      </c>
      <c r="CF962" s="3">
        <v>43784</v>
      </c>
      <c r="CI962">
        <v>3</v>
      </c>
      <c r="CJ962">
        <v>2</v>
      </c>
      <c r="CK962">
        <v>23</v>
      </c>
      <c r="CL962" t="s">
        <v>89</v>
      </c>
    </row>
    <row r="963" spans="1:90">
      <c r="A963" t="s">
        <v>72</v>
      </c>
      <c r="B963" t="s">
        <v>73</v>
      </c>
      <c r="C963" t="s">
        <v>74</v>
      </c>
      <c r="E963" t="str">
        <f>"FES1162722008"</f>
        <v>FES1162722008</v>
      </c>
      <c r="F963" s="3">
        <v>43777</v>
      </c>
      <c r="G963">
        <v>202005</v>
      </c>
      <c r="H963" t="s">
        <v>75</v>
      </c>
      <c r="I963" t="s">
        <v>76</v>
      </c>
      <c r="J963" t="s">
        <v>77</v>
      </c>
      <c r="K963" t="s">
        <v>78</v>
      </c>
      <c r="L963" t="s">
        <v>124</v>
      </c>
      <c r="M963" t="s">
        <v>125</v>
      </c>
      <c r="N963" t="s">
        <v>218</v>
      </c>
      <c r="O963" t="s">
        <v>82</v>
      </c>
      <c r="P963" t="str">
        <f>"2170716206                    "</f>
        <v xml:space="preserve">2170716206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10.72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2.8</v>
      </c>
      <c r="BJ963">
        <v>4.2</v>
      </c>
      <c r="BK963">
        <v>4.5</v>
      </c>
      <c r="BL963" s="4">
        <v>63.03</v>
      </c>
      <c r="BM963" s="4">
        <v>9.4499999999999993</v>
      </c>
      <c r="BN963" s="4">
        <v>72.48</v>
      </c>
      <c r="BO963" s="4">
        <v>72.48</v>
      </c>
      <c r="BQ963" t="s">
        <v>121</v>
      </c>
      <c r="BR963" t="s">
        <v>84</v>
      </c>
      <c r="BS963" s="3">
        <v>43780</v>
      </c>
      <c r="BT963" s="5">
        <v>0.35833333333333334</v>
      </c>
      <c r="BU963" t="s">
        <v>1039</v>
      </c>
      <c r="BV963" t="s">
        <v>86</v>
      </c>
      <c r="BY963">
        <v>20808.8</v>
      </c>
      <c r="CA963" t="s">
        <v>123</v>
      </c>
      <c r="CC963" t="s">
        <v>125</v>
      </c>
      <c r="CD963">
        <v>2094</v>
      </c>
      <c r="CE963" t="s">
        <v>1216</v>
      </c>
      <c r="CF963" s="3">
        <v>43781</v>
      </c>
      <c r="CI963">
        <v>1</v>
      </c>
      <c r="CJ963">
        <v>1</v>
      </c>
      <c r="CK963">
        <v>22</v>
      </c>
      <c r="CL963" t="s">
        <v>89</v>
      </c>
    </row>
    <row r="964" spans="1:90">
      <c r="A964" t="s">
        <v>72</v>
      </c>
      <c r="B964" t="s">
        <v>73</v>
      </c>
      <c r="C964" t="s">
        <v>74</v>
      </c>
      <c r="E964" t="str">
        <f>"FES1162722062"</f>
        <v>FES1162722062</v>
      </c>
      <c r="F964" s="3">
        <v>43777</v>
      </c>
      <c r="G964">
        <v>202005</v>
      </c>
      <c r="H964" t="s">
        <v>75</v>
      </c>
      <c r="I964" t="s">
        <v>76</v>
      </c>
      <c r="J964" t="s">
        <v>77</v>
      </c>
      <c r="K964" t="s">
        <v>78</v>
      </c>
      <c r="L964" t="s">
        <v>124</v>
      </c>
      <c r="M964" t="s">
        <v>125</v>
      </c>
      <c r="N964" t="s">
        <v>1492</v>
      </c>
      <c r="O964" t="s">
        <v>82</v>
      </c>
      <c r="P964" t="str">
        <f>"2170716264                    "</f>
        <v xml:space="preserve">2170716264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6.71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 s="4">
        <v>39.42</v>
      </c>
      <c r="BM964" s="4">
        <v>5.91</v>
      </c>
      <c r="BN964" s="4">
        <v>45.33</v>
      </c>
      <c r="BO964" s="4">
        <v>45.33</v>
      </c>
      <c r="BQ964" t="s">
        <v>109</v>
      </c>
      <c r="BR964" t="s">
        <v>84</v>
      </c>
      <c r="BS964" s="3">
        <v>43780</v>
      </c>
      <c r="BT964" s="5">
        <v>0.33333333333333331</v>
      </c>
      <c r="BU964" t="s">
        <v>1493</v>
      </c>
      <c r="BV964" t="s">
        <v>86</v>
      </c>
      <c r="BY964">
        <v>1200</v>
      </c>
      <c r="CA964" t="s">
        <v>1494</v>
      </c>
      <c r="CC964" t="s">
        <v>125</v>
      </c>
      <c r="CD964">
        <v>2090</v>
      </c>
      <c r="CE964" t="s">
        <v>147</v>
      </c>
      <c r="CF964" s="3">
        <v>43781</v>
      </c>
      <c r="CI964">
        <v>1</v>
      </c>
      <c r="CJ964">
        <v>1</v>
      </c>
      <c r="CK964">
        <v>22</v>
      </c>
      <c r="CL964" t="s">
        <v>89</v>
      </c>
    </row>
    <row r="965" spans="1:90">
      <c r="A965" t="s">
        <v>72</v>
      </c>
      <c r="B965" t="s">
        <v>73</v>
      </c>
      <c r="C965" t="s">
        <v>74</v>
      </c>
      <c r="E965" t="str">
        <f>"FES1162722002"</f>
        <v>FES1162722002</v>
      </c>
      <c r="F965" s="3">
        <v>43777</v>
      </c>
      <c r="G965">
        <v>202005</v>
      </c>
      <c r="H965" t="s">
        <v>75</v>
      </c>
      <c r="I965" t="s">
        <v>76</v>
      </c>
      <c r="J965" t="s">
        <v>77</v>
      </c>
      <c r="K965" t="s">
        <v>78</v>
      </c>
      <c r="L965" t="s">
        <v>75</v>
      </c>
      <c r="M965" t="s">
        <v>76</v>
      </c>
      <c r="N965" t="s">
        <v>1495</v>
      </c>
      <c r="O965" t="s">
        <v>82</v>
      </c>
      <c r="P965" t="str">
        <f>"217071620133                  "</f>
        <v xml:space="preserve">217071620133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6.71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 s="4">
        <v>39.42</v>
      </c>
      <c r="BM965" s="4">
        <v>5.91</v>
      </c>
      <c r="BN965" s="4">
        <v>45.33</v>
      </c>
      <c r="BO965" s="4">
        <v>45.33</v>
      </c>
      <c r="BQ965" t="s">
        <v>1496</v>
      </c>
      <c r="BR965" t="s">
        <v>84</v>
      </c>
      <c r="BS965" s="3">
        <v>43780</v>
      </c>
      <c r="BT965" s="5">
        <v>0.3611111111111111</v>
      </c>
      <c r="BU965" t="s">
        <v>1497</v>
      </c>
      <c r="BV965" t="s">
        <v>86</v>
      </c>
      <c r="BY965">
        <v>1200</v>
      </c>
      <c r="CA965" t="s">
        <v>1498</v>
      </c>
      <c r="CC965" t="s">
        <v>76</v>
      </c>
      <c r="CD965">
        <v>1624</v>
      </c>
      <c r="CE965" t="s">
        <v>147</v>
      </c>
      <c r="CF965" s="3">
        <v>43781</v>
      </c>
      <c r="CI965">
        <v>1</v>
      </c>
      <c r="CJ965">
        <v>1</v>
      </c>
      <c r="CK965">
        <v>22</v>
      </c>
      <c r="CL965" t="s">
        <v>89</v>
      </c>
    </row>
    <row r="966" spans="1:90">
      <c r="A966" t="s">
        <v>72</v>
      </c>
      <c r="B966" t="s">
        <v>73</v>
      </c>
      <c r="C966" t="s">
        <v>74</v>
      </c>
      <c r="E966" t="str">
        <f>"FES1162722017"</f>
        <v>FES1162722017</v>
      </c>
      <c r="F966" s="3">
        <v>43777</v>
      </c>
      <c r="G966">
        <v>202005</v>
      </c>
      <c r="H966" t="s">
        <v>75</v>
      </c>
      <c r="I966" t="s">
        <v>76</v>
      </c>
      <c r="J966" t="s">
        <v>77</v>
      </c>
      <c r="K966" t="s">
        <v>78</v>
      </c>
      <c r="L966" t="s">
        <v>825</v>
      </c>
      <c r="M966" t="s">
        <v>826</v>
      </c>
      <c r="N966" t="s">
        <v>939</v>
      </c>
      <c r="O966" t="s">
        <v>82</v>
      </c>
      <c r="P966" t="str">
        <f>"2170715215                    "</f>
        <v xml:space="preserve">2170715215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12.07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 s="4">
        <v>70.95</v>
      </c>
      <c r="BM966" s="4">
        <v>10.64</v>
      </c>
      <c r="BN966" s="4">
        <v>81.59</v>
      </c>
      <c r="BO966" s="4">
        <v>81.59</v>
      </c>
      <c r="BQ966" t="s">
        <v>109</v>
      </c>
      <c r="BR966" t="s">
        <v>84</v>
      </c>
      <c r="BS966" s="3">
        <v>43780</v>
      </c>
      <c r="BT966" s="5">
        <v>0.36458333333333331</v>
      </c>
      <c r="BU966" t="s">
        <v>370</v>
      </c>
      <c r="BV966" t="s">
        <v>86</v>
      </c>
      <c r="BY966">
        <v>1200</v>
      </c>
      <c r="CC966" t="s">
        <v>826</v>
      </c>
      <c r="CD966">
        <v>1759</v>
      </c>
      <c r="CE966" t="s">
        <v>147</v>
      </c>
      <c r="CF966" s="3">
        <v>43781</v>
      </c>
      <c r="CI966">
        <v>1</v>
      </c>
      <c r="CJ966">
        <v>1</v>
      </c>
      <c r="CK966">
        <v>24</v>
      </c>
      <c r="CL966" t="s">
        <v>89</v>
      </c>
    </row>
    <row r="967" spans="1:90">
      <c r="A967" t="s">
        <v>72</v>
      </c>
      <c r="B967" t="s">
        <v>73</v>
      </c>
      <c r="C967" t="s">
        <v>74</v>
      </c>
      <c r="E967" t="str">
        <f>"FES1162722072"</f>
        <v>FES1162722072</v>
      </c>
      <c r="F967" s="3">
        <v>43777</v>
      </c>
      <c r="G967">
        <v>202005</v>
      </c>
      <c r="H967" t="s">
        <v>75</v>
      </c>
      <c r="I967" t="s">
        <v>76</v>
      </c>
      <c r="J967" t="s">
        <v>77</v>
      </c>
      <c r="K967" t="s">
        <v>78</v>
      </c>
      <c r="L967" t="s">
        <v>482</v>
      </c>
      <c r="M967" t="s">
        <v>483</v>
      </c>
      <c r="N967" t="s">
        <v>1054</v>
      </c>
      <c r="O967" t="s">
        <v>82</v>
      </c>
      <c r="P967" t="str">
        <f>"2170716277                    "</f>
        <v xml:space="preserve">2170716277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6.71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 s="4">
        <v>39.42</v>
      </c>
      <c r="BM967" s="4">
        <v>5.91</v>
      </c>
      <c r="BN967" s="4">
        <v>45.33</v>
      </c>
      <c r="BO967" s="4">
        <v>45.33</v>
      </c>
      <c r="BQ967" t="s">
        <v>109</v>
      </c>
      <c r="BR967" t="s">
        <v>84</v>
      </c>
      <c r="BS967" s="3">
        <v>43780</v>
      </c>
      <c r="BT967" s="5">
        <v>0.31944444444444448</v>
      </c>
      <c r="BU967" t="s">
        <v>1499</v>
      </c>
      <c r="BV967" t="s">
        <v>86</v>
      </c>
      <c r="BY967">
        <v>1200</v>
      </c>
      <c r="CC967" t="s">
        <v>483</v>
      </c>
      <c r="CD967">
        <v>1459</v>
      </c>
      <c r="CE967" t="s">
        <v>147</v>
      </c>
      <c r="CF967" s="3">
        <v>43781</v>
      </c>
      <c r="CI967">
        <v>1</v>
      </c>
      <c r="CJ967">
        <v>1</v>
      </c>
      <c r="CK967">
        <v>22</v>
      </c>
      <c r="CL967" t="s">
        <v>89</v>
      </c>
    </row>
    <row r="968" spans="1:90">
      <c r="A968" t="s">
        <v>72</v>
      </c>
      <c r="B968" t="s">
        <v>73</v>
      </c>
      <c r="C968" t="s">
        <v>74</v>
      </c>
      <c r="E968" t="str">
        <f>"FES1162722035"</f>
        <v>FES1162722035</v>
      </c>
      <c r="F968" s="3">
        <v>43777</v>
      </c>
      <c r="G968">
        <v>202005</v>
      </c>
      <c r="H968" t="s">
        <v>75</v>
      </c>
      <c r="I968" t="s">
        <v>76</v>
      </c>
      <c r="J968" t="s">
        <v>77</v>
      </c>
      <c r="K968" t="s">
        <v>78</v>
      </c>
      <c r="L968" t="s">
        <v>405</v>
      </c>
      <c r="M968" t="s">
        <v>406</v>
      </c>
      <c r="N968" t="s">
        <v>931</v>
      </c>
      <c r="O968" t="s">
        <v>82</v>
      </c>
      <c r="P968" t="str">
        <f>"2170716230                    "</f>
        <v xml:space="preserve">2170716230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12.07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 s="4">
        <v>70.95</v>
      </c>
      <c r="BM968" s="4">
        <v>10.64</v>
      </c>
      <c r="BN968" s="4">
        <v>81.59</v>
      </c>
      <c r="BO968" s="4">
        <v>81.59</v>
      </c>
      <c r="BQ968" t="s">
        <v>932</v>
      </c>
      <c r="BR968" t="s">
        <v>84</v>
      </c>
      <c r="BS968" s="3">
        <v>43780</v>
      </c>
      <c r="BT968" s="5">
        <v>0.39930555555555558</v>
      </c>
      <c r="BU968" t="s">
        <v>1500</v>
      </c>
      <c r="BV968" t="s">
        <v>86</v>
      </c>
      <c r="BY968">
        <v>1200</v>
      </c>
      <c r="CA968" t="s">
        <v>1501</v>
      </c>
      <c r="CC968" t="s">
        <v>406</v>
      </c>
      <c r="CD968">
        <v>250</v>
      </c>
      <c r="CE968" t="s">
        <v>147</v>
      </c>
      <c r="CF968" s="3">
        <v>43782</v>
      </c>
      <c r="CI968">
        <v>1</v>
      </c>
      <c r="CJ968">
        <v>1</v>
      </c>
      <c r="CK968">
        <v>24</v>
      </c>
      <c r="CL968" t="s">
        <v>89</v>
      </c>
    </row>
    <row r="969" spans="1:90">
      <c r="A969" t="s">
        <v>72</v>
      </c>
      <c r="B969" t="s">
        <v>73</v>
      </c>
      <c r="C969" t="s">
        <v>74</v>
      </c>
      <c r="E969" t="str">
        <f>"FES1162722037"</f>
        <v>FES1162722037</v>
      </c>
      <c r="F969" s="3">
        <v>43777</v>
      </c>
      <c r="G969">
        <v>202005</v>
      </c>
      <c r="H969" t="s">
        <v>75</v>
      </c>
      <c r="I969" t="s">
        <v>76</v>
      </c>
      <c r="J969" t="s">
        <v>77</v>
      </c>
      <c r="K969" t="s">
        <v>78</v>
      </c>
      <c r="L969" t="s">
        <v>112</v>
      </c>
      <c r="M969" t="s">
        <v>113</v>
      </c>
      <c r="N969" t="s">
        <v>160</v>
      </c>
      <c r="O969" t="s">
        <v>82</v>
      </c>
      <c r="P969" t="str">
        <f>"2170716232                    "</f>
        <v xml:space="preserve">2170716232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8.58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 s="4">
        <v>50.45</v>
      </c>
      <c r="BM969" s="4">
        <v>7.57</v>
      </c>
      <c r="BN969" s="4">
        <v>58.02</v>
      </c>
      <c r="BO969" s="4">
        <v>58.02</v>
      </c>
      <c r="BQ969" t="s">
        <v>161</v>
      </c>
      <c r="BR969" t="s">
        <v>84</v>
      </c>
      <c r="BS969" s="3">
        <v>43780</v>
      </c>
      <c r="BT969" s="5">
        <v>0.35347222222222219</v>
      </c>
      <c r="BU969" t="s">
        <v>1360</v>
      </c>
      <c r="BV969" t="s">
        <v>86</v>
      </c>
      <c r="BY969">
        <v>1200</v>
      </c>
      <c r="CA969" t="s">
        <v>163</v>
      </c>
      <c r="CC969" t="s">
        <v>113</v>
      </c>
      <c r="CD969">
        <v>4000</v>
      </c>
      <c r="CE969" t="s">
        <v>147</v>
      </c>
      <c r="CF969" s="3">
        <v>43780</v>
      </c>
      <c r="CI969">
        <v>1</v>
      </c>
      <c r="CJ969">
        <v>1</v>
      </c>
      <c r="CK969">
        <v>21</v>
      </c>
      <c r="CL969" t="s">
        <v>89</v>
      </c>
    </row>
    <row r="970" spans="1:90">
      <c r="A970" t="s">
        <v>72</v>
      </c>
      <c r="B970" t="s">
        <v>73</v>
      </c>
      <c r="C970" t="s">
        <v>74</v>
      </c>
      <c r="E970" t="str">
        <f>"FES1162722014"</f>
        <v>FES1162722014</v>
      </c>
      <c r="F970" s="3">
        <v>43777</v>
      </c>
      <c r="G970">
        <v>202005</v>
      </c>
      <c r="H970" t="s">
        <v>75</v>
      </c>
      <c r="I970" t="s">
        <v>76</v>
      </c>
      <c r="J970" t="s">
        <v>77</v>
      </c>
      <c r="K970" t="s">
        <v>78</v>
      </c>
      <c r="L970" t="s">
        <v>214</v>
      </c>
      <c r="M970" t="s">
        <v>214</v>
      </c>
      <c r="N970" t="s">
        <v>215</v>
      </c>
      <c r="O970" t="s">
        <v>82</v>
      </c>
      <c r="P970" t="str">
        <f>"2170716212                    "</f>
        <v xml:space="preserve">2170716212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16.63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0.9</v>
      </c>
      <c r="BK970">
        <v>1</v>
      </c>
      <c r="BL970" s="4">
        <v>97.75</v>
      </c>
      <c r="BM970" s="4">
        <v>14.66</v>
      </c>
      <c r="BN970" s="4">
        <v>112.41</v>
      </c>
      <c r="BO970" s="4">
        <v>112.41</v>
      </c>
      <c r="BQ970" t="s">
        <v>109</v>
      </c>
      <c r="BR970" t="s">
        <v>84</v>
      </c>
      <c r="BS970" s="3">
        <v>43780</v>
      </c>
      <c r="BT970" s="5">
        <v>0.47152777777777777</v>
      </c>
      <c r="BU970" t="s">
        <v>1502</v>
      </c>
      <c r="BV970" t="s">
        <v>86</v>
      </c>
      <c r="BY970">
        <v>4500</v>
      </c>
      <c r="CA970" t="s">
        <v>217</v>
      </c>
      <c r="CC970" t="s">
        <v>214</v>
      </c>
      <c r="CD970">
        <v>7646</v>
      </c>
      <c r="CE970" t="s">
        <v>88</v>
      </c>
      <c r="CF970" s="3">
        <v>43781</v>
      </c>
      <c r="CI970">
        <v>1</v>
      </c>
      <c r="CJ970">
        <v>1</v>
      </c>
      <c r="CK970">
        <v>23</v>
      </c>
      <c r="CL970" t="s">
        <v>89</v>
      </c>
    </row>
    <row r="971" spans="1:90">
      <c r="A971" t="s">
        <v>72</v>
      </c>
      <c r="B971" t="s">
        <v>73</v>
      </c>
      <c r="C971" t="s">
        <v>74</v>
      </c>
      <c r="E971" t="str">
        <f>"FES1162722006"</f>
        <v>FES1162722006</v>
      </c>
      <c r="F971" s="3">
        <v>43777</v>
      </c>
      <c r="G971">
        <v>202005</v>
      </c>
      <c r="H971" t="s">
        <v>75</v>
      </c>
      <c r="I971" t="s">
        <v>76</v>
      </c>
      <c r="J971" t="s">
        <v>77</v>
      </c>
      <c r="K971" t="s">
        <v>78</v>
      </c>
      <c r="L971" t="s">
        <v>101</v>
      </c>
      <c r="M971" t="s">
        <v>102</v>
      </c>
      <c r="N971" t="s">
        <v>103</v>
      </c>
      <c r="O971" t="s">
        <v>82</v>
      </c>
      <c r="P971" t="str">
        <f>"2170716204                    "</f>
        <v xml:space="preserve">2170716204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8.58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 s="4">
        <v>50.45</v>
      </c>
      <c r="BM971" s="4">
        <v>7.57</v>
      </c>
      <c r="BN971" s="4">
        <v>58.02</v>
      </c>
      <c r="BO971" s="4">
        <v>58.02</v>
      </c>
      <c r="BR971" t="s">
        <v>84</v>
      </c>
      <c r="BS971" s="3">
        <v>43781</v>
      </c>
      <c r="BT971" s="5">
        <v>0.51944444444444449</v>
      </c>
      <c r="BU971" t="s">
        <v>1503</v>
      </c>
      <c r="BV971" t="s">
        <v>89</v>
      </c>
      <c r="BW971" t="s">
        <v>319</v>
      </c>
      <c r="BX971" t="s">
        <v>1504</v>
      </c>
      <c r="BY971">
        <v>1200</v>
      </c>
      <c r="CA971" t="s">
        <v>105</v>
      </c>
      <c r="CC971" t="s">
        <v>102</v>
      </c>
      <c r="CD971">
        <v>183</v>
      </c>
      <c r="CE971" t="s">
        <v>147</v>
      </c>
      <c r="CF971" s="3">
        <v>43782</v>
      </c>
      <c r="CI971">
        <v>1</v>
      </c>
      <c r="CJ971">
        <v>2</v>
      </c>
      <c r="CK971">
        <v>21</v>
      </c>
      <c r="CL971" t="s">
        <v>89</v>
      </c>
    </row>
    <row r="972" spans="1:90">
      <c r="A972" t="s">
        <v>72</v>
      </c>
      <c r="B972" t="s">
        <v>73</v>
      </c>
      <c r="C972" t="s">
        <v>74</v>
      </c>
      <c r="E972" t="str">
        <f>"FES1162722013"</f>
        <v>FES1162722013</v>
      </c>
      <c r="F972" s="3">
        <v>43777</v>
      </c>
      <c r="G972">
        <v>202005</v>
      </c>
      <c r="H972" t="s">
        <v>75</v>
      </c>
      <c r="I972" t="s">
        <v>76</v>
      </c>
      <c r="J972" t="s">
        <v>77</v>
      </c>
      <c r="K972" t="s">
        <v>78</v>
      </c>
      <c r="L972" t="s">
        <v>482</v>
      </c>
      <c r="M972" t="s">
        <v>483</v>
      </c>
      <c r="N972" t="s">
        <v>594</v>
      </c>
      <c r="O972" t="s">
        <v>82</v>
      </c>
      <c r="P972" t="str">
        <f>"2170716211                    "</f>
        <v xml:space="preserve">2170716211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6.71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 s="4">
        <v>39.42</v>
      </c>
      <c r="BM972" s="4">
        <v>5.91</v>
      </c>
      <c r="BN972" s="4">
        <v>45.33</v>
      </c>
      <c r="BO972" s="4">
        <v>45.33</v>
      </c>
      <c r="BQ972" t="s">
        <v>109</v>
      </c>
      <c r="BR972" t="s">
        <v>84</v>
      </c>
      <c r="BS972" s="3">
        <v>43781</v>
      </c>
      <c r="BT972" s="5">
        <v>0.4375</v>
      </c>
      <c r="BU972" t="s">
        <v>595</v>
      </c>
      <c r="BV972" t="s">
        <v>89</v>
      </c>
      <c r="BW972" t="s">
        <v>319</v>
      </c>
      <c r="BX972" t="s">
        <v>743</v>
      </c>
      <c r="BY972">
        <v>1200</v>
      </c>
      <c r="CC972" t="s">
        <v>483</v>
      </c>
      <c r="CD972">
        <v>1459</v>
      </c>
      <c r="CE972" t="s">
        <v>147</v>
      </c>
      <c r="CF972" s="3">
        <v>43782</v>
      </c>
      <c r="CI972">
        <v>1</v>
      </c>
      <c r="CJ972">
        <v>2</v>
      </c>
      <c r="CK972">
        <v>22</v>
      </c>
      <c r="CL972" t="s">
        <v>89</v>
      </c>
    </row>
    <row r="973" spans="1:90">
      <c r="A973" t="s">
        <v>72</v>
      </c>
      <c r="B973" t="s">
        <v>73</v>
      </c>
      <c r="C973" t="s">
        <v>74</v>
      </c>
      <c r="E973" t="str">
        <f>"FES1162722050"</f>
        <v>FES1162722050</v>
      </c>
      <c r="F973" s="3">
        <v>43777</v>
      </c>
      <c r="G973">
        <v>202005</v>
      </c>
      <c r="H973" t="s">
        <v>75</v>
      </c>
      <c r="I973" t="s">
        <v>76</v>
      </c>
      <c r="J973" t="s">
        <v>77</v>
      </c>
      <c r="K973" t="s">
        <v>78</v>
      </c>
      <c r="L973" t="s">
        <v>292</v>
      </c>
      <c r="M973" t="s">
        <v>293</v>
      </c>
      <c r="N973" t="s">
        <v>294</v>
      </c>
      <c r="O973" t="s">
        <v>82</v>
      </c>
      <c r="P973" t="str">
        <f>"2170716245                    "</f>
        <v xml:space="preserve">2170716245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16.63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 s="4">
        <v>97.75</v>
      </c>
      <c r="BM973" s="4">
        <v>14.66</v>
      </c>
      <c r="BN973" s="4">
        <v>112.41</v>
      </c>
      <c r="BO973" s="4">
        <v>112.41</v>
      </c>
      <c r="BQ973" t="s">
        <v>121</v>
      </c>
      <c r="BR973" t="s">
        <v>84</v>
      </c>
      <c r="BS973" s="3">
        <v>43780</v>
      </c>
      <c r="BT973" s="5">
        <v>0.4236111111111111</v>
      </c>
      <c r="BU973" t="s">
        <v>370</v>
      </c>
      <c r="BV973" t="s">
        <v>86</v>
      </c>
      <c r="BY973">
        <v>1200</v>
      </c>
      <c r="CC973" t="s">
        <v>293</v>
      </c>
      <c r="CD973">
        <v>1947</v>
      </c>
      <c r="CE973" t="s">
        <v>147</v>
      </c>
      <c r="CF973" s="3">
        <v>43781</v>
      </c>
      <c r="CI973">
        <v>1</v>
      </c>
      <c r="CJ973">
        <v>1</v>
      </c>
      <c r="CK973">
        <v>23</v>
      </c>
      <c r="CL973" t="s">
        <v>89</v>
      </c>
    </row>
    <row r="974" spans="1:90">
      <c r="A974" t="s">
        <v>72</v>
      </c>
      <c r="B974" t="s">
        <v>73</v>
      </c>
      <c r="C974" t="s">
        <v>74</v>
      </c>
      <c r="E974" t="str">
        <f>"FES1162718020"</f>
        <v>FES1162718020</v>
      </c>
      <c r="F974" s="3">
        <v>43777</v>
      </c>
      <c r="G974">
        <v>202005</v>
      </c>
      <c r="H974" t="s">
        <v>75</v>
      </c>
      <c r="I974" t="s">
        <v>76</v>
      </c>
      <c r="J974" t="s">
        <v>77</v>
      </c>
      <c r="K974" t="s">
        <v>78</v>
      </c>
      <c r="L974" t="s">
        <v>164</v>
      </c>
      <c r="M974" t="s">
        <v>165</v>
      </c>
      <c r="N974" t="s">
        <v>1490</v>
      </c>
      <c r="O974" t="s">
        <v>82</v>
      </c>
      <c r="P974" t="str">
        <f>"2170710815                    "</f>
        <v xml:space="preserve">2170710815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16.63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 s="4">
        <v>97.75</v>
      </c>
      <c r="BM974" s="4">
        <v>14.66</v>
      </c>
      <c r="BN974" s="4">
        <v>112.41</v>
      </c>
      <c r="BO974" s="4">
        <v>112.41</v>
      </c>
      <c r="BQ974" t="s">
        <v>121</v>
      </c>
      <c r="BR974" t="s">
        <v>84</v>
      </c>
      <c r="BS974" s="3">
        <v>43783</v>
      </c>
      <c r="BT974" s="5">
        <v>0.4513888888888889</v>
      </c>
      <c r="BU974" t="s">
        <v>1161</v>
      </c>
      <c r="BV974" t="s">
        <v>89</v>
      </c>
      <c r="BW974" t="s">
        <v>144</v>
      </c>
      <c r="BX974" t="s">
        <v>1505</v>
      </c>
      <c r="BY974">
        <v>1200</v>
      </c>
      <c r="CA974" t="s">
        <v>1162</v>
      </c>
      <c r="CC974" t="s">
        <v>165</v>
      </c>
      <c r="CD974">
        <v>3370</v>
      </c>
      <c r="CE974" t="s">
        <v>147</v>
      </c>
      <c r="CF974" s="3">
        <v>43787</v>
      </c>
      <c r="CI974">
        <v>3</v>
      </c>
      <c r="CJ974">
        <v>4</v>
      </c>
      <c r="CK974">
        <v>23</v>
      </c>
      <c r="CL974" t="s">
        <v>89</v>
      </c>
    </row>
    <row r="975" spans="1:90">
      <c r="A975" t="s">
        <v>72</v>
      </c>
      <c r="B975" t="s">
        <v>73</v>
      </c>
      <c r="C975" t="s">
        <v>74</v>
      </c>
      <c r="E975" t="str">
        <f>"FES1162722030"</f>
        <v>FES1162722030</v>
      </c>
      <c r="F975" s="3">
        <v>43777</v>
      </c>
      <c r="G975">
        <v>202005</v>
      </c>
      <c r="H975" t="s">
        <v>75</v>
      </c>
      <c r="I975" t="s">
        <v>76</v>
      </c>
      <c r="J975" t="s">
        <v>77</v>
      </c>
      <c r="K975" t="s">
        <v>78</v>
      </c>
      <c r="L975" t="s">
        <v>90</v>
      </c>
      <c r="M975" t="s">
        <v>91</v>
      </c>
      <c r="N975" t="s">
        <v>513</v>
      </c>
      <c r="O975" t="s">
        <v>82</v>
      </c>
      <c r="P975" t="str">
        <f>"2170716223                    "</f>
        <v xml:space="preserve">2170716223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8.58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 s="4">
        <v>50.45</v>
      </c>
      <c r="BM975" s="4">
        <v>7.57</v>
      </c>
      <c r="BN975" s="4">
        <v>58.02</v>
      </c>
      <c r="BO975" s="4">
        <v>58.02</v>
      </c>
      <c r="BQ975" t="s">
        <v>800</v>
      </c>
      <c r="BR975" t="s">
        <v>84</v>
      </c>
      <c r="BS975" s="3">
        <v>43780</v>
      </c>
      <c r="BT975" s="5">
        <v>0.32708333333333334</v>
      </c>
      <c r="BU975" t="s">
        <v>1506</v>
      </c>
      <c r="BV975" t="s">
        <v>86</v>
      </c>
      <c r="BY975">
        <v>1200</v>
      </c>
      <c r="CA975" t="s">
        <v>515</v>
      </c>
      <c r="CC975" t="s">
        <v>91</v>
      </c>
      <c r="CD975">
        <v>7493</v>
      </c>
      <c r="CE975" t="s">
        <v>147</v>
      </c>
      <c r="CF975" s="3">
        <v>43781</v>
      </c>
      <c r="CI975">
        <v>1</v>
      </c>
      <c r="CJ975">
        <v>1</v>
      </c>
      <c r="CK975">
        <v>21</v>
      </c>
      <c r="CL975" t="s">
        <v>89</v>
      </c>
    </row>
    <row r="976" spans="1:90">
      <c r="A976" t="s">
        <v>72</v>
      </c>
      <c r="B976" t="s">
        <v>73</v>
      </c>
      <c r="C976" t="s">
        <v>74</v>
      </c>
      <c r="E976" t="str">
        <f>"FES1162722073"</f>
        <v>FES1162722073</v>
      </c>
      <c r="F976" s="3">
        <v>43777</v>
      </c>
      <c r="G976">
        <v>202005</v>
      </c>
      <c r="H976" t="s">
        <v>75</v>
      </c>
      <c r="I976" t="s">
        <v>76</v>
      </c>
      <c r="J976" t="s">
        <v>77</v>
      </c>
      <c r="K976" t="s">
        <v>78</v>
      </c>
      <c r="L976" t="s">
        <v>482</v>
      </c>
      <c r="M976" t="s">
        <v>483</v>
      </c>
      <c r="N976" t="s">
        <v>1507</v>
      </c>
      <c r="O976" t="s">
        <v>82</v>
      </c>
      <c r="P976" t="str">
        <f>"2170716278                    "</f>
        <v xml:space="preserve">2170716278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6.71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 s="4">
        <v>39.42</v>
      </c>
      <c r="BM976" s="4">
        <v>5.91</v>
      </c>
      <c r="BN976" s="4">
        <v>45.33</v>
      </c>
      <c r="BO976" s="4">
        <v>45.33</v>
      </c>
      <c r="BR976" t="s">
        <v>84</v>
      </c>
      <c r="BS976" s="3">
        <v>43780</v>
      </c>
      <c r="BT976" s="5">
        <v>0.32777777777777778</v>
      </c>
      <c r="BU976" t="s">
        <v>1508</v>
      </c>
      <c r="BV976" t="s">
        <v>86</v>
      </c>
      <c r="BY976">
        <v>1200</v>
      </c>
      <c r="CC976" t="s">
        <v>483</v>
      </c>
      <c r="CD976">
        <v>1459</v>
      </c>
      <c r="CE976" t="s">
        <v>147</v>
      </c>
      <c r="CF976" s="3">
        <v>43781</v>
      </c>
      <c r="CI976">
        <v>1</v>
      </c>
      <c r="CJ976">
        <v>1</v>
      </c>
      <c r="CK976">
        <v>22</v>
      </c>
      <c r="CL976" t="s">
        <v>89</v>
      </c>
    </row>
    <row r="977" spans="1:90">
      <c r="A977" t="s">
        <v>72</v>
      </c>
      <c r="B977" t="s">
        <v>73</v>
      </c>
      <c r="C977" t="s">
        <v>74</v>
      </c>
      <c r="E977" t="str">
        <f>"FES1162715494"</f>
        <v>FES1162715494</v>
      </c>
      <c r="F977" s="3">
        <v>43777</v>
      </c>
      <c r="G977">
        <v>202005</v>
      </c>
      <c r="H977" t="s">
        <v>75</v>
      </c>
      <c r="I977" t="s">
        <v>76</v>
      </c>
      <c r="J977" t="s">
        <v>77</v>
      </c>
      <c r="K977" t="s">
        <v>78</v>
      </c>
      <c r="L977" t="s">
        <v>339</v>
      </c>
      <c r="M977" t="s">
        <v>340</v>
      </c>
      <c r="N977" t="s">
        <v>1509</v>
      </c>
      <c r="O977" t="s">
        <v>82</v>
      </c>
      <c r="P977" t="str">
        <f>"2170710439                    "</f>
        <v xml:space="preserve">2170710439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8.58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 s="4">
        <v>50.45</v>
      </c>
      <c r="BM977" s="4">
        <v>7.57</v>
      </c>
      <c r="BN977" s="4">
        <v>58.02</v>
      </c>
      <c r="BO977" s="4">
        <v>58.02</v>
      </c>
      <c r="BQ977" t="s">
        <v>1510</v>
      </c>
      <c r="BR977" t="s">
        <v>84</v>
      </c>
      <c r="BS977" s="3">
        <v>43780</v>
      </c>
      <c r="BT977" s="5">
        <v>0.375</v>
      </c>
      <c r="BU977" t="s">
        <v>1511</v>
      </c>
      <c r="BV977" t="s">
        <v>86</v>
      </c>
      <c r="BY977">
        <v>1200</v>
      </c>
      <c r="CA977" t="s">
        <v>1512</v>
      </c>
      <c r="CC977" t="s">
        <v>340</v>
      </c>
      <c r="CD977">
        <v>46</v>
      </c>
      <c r="CE977" t="s">
        <v>147</v>
      </c>
      <c r="CF977" s="3">
        <v>43781</v>
      </c>
      <c r="CI977">
        <v>1</v>
      </c>
      <c r="CJ977">
        <v>1</v>
      </c>
      <c r="CK977">
        <v>21</v>
      </c>
      <c r="CL977" t="s">
        <v>89</v>
      </c>
    </row>
    <row r="978" spans="1:90">
      <c r="A978" t="s">
        <v>72</v>
      </c>
      <c r="B978" t="s">
        <v>73</v>
      </c>
      <c r="C978" t="s">
        <v>74</v>
      </c>
      <c r="E978" t="str">
        <f>"FES1162722020"</f>
        <v>FES1162722020</v>
      </c>
      <c r="F978" s="3">
        <v>43777</v>
      </c>
      <c r="G978">
        <v>202005</v>
      </c>
      <c r="H978" t="s">
        <v>75</v>
      </c>
      <c r="I978" t="s">
        <v>76</v>
      </c>
      <c r="J978" t="s">
        <v>77</v>
      </c>
      <c r="K978" t="s">
        <v>78</v>
      </c>
      <c r="L978" t="s">
        <v>296</v>
      </c>
      <c r="M978" t="s">
        <v>297</v>
      </c>
      <c r="N978" t="s">
        <v>298</v>
      </c>
      <c r="O978" t="s">
        <v>82</v>
      </c>
      <c r="P978" t="str">
        <f>"2170715906                    "</f>
        <v xml:space="preserve">2170715906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24.14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2.6</v>
      </c>
      <c r="BJ978">
        <v>1.2</v>
      </c>
      <c r="BK978">
        <v>3</v>
      </c>
      <c r="BL978" s="4">
        <v>141.9</v>
      </c>
      <c r="BM978" s="4">
        <v>21.29</v>
      </c>
      <c r="BN978" s="4">
        <v>163.19</v>
      </c>
      <c r="BO978" s="4">
        <v>163.19</v>
      </c>
      <c r="BQ978" t="s">
        <v>121</v>
      </c>
      <c r="BR978" t="s">
        <v>84</v>
      </c>
      <c r="BS978" s="3">
        <v>43781</v>
      </c>
      <c r="BT978" s="5">
        <v>0.39374999999999999</v>
      </c>
      <c r="BU978" t="s">
        <v>1513</v>
      </c>
      <c r="BV978" t="s">
        <v>86</v>
      </c>
      <c r="BY978">
        <v>5963.33</v>
      </c>
      <c r="CA978" t="s">
        <v>1514</v>
      </c>
      <c r="CC978" t="s">
        <v>297</v>
      </c>
      <c r="CD978">
        <v>6849</v>
      </c>
      <c r="CE978" t="s">
        <v>88</v>
      </c>
      <c r="CF978" s="3">
        <v>43782</v>
      </c>
      <c r="CI978">
        <v>3</v>
      </c>
      <c r="CJ978">
        <v>2</v>
      </c>
      <c r="CK978">
        <v>23</v>
      </c>
      <c r="CL978" t="s">
        <v>89</v>
      </c>
    </row>
    <row r="979" spans="1:90">
      <c r="A979" t="s">
        <v>72</v>
      </c>
      <c r="B979" t="s">
        <v>73</v>
      </c>
      <c r="C979" t="s">
        <v>74</v>
      </c>
      <c r="E979" t="str">
        <f>"FES1162722063"</f>
        <v>FES1162722063</v>
      </c>
      <c r="F979" s="3">
        <v>43777</v>
      </c>
      <c r="G979">
        <v>202005</v>
      </c>
      <c r="H979" t="s">
        <v>75</v>
      </c>
      <c r="I979" t="s">
        <v>76</v>
      </c>
      <c r="J979" t="s">
        <v>77</v>
      </c>
      <c r="K979" t="s">
        <v>78</v>
      </c>
      <c r="L979" t="s">
        <v>296</v>
      </c>
      <c r="M979" t="s">
        <v>297</v>
      </c>
      <c r="N979" t="s">
        <v>298</v>
      </c>
      <c r="O979" t="s">
        <v>82</v>
      </c>
      <c r="P979" t="str">
        <f>"2170716265                    "</f>
        <v xml:space="preserve">2170716265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35.409999999999997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4.3</v>
      </c>
      <c r="BJ979">
        <v>1.7</v>
      </c>
      <c r="BK979">
        <v>4.5</v>
      </c>
      <c r="BL979" s="4">
        <v>208.13</v>
      </c>
      <c r="BM979" s="4">
        <v>31.22</v>
      </c>
      <c r="BN979" s="4">
        <v>239.35</v>
      </c>
      <c r="BO979" s="4">
        <v>239.35</v>
      </c>
      <c r="BQ979" t="s">
        <v>121</v>
      </c>
      <c r="BR979" t="s">
        <v>84</v>
      </c>
      <c r="BS979" s="3">
        <v>43781</v>
      </c>
      <c r="BT979" s="5">
        <v>0.39374999999999999</v>
      </c>
      <c r="BU979" t="s">
        <v>1513</v>
      </c>
      <c r="BV979" t="s">
        <v>86</v>
      </c>
      <c r="BY979">
        <v>8549.76</v>
      </c>
      <c r="CA979" t="s">
        <v>1514</v>
      </c>
      <c r="CC979" t="s">
        <v>297</v>
      </c>
      <c r="CD979">
        <v>6849</v>
      </c>
      <c r="CE979" t="s">
        <v>88</v>
      </c>
      <c r="CF979" s="3">
        <v>43782</v>
      </c>
      <c r="CI979">
        <v>3</v>
      </c>
      <c r="CJ979">
        <v>2</v>
      </c>
      <c r="CK979">
        <v>23</v>
      </c>
      <c r="CL979" t="s">
        <v>89</v>
      </c>
    </row>
    <row r="980" spans="1:90">
      <c r="A980" t="s">
        <v>72</v>
      </c>
      <c r="B980" t="s">
        <v>73</v>
      </c>
      <c r="C980" t="s">
        <v>74</v>
      </c>
      <c r="E980" t="str">
        <f>"FES1162722025"</f>
        <v>FES1162722025</v>
      </c>
      <c r="F980" s="3">
        <v>43777</v>
      </c>
      <c r="G980">
        <v>202005</v>
      </c>
      <c r="H980" t="s">
        <v>75</v>
      </c>
      <c r="I980" t="s">
        <v>76</v>
      </c>
      <c r="J980" t="s">
        <v>77</v>
      </c>
      <c r="K980" t="s">
        <v>78</v>
      </c>
      <c r="L980" t="s">
        <v>164</v>
      </c>
      <c r="M980" t="s">
        <v>165</v>
      </c>
      <c r="N980" t="s">
        <v>166</v>
      </c>
      <c r="O980" t="s">
        <v>82</v>
      </c>
      <c r="P980" t="str">
        <f>"2170716217                    "</f>
        <v xml:space="preserve">2170716217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16.63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 s="4">
        <v>97.75</v>
      </c>
      <c r="BM980" s="4">
        <v>14.66</v>
      </c>
      <c r="BN980" s="4">
        <v>112.41</v>
      </c>
      <c r="BO980" s="4">
        <v>112.41</v>
      </c>
      <c r="BQ980" t="s">
        <v>121</v>
      </c>
      <c r="BR980" t="s">
        <v>84</v>
      </c>
      <c r="BS980" s="3">
        <v>43780</v>
      </c>
      <c r="BT980" s="5">
        <v>0.4513888888888889</v>
      </c>
      <c r="BU980" t="s">
        <v>416</v>
      </c>
      <c r="BV980" t="s">
        <v>86</v>
      </c>
      <c r="BY980">
        <v>1200</v>
      </c>
      <c r="CA980" t="s">
        <v>168</v>
      </c>
      <c r="CC980" t="s">
        <v>165</v>
      </c>
      <c r="CD980">
        <v>3370</v>
      </c>
      <c r="CE980" t="s">
        <v>147</v>
      </c>
      <c r="CF980" s="3">
        <v>43782</v>
      </c>
      <c r="CI980">
        <v>3</v>
      </c>
      <c r="CJ980">
        <v>1</v>
      </c>
      <c r="CK980">
        <v>23</v>
      </c>
      <c r="CL980" t="s">
        <v>89</v>
      </c>
    </row>
    <row r="981" spans="1:90">
      <c r="A981" t="s">
        <v>72</v>
      </c>
      <c r="B981" t="s">
        <v>73</v>
      </c>
      <c r="C981" t="s">
        <v>74</v>
      </c>
      <c r="E981" t="str">
        <f>"FES1162722019"</f>
        <v>FES1162722019</v>
      </c>
      <c r="F981" s="3">
        <v>43777</v>
      </c>
      <c r="G981">
        <v>202005</v>
      </c>
      <c r="H981" t="s">
        <v>75</v>
      </c>
      <c r="I981" t="s">
        <v>76</v>
      </c>
      <c r="J981" t="s">
        <v>77</v>
      </c>
      <c r="K981" t="s">
        <v>78</v>
      </c>
      <c r="L981" t="s">
        <v>176</v>
      </c>
      <c r="M981" t="s">
        <v>177</v>
      </c>
      <c r="N981" t="s">
        <v>334</v>
      </c>
      <c r="O981" t="s">
        <v>82</v>
      </c>
      <c r="P981" t="str">
        <f>"2170715872                    "</f>
        <v xml:space="preserve">2170715872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8.58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 s="4">
        <v>50.45</v>
      </c>
      <c r="BM981" s="4">
        <v>7.57</v>
      </c>
      <c r="BN981" s="4">
        <v>58.02</v>
      </c>
      <c r="BO981" s="4">
        <v>58.02</v>
      </c>
      <c r="BQ981" t="s">
        <v>121</v>
      </c>
      <c r="BR981" t="s">
        <v>84</v>
      </c>
      <c r="BS981" s="3">
        <v>43780</v>
      </c>
      <c r="BT981" s="5">
        <v>0.39583333333333331</v>
      </c>
      <c r="BU981" t="s">
        <v>335</v>
      </c>
      <c r="BV981" t="s">
        <v>86</v>
      </c>
      <c r="BY981">
        <v>1200</v>
      </c>
      <c r="CA981" t="s">
        <v>180</v>
      </c>
      <c r="CC981" t="s">
        <v>177</v>
      </c>
      <c r="CD981">
        <v>3610</v>
      </c>
      <c r="CE981" t="s">
        <v>147</v>
      </c>
      <c r="CF981" s="3">
        <v>43780</v>
      </c>
      <c r="CI981">
        <v>1</v>
      </c>
      <c r="CJ981">
        <v>1</v>
      </c>
      <c r="CK981">
        <v>21</v>
      </c>
      <c r="CL981" t="s">
        <v>89</v>
      </c>
    </row>
    <row r="982" spans="1:90">
      <c r="A982" t="s">
        <v>72</v>
      </c>
      <c r="B982" t="s">
        <v>73</v>
      </c>
      <c r="C982" t="s">
        <v>74</v>
      </c>
      <c r="E982" t="str">
        <f>"FES1162722071"</f>
        <v>FES1162722071</v>
      </c>
      <c r="F982" s="3">
        <v>43777</v>
      </c>
      <c r="G982">
        <v>202005</v>
      </c>
      <c r="H982" t="s">
        <v>75</v>
      </c>
      <c r="I982" t="s">
        <v>76</v>
      </c>
      <c r="J982" t="s">
        <v>77</v>
      </c>
      <c r="K982" t="s">
        <v>78</v>
      </c>
      <c r="L982" t="s">
        <v>1268</v>
      </c>
      <c r="M982" t="s">
        <v>1269</v>
      </c>
      <c r="N982" t="s">
        <v>1515</v>
      </c>
      <c r="O982" t="s">
        <v>82</v>
      </c>
      <c r="P982" t="str">
        <f>"2170716276                    "</f>
        <v xml:space="preserve">2170716276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8.58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 s="4">
        <v>50.45</v>
      </c>
      <c r="BM982" s="4">
        <v>7.57</v>
      </c>
      <c r="BN982" s="4">
        <v>58.02</v>
      </c>
      <c r="BO982" s="4">
        <v>58.02</v>
      </c>
      <c r="BQ982" t="s">
        <v>161</v>
      </c>
      <c r="BR982" t="s">
        <v>84</v>
      </c>
      <c r="BS982" s="3">
        <v>43780</v>
      </c>
      <c r="BT982" s="5">
        <v>0.65069444444444446</v>
      </c>
      <c r="BU982" t="s">
        <v>1516</v>
      </c>
      <c r="BV982" t="s">
        <v>86</v>
      </c>
      <c r="BY982">
        <v>1200</v>
      </c>
      <c r="CA982" t="s">
        <v>1215</v>
      </c>
      <c r="CC982" t="s">
        <v>1269</v>
      </c>
      <c r="CD982">
        <v>3280</v>
      </c>
      <c r="CE982" t="s">
        <v>147</v>
      </c>
      <c r="CF982" s="3">
        <v>43782</v>
      </c>
      <c r="CI982">
        <v>1</v>
      </c>
      <c r="CJ982">
        <v>1</v>
      </c>
      <c r="CK982">
        <v>21</v>
      </c>
      <c r="CL982" t="s">
        <v>89</v>
      </c>
    </row>
    <row r="983" spans="1:90">
      <c r="A983" t="s">
        <v>72</v>
      </c>
      <c r="B983" t="s">
        <v>73</v>
      </c>
      <c r="C983" t="s">
        <v>74</v>
      </c>
      <c r="E983" t="str">
        <f>"FES1162722007"</f>
        <v>FES1162722007</v>
      </c>
      <c r="F983" s="3">
        <v>43777</v>
      </c>
      <c r="G983">
        <v>202005</v>
      </c>
      <c r="H983" t="s">
        <v>75</v>
      </c>
      <c r="I983" t="s">
        <v>76</v>
      </c>
      <c r="J983" t="s">
        <v>77</v>
      </c>
      <c r="K983" t="s">
        <v>78</v>
      </c>
      <c r="L983" t="s">
        <v>783</v>
      </c>
      <c r="M983" t="s">
        <v>784</v>
      </c>
      <c r="N983" t="s">
        <v>785</v>
      </c>
      <c r="O983" t="s">
        <v>82</v>
      </c>
      <c r="P983" t="str">
        <f>"2170716205                    "</f>
        <v xml:space="preserve">2170716205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16.63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 s="4">
        <v>97.75</v>
      </c>
      <c r="BM983" s="4">
        <v>14.66</v>
      </c>
      <c r="BN983" s="4">
        <v>112.41</v>
      </c>
      <c r="BO983" s="4">
        <v>112.41</v>
      </c>
      <c r="BQ983" t="s">
        <v>109</v>
      </c>
      <c r="BR983" t="s">
        <v>84</v>
      </c>
      <c r="BS983" s="3">
        <v>43780</v>
      </c>
      <c r="BT983" s="5">
        <v>0.39583333333333331</v>
      </c>
      <c r="BU983" t="s">
        <v>1517</v>
      </c>
      <c r="BV983" t="s">
        <v>86</v>
      </c>
      <c r="BY983">
        <v>1200</v>
      </c>
      <c r="CA983" t="s">
        <v>123</v>
      </c>
      <c r="CC983" t="s">
        <v>784</v>
      </c>
      <c r="CD983">
        <v>9880</v>
      </c>
      <c r="CE983" t="s">
        <v>147</v>
      </c>
      <c r="CF983" s="3">
        <v>43782</v>
      </c>
      <c r="CI983">
        <v>1</v>
      </c>
      <c r="CJ983">
        <v>1</v>
      </c>
      <c r="CK983">
        <v>23</v>
      </c>
      <c r="CL983" t="s">
        <v>89</v>
      </c>
    </row>
    <row r="984" spans="1:90">
      <c r="A984" t="s">
        <v>72</v>
      </c>
      <c r="B984" t="s">
        <v>73</v>
      </c>
      <c r="C984" t="s">
        <v>74</v>
      </c>
      <c r="E984" t="str">
        <f>"FES1162722066"</f>
        <v>FES1162722066</v>
      </c>
      <c r="F984" s="3">
        <v>43777</v>
      </c>
      <c r="G984">
        <v>202005</v>
      </c>
      <c r="H984" t="s">
        <v>75</v>
      </c>
      <c r="I984" t="s">
        <v>76</v>
      </c>
      <c r="J984" t="s">
        <v>77</v>
      </c>
      <c r="K984" t="s">
        <v>78</v>
      </c>
      <c r="L984" t="s">
        <v>482</v>
      </c>
      <c r="M984" t="s">
        <v>483</v>
      </c>
      <c r="N984" t="s">
        <v>1164</v>
      </c>
      <c r="O984" t="s">
        <v>756</v>
      </c>
      <c r="P984" t="str">
        <f>"2170716267                    "</f>
        <v xml:space="preserve">2170716267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8.2100000000000009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2</v>
      </c>
      <c r="BI984">
        <v>5.3</v>
      </c>
      <c r="BJ984">
        <v>4.5999999999999996</v>
      </c>
      <c r="BK984">
        <v>6</v>
      </c>
      <c r="BL984" s="4">
        <v>48.26</v>
      </c>
      <c r="BM984" s="4">
        <v>7.24</v>
      </c>
      <c r="BN984" s="4">
        <v>55.5</v>
      </c>
      <c r="BO984" s="4">
        <v>55.5</v>
      </c>
      <c r="BP984" t="s">
        <v>757</v>
      </c>
      <c r="BQ984" t="s">
        <v>109</v>
      </c>
      <c r="BR984" t="s">
        <v>84</v>
      </c>
      <c r="BS984" s="3">
        <v>43780</v>
      </c>
      <c r="BT984" s="5">
        <v>0.375</v>
      </c>
      <c r="BU984" t="s">
        <v>1518</v>
      </c>
      <c r="BV984" t="s">
        <v>86</v>
      </c>
      <c r="BY984">
        <v>22835.77</v>
      </c>
      <c r="CC984" t="s">
        <v>483</v>
      </c>
      <c r="CD984">
        <v>1459</v>
      </c>
      <c r="CE984" t="s">
        <v>88</v>
      </c>
      <c r="CF984" s="3">
        <v>43781</v>
      </c>
      <c r="CI984">
        <v>1</v>
      </c>
      <c r="CJ984">
        <v>1</v>
      </c>
      <c r="CK984">
        <v>32</v>
      </c>
      <c r="CL984" t="s">
        <v>89</v>
      </c>
    </row>
    <row r="985" spans="1:90">
      <c r="A985" t="s">
        <v>72</v>
      </c>
      <c r="B985" t="s">
        <v>73</v>
      </c>
      <c r="C985" t="s">
        <v>74</v>
      </c>
      <c r="E985" t="str">
        <f>"FES1162722058"</f>
        <v>FES1162722058</v>
      </c>
      <c r="F985" s="3">
        <v>43777</v>
      </c>
      <c r="G985">
        <v>202005</v>
      </c>
      <c r="H985" t="s">
        <v>75</v>
      </c>
      <c r="I985" t="s">
        <v>76</v>
      </c>
      <c r="J985" t="s">
        <v>77</v>
      </c>
      <c r="K985" t="s">
        <v>78</v>
      </c>
      <c r="L985" t="s">
        <v>451</v>
      </c>
      <c r="M985" t="s">
        <v>452</v>
      </c>
      <c r="N985" t="s">
        <v>613</v>
      </c>
      <c r="O985" t="s">
        <v>82</v>
      </c>
      <c r="P985" t="str">
        <f>"2170716255                    "</f>
        <v xml:space="preserve">2170716255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8.58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 s="4">
        <v>50.45</v>
      </c>
      <c r="BM985" s="4">
        <v>7.57</v>
      </c>
      <c r="BN985" s="4">
        <v>58.02</v>
      </c>
      <c r="BO985" s="4">
        <v>58.02</v>
      </c>
      <c r="BQ985" t="s">
        <v>142</v>
      </c>
      <c r="BR985" t="s">
        <v>84</v>
      </c>
      <c r="BS985" s="3">
        <v>43780</v>
      </c>
      <c r="BT985" s="5">
        <v>0.47986111111111113</v>
      </c>
      <c r="BU985" t="s">
        <v>1519</v>
      </c>
      <c r="BV985" t="s">
        <v>86</v>
      </c>
      <c r="BY985">
        <v>1200</v>
      </c>
      <c r="CA985" t="s">
        <v>455</v>
      </c>
      <c r="CC985" t="s">
        <v>452</v>
      </c>
      <c r="CD985">
        <v>3310</v>
      </c>
      <c r="CE985" t="s">
        <v>147</v>
      </c>
      <c r="CF985" s="3">
        <v>43781</v>
      </c>
      <c r="CI985">
        <v>1</v>
      </c>
      <c r="CJ985">
        <v>1</v>
      </c>
      <c r="CK985">
        <v>21</v>
      </c>
      <c r="CL985" t="s">
        <v>89</v>
      </c>
    </row>
    <row r="986" spans="1:90">
      <c r="A986" t="s">
        <v>72</v>
      </c>
      <c r="B986" t="s">
        <v>73</v>
      </c>
      <c r="C986" t="s">
        <v>74</v>
      </c>
      <c r="E986" t="str">
        <f>"FES1162722054"</f>
        <v>FES1162722054</v>
      </c>
      <c r="F986" s="3">
        <v>43777</v>
      </c>
      <c r="G986">
        <v>202005</v>
      </c>
      <c r="H986" t="s">
        <v>75</v>
      </c>
      <c r="I986" t="s">
        <v>76</v>
      </c>
      <c r="J986" t="s">
        <v>77</v>
      </c>
      <c r="K986" t="s">
        <v>78</v>
      </c>
      <c r="L986" t="s">
        <v>112</v>
      </c>
      <c r="M986" t="s">
        <v>113</v>
      </c>
      <c r="N986" t="s">
        <v>206</v>
      </c>
      <c r="O986" t="s">
        <v>82</v>
      </c>
      <c r="P986" t="str">
        <f>"2170716250                    "</f>
        <v xml:space="preserve">2170716250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8.58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 s="4">
        <v>50.45</v>
      </c>
      <c r="BM986" s="4">
        <v>7.57</v>
      </c>
      <c r="BN986" s="4">
        <v>58.02</v>
      </c>
      <c r="BO986" s="4">
        <v>58.02</v>
      </c>
      <c r="BQ986" t="s">
        <v>109</v>
      </c>
      <c r="BR986" t="s">
        <v>84</v>
      </c>
      <c r="BS986" s="3">
        <v>43780</v>
      </c>
      <c r="BT986" s="5">
        <v>0.36805555555555558</v>
      </c>
      <c r="BU986" t="s">
        <v>1359</v>
      </c>
      <c r="BV986" t="s">
        <v>86</v>
      </c>
      <c r="BY986">
        <v>1200</v>
      </c>
      <c r="CC986" t="s">
        <v>113</v>
      </c>
      <c r="CD986">
        <v>4001</v>
      </c>
      <c r="CE986" t="s">
        <v>147</v>
      </c>
      <c r="CF986" s="3">
        <v>43781</v>
      </c>
      <c r="CI986">
        <v>1</v>
      </c>
      <c r="CJ986">
        <v>1</v>
      </c>
      <c r="CK986">
        <v>21</v>
      </c>
      <c r="CL986" t="s">
        <v>89</v>
      </c>
    </row>
    <row r="987" spans="1:90">
      <c r="A987" t="s">
        <v>72</v>
      </c>
      <c r="B987" t="s">
        <v>73</v>
      </c>
      <c r="C987" t="s">
        <v>74</v>
      </c>
      <c r="E987" t="str">
        <f>"FES1162722060"</f>
        <v>FES1162722060</v>
      </c>
      <c r="F987" s="3">
        <v>43777</v>
      </c>
      <c r="G987">
        <v>202005</v>
      </c>
      <c r="H987" t="s">
        <v>75</v>
      </c>
      <c r="I987" t="s">
        <v>76</v>
      </c>
      <c r="J987" t="s">
        <v>77</v>
      </c>
      <c r="K987" t="s">
        <v>78</v>
      </c>
      <c r="L987" t="s">
        <v>176</v>
      </c>
      <c r="M987" t="s">
        <v>177</v>
      </c>
      <c r="N987" t="s">
        <v>602</v>
      </c>
      <c r="O987" t="s">
        <v>82</v>
      </c>
      <c r="P987" t="str">
        <f>"2170716261                    "</f>
        <v xml:space="preserve">2170716261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8.58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 s="4">
        <v>50.45</v>
      </c>
      <c r="BM987" s="4">
        <v>7.57</v>
      </c>
      <c r="BN987" s="4">
        <v>58.02</v>
      </c>
      <c r="BO987" s="4">
        <v>58.02</v>
      </c>
      <c r="BQ987" t="s">
        <v>142</v>
      </c>
      <c r="BR987" t="s">
        <v>84</v>
      </c>
      <c r="BS987" s="3">
        <v>43780</v>
      </c>
      <c r="BT987" s="5">
        <v>0.41736111111111113</v>
      </c>
      <c r="BU987" t="s">
        <v>937</v>
      </c>
      <c r="BV987" t="s">
        <v>86</v>
      </c>
      <c r="BY987">
        <v>1200</v>
      </c>
      <c r="CA987" t="s">
        <v>180</v>
      </c>
      <c r="CC987" t="s">
        <v>177</v>
      </c>
      <c r="CD987">
        <v>3600</v>
      </c>
      <c r="CE987" t="s">
        <v>147</v>
      </c>
      <c r="CF987" s="3">
        <v>43780</v>
      </c>
      <c r="CI987">
        <v>1</v>
      </c>
      <c r="CJ987">
        <v>1</v>
      </c>
      <c r="CK987">
        <v>21</v>
      </c>
      <c r="CL987" t="s">
        <v>89</v>
      </c>
    </row>
    <row r="988" spans="1:90">
      <c r="A988" t="s">
        <v>72</v>
      </c>
      <c r="B988" t="s">
        <v>73</v>
      </c>
      <c r="C988" t="s">
        <v>74</v>
      </c>
      <c r="E988" t="str">
        <f>"FES1162722102"</f>
        <v>FES1162722102</v>
      </c>
      <c r="F988" s="3">
        <v>43777</v>
      </c>
      <c r="G988">
        <v>202005</v>
      </c>
      <c r="H988" t="s">
        <v>75</v>
      </c>
      <c r="I988" t="s">
        <v>76</v>
      </c>
      <c r="J988" t="s">
        <v>77</v>
      </c>
      <c r="K988" t="s">
        <v>78</v>
      </c>
      <c r="L988" t="s">
        <v>90</v>
      </c>
      <c r="M988" t="s">
        <v>91</v>
      </c>
      <c r="N988" t="s">
        <v>1520</v>
      </c>
      <c r="O988" t="s">
        <v>82</v>
      </c>
      <c r="P988" t="str">
        <f>"2170716236                    "</f>
        <v xml:space="preserve">2170716236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8.58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 s="4">
        <v>50.45</v>
      </c>
      <c r="BM988" s="4">
        <v>7.57</v>
      </c>
      <c r="BN988" s="4">
        <v>58.02</v>
      </c>
      <c r="BO988" s="4">
        <v>58.02</v>
      </c>
      <c r="BQ988" t="s">
        <v>109</v>
      </c>
      <c r="BR988" t="s">
        <v>84</v>
      </c>
      <c r="BS988" s="3">
        <v>43780</v>
      </c>
      <c r="BT988" s="5">
        <v>0.40347222222222223</v>
      </c>
      <c r="BU988" t="s">
        <v>1521</v>
      </c>
      <c r="BV988" t="s">
        <v>86</v>
      </c>
      <c r="BY988">
        <v>1200</v>
      </c>
      <c r="CA988" t="s">
        <v>1522</v>
      </c>
      <c r="CC988" t="s">
        <v>91</v>
      </c>
      <c r="CD988">
        <v>7780</v>
      </c>
      <c r="CE988" t="s">
        <v>147</v>
      </c>
      <c r="CF988" s="3">
        <v>43781</v>
      </c>
      <c r="CI988">
        <v>1</v>
      </c>
      <c r="CJ988">
        <v>1</v>
      </c>
      <c r="CK988">
        <v>21</v>
      </c>
      <c r="CL988" t="s">
        <v>89</v>
      </c>
    </row>
    <row r="989" spans="1:90">
      <c r="A989" t="s">
        <v>72</v>
      </c>
      <c r="B989" t="s">
        <v>73</v>
      </c>
      <c r="C989" t="s">
        <v>74</v>
      </c>
      <c r="E989" t="str">
        <f>"FES1162722089"</f>
        <v>FES1162722089</v>
      </c>
      <c r="F989" s="3">
        <v>43777</v>
      </c>
      <c r="G989">
        <v>202005</v>
      </c>
      <c r="H989" t="s">
        <v>75</v>
      </c>
      <c r="I989" t="s">
        <v>76</v>
      </c>
      <c r="J989" t="s">
        <v>77</v>
      </c>
      <c r="K989" t="s">
        <v>78</v>
      </c>
      <c r="L989" t="s">
        <v>214</v>
      </c>
      <c r="M989" t="s">
        <v>214</v>
      </c>
      <c r="N989" t="s">
        <v>1523</v>
      </c>
      <c r="O989" t="s">
        <v>82</v>
      </c>
      <c r="P989" t="str">
        <f>"2170716306                    "</f>
        <v xml:space="preserve">2170716306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16.63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 s="4">
        <v>97.75</v>
      </c>
      <c r="BM989" s="4">
        <v>14.66</v>
      </c>
      <c r="BN989" s="4">
        <v>112.41</v>
      </c>
      <c r="BO989" s="4">
        <v>112.41</v>
      </c>
      <c r="BR989" t="s">
        <v>84</v>
      </c>
      <c r="BS989" s="3">
        <v>43780</v>
      </c>
      <c r="BT989" s="5">
        <v>0.48333333333333334</v>
      </c>
      <c r="BU989" t="s">
        <v>706</v>
      </c>
      <c r="BV989" t="s">
        <v>86</v>
      </c>
      <c r="BY989">
        <v>1200</v>
      </c>
      <c r="CA989" t="s">
        <v>217</v>
      </c>
      <c r="CC989" t="s">
        <v>214</v>
      </c>
      <c r="CD989">
        <v>7646</v>
      </c>
      <c r="CE989" t="s">
        <v>147</v>
      </c>
      <c r="CF989" s="3">
        <v>43781</v>
      </c>
      <c r="CI989">
        <v>1</v>
      </c>
      <c r="CJ989">
        <v>1</v>
      </c>
      <c r="CK989">
        <v>23</v>
      </c>
      <c r="CL989" t="s">
        <v>89</v>
      </c>
    </row>
    <row r="990" spans="1:90">
      <c r="A990" t="s">
        <v>72</v>
      </c>
      <c r="B990" t="s">
        <v>73</v>
      </c>
      <c r="C990" t="s">
        <v>74</v>
      </c>
      <c r="E990" t="str">
        <f>"FES1162722009"</f>
        <v>FES1162722009</v>
      </c>
      <c r="F990" s="3">
        <v>43777</v>
      </c>
      <c r="G990">
        <v>202005</v>
      </c>
      <c r="H990" t="s">
        <v>75</v>
      </c>
      <c r="I990" t="s">
        <v>76</v>
      </c>
      <c r="J990" t="s">
        <v>77</v>
      </c>
      <c r="K990" t="s">
        <v>78</v>
      </c>
      <c r="L990" t="s">
        <v>106</v>
      </c>
      <c r="M990" t="s">
        <v>107</v>
      </c>
      <c r="N990" t="s">
        <v>1524</v>
      </c>
      <c r="O990" t="s">
        <v>82</v>
      </c>
      <c r="P990" t="str">
        <f>"2170716207                    "</f>
        <v xml:space="preserve">2170716207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8.58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 s="4">
        <v>50.45</v>
      </c>
      <c r="BM990" s="4">
        <v>7.57</v>
      </c>
      <c r="BN990" s="4">
        <v>58.02</v>
      </c>
      <c r="BO990" s="4">
        <v>58.02</v>
      </c>
      <c r="BQ990" t="s">
        <v>109</v>
      </c>
      <c r="BR990" t="s">
        <v>84</v>
      </c>
      <c r="BS990" s="3">
        <v>43780</v>
      </c>
      <c r="BT990" s="5">
        <v>0.4236111111111111</v>
      </c>
      <c r="BU990" t="s">
        <v>1525</v>
      </c>
      <c r="BV990" t="s">
        <v>86</v>
      </c>
      <c r="BY990">
        <v>1200</v>
      </c>
      <c r="CA990" t="s">
        <v>773</v>
      </c>
      <c r="CC990" t="s">
        <v>107</v>
      </c>
      <c r="CD990">
        <v>6100</v>
      </c>
      <c r="CE990" t="s">
        <v>147</v>
      </c>
      <c r="CF990" s="3">
        <v>43781</v>
      </c>
      <c r="CI990">
        <v>1</v>
      </c>
      <c r="CJ990">
        <v>1</v>
      </c>
      <c r="CK990">
        <v>21</v>
      </c>
      <c r="CL990" t="s">
        <v>89</v>
      </c>
    </row>
    <row r="991" spans="1:90">
      <c r="A991" t="s">
        <v>72</v>
      </c>
      <c r="B991" t="s">
        <v>73</v>
      </c>
      <c r="C991" t="s">
        <v>74</v>
      </c>
      <c r="E991" t="str">
        <f>"FES1162722011"</f>
        <v>FES1162722011</v>
      </c>
      <c r="F991" s="3">
        <v>43777</v>
      </c>
      <c r="G991">
        <v>202005</v>
      </c>
      <c r="H991" t="s">
        <v>75</v>
      </c>
      <c r="I991" t="s">
        <v>76</v>
      </c>
      <c r="J991" t="s">
        <v>77</v>
      </c>
      <c r="K991" t="s">
        <v>78</v>
      </c>
      <c r="L991" t="s">
        <v>106</v>
      </c>
      <c r="M991" t="s">
        <v>107</v>
      </c>
      <c r="N991" t="s">
        <v>108</v>
      </c>
      <c r="O991" t="s">
        <v>82</v>
      </c>
      <c r="P991" t="str">
        <f>"2170716209                    "</f>
        <v xml:space="preserve">2170716209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8.58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 s="4">
        <v>50.45</v>
      </c>
      <c r="BM991" s="4">
        <v>7.57</v>
      </c>
      <c r="BN991" s="4">
        <v>58.02</v>
      </c>
      <c r="BO991" s="4">
        <v>58.02</v>
      </c>
      <c r="BQ991" t="s">
        <v>109</v>
      </c>
      <c r="BR991" t="s">
        <v>84</v>
      </c>
      <c r="BS991" s="3">
        <v>43780</v>
      </c>
      <c r="BT991" s="5">
        <v>0.35694444444444445</v>
      </c>
      <c r="BU991" t="s">
        <v>1526</v>
      </c>
      <c r="BV991" t="s">
        <v>86</v>
      </c>
      <c r="BY991">
        <v>1200</v>
      </c>
      <c r="CA991" t="s">
        <v>111</v>
      </c>
      <c r="CC991" t="s">
        <v>107</v>
      </c>
      <c r="CD991">
        <v>6001</v>
      </c>
      <c r="CE991" t="s">
        <v>147</v>
      </c>
      <c r="CF991" s="3">
        <v>43781</v>
      </c>
      <c r="CI991">
        <v>1</v>
      </c>
      <c r="CJ991">
        <v>1</v>
      </c>
      <c r="CK991">
        <v>21</v>
      </c>
      <c r="CL991" t="s">
        <v>89</v>
      </c>
    </row>
    <row r="992" spans="1:90">
      <c r="A992" t="s">
        <v>72</v>
      </c>
      <c r="B992" t="s">
        <v>73</v>
      </c>
      <c r="C992" t="s">
        <v>74</v>
      </c>
      <c r="E992" t="str">
        <f>"FES1162722021"</f>
        <v>FES1162722021</v>
      </c>
      <c r="F992" s="3">
        <v>43777</v>
      </c>
      <c r="G992">
        <v>202005</v>
      </c>
      <c r="H992" t="s">
        <v>75</v>
      </c>
      <c r="I992" t="s">
        <v>76</v>
      </c>
      <c r="J992" t="s">
        <v>77</v>
      </c>
      <c r="K992" t="s">
        <v>78</v>
      </c>
      <c r="L992" t="s">
        <v>106</v>
      </c>
      <c r="M992" t="s">
        <v>107</v>
      </c>
      <c r="N992" t="s">
        <v>153</v>
      </c>
      <c r="O992" t="s">
        <v>82</v>
      </c>
      <c r="P992" t="str">
        <f>"2170716054                    "</f>
        <v xml:space="preserve">2170716054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8.58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 s="4">
        <v>50.45</v>
      </c>
      <c r="BM992" s="4">
        <v>7.57</v>
      </c>
      <c r="BN992" s="4">
        <v>58.02</v>
      </c>
      <c r="BO992" s="4">
        <v>58.02</v>
      </c>
      <c r="BQ992" t="s">
        <v>121</v>
      </c>
      <c r="BR992" t="s">
        <v>84</v>
      </c>
      <c r="BS992" s="3">
        <v>43780</v>
      </c>
      <c r="BT992" s="5">
        <v>0.37847222222222227</v>
      </c>
      <c r="BU992" t="s">
        <v>1527</v>
      </c>
      <c r="BV992" t="s">
        <v>86</v>
      </c>
      <c r="BY992">
        <v>1200</v>
      </c>
      <c r="CA992" t="s">
        <v>111</v>
      </c>
      <c r="CC992" t="s">
        <v>107</v>
      </c>
      <c r="CD992">
        <v>6001</v>
      </c>
      <c r="CE992" t="s">
        <v>147</v>
      </c>
      <c r="CF992" s="3">
        <v>43781</v>
      </c>
      <c r="CI992">
        <v>1</v>
      </c>
      <c r="CJ992">
        <v>1</v>
      </c>
      <c r="CK992">
        <v>21</v>
      </c>
      <c r="CL992" t="s">
        <v>89</v>
      </c>
    </row>
    <row r="993" spans="1:90">
      <c r="A993" t="s">
        <v>72</v>
      </c>
      <c r="B993" t="s">
        <v>73</v>
      </c>
      <c r="C993" t="s">
        <v>74</v>
      </c>
      <c r="E993" t="str">
        <f>"FES1162722075"</f>
        <v>FES1162722075</v>
      </c>
      <c r="F993" s="3">
        <v>43777</v>
      </c>
      <c r="G993">
        <v>202005</v>
      </c>
      <c r="H993" t="s">
        <v>75</v>
      </c>
      <c r="I993" t="s">
        <v>76</v>
      </c>
      <c r="J993" t="s">
        <v>77</v>
      </c>
      <c r="K993" t="s">
        <v>78</v>
      </c>
      <c r="L993" t="s">
        <v>90</v>
      </c>
      <c r="M993" t="s">
        <v>91</v>
      </c>
      <c r="N993" t="s">
        <v>531</v>
      </c>
      <c r="O993" t="s">
        <v>82</v>
      </c>
      <c r="P993" t="str">
        <f>"2170716280                    "</f>
        <v xml:space="preserve">2170716280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8.58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 s="4">
        <v>50.45</v>
      </c>
      <c r="BM993" s="4">
        <v>7.57</v>
      </c>
      <c r="BN993" s="4">
        <v>58.02</v>
      </c>
      <c r="BO993" s="4">
        <v>58.02</v>
      </c>
      <c r="BQ993" t="s">
        <v>121</v>
      </c>
      <c r="BR993" t="s">
        <v>84</v>
      </c>
      <c r="BS993" s="3">
        <v>43780</v>
      </c>
      <c r="BT993" s="5">
        <v>0.4055555555555555</v>
      </c>
      <c r="BU993" t="s">
        <v>1528</v>
      </c>
      <c r="BV993" t="s">
        <v>86</v>
      </c>
      <c r="BY993">
        <v>1200</v>
      </c>
      <c r="CA993" t="s">
        <v>1238</v>
      </c>
      <c r="CC993" t="s">
        <v>91</v>
      </c>
      <c r="CD993">
        <v>8001</v>
      </c>
      <c r="CE993" t="s">
        <v>147</v>
      </c>
      <c r="CF993" s="3">
        <v>43781</v>
      </c>
      <c r="CI993">
        <v>1</v>
      </c>
      <c r="CJ993">
        <v>1</v>
      </c>
      <c r="CK993">
        <v>21</v>
      </c>
      <c r="CL993" t="s">
        <v>89</v>
      </c>
    </row>
    <row r="994" spans="1:90">
      <c r="A994" t="s">
        <v>72</v>
      </c>
      <c r="B994" t="s">
        <v>73</v>
      </c>
      <c r="C994" t="s">
        <v>74</v>
      </c>
      <c r="E994" t="str">
        <f>"FES1162722015"</f>
        <v>FES1162722015</v>
      </c>
      <c r="F994" s="3">
        <v>43777</v>
      </c>
      <c r="G994">
        <v>202005</v>
      </c>
      <c r="H994" t="s">
        <v>75</v>
      </c>
      <c r="I994" t="s">
        <v>76</v>
      </c>
      <c r="J994" t="s">
        <v>77</v>
      </c>
      <c r="K994" t="s">
        <v>78</v>
      </c>
      <c r="L994" t="s">
        <v>192</v>
      </c>
      <c r="M994" t="s">
        <v>193</v>
      </c>
      <c r="N994" t="s">
        <v>1529</v>
      </c>
      <c r="O994" t="s">
        <v>82</v>
      </c>
      <c r="P994" t="str">
        <f>"2170716213                    "</f>
        <v xml:space="preserve">2170716213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16.63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 s="4">
        <v>97.75</v>
      </c>
      <c r="BM994" s="4">
        <v>14.66</v>
      </c>
      <c r="BN994" s="4">
        <v>112.41</v>
      </c>
      <c r="BO994" s="4">
        <v>112.41</v>
      </c>
      <c r="BQ994" t="s">
        <v>121</v>
      </c>
      <c r="BR994" t="s">
        <v>84</v>
      </c>
      <c r="BS994" s="3">
        <v>43780</v>
      </c>
      <c r="BT994" s="5">
        <v>0.52916666666666667</v>
      </c>
      <c r="BU994" t="s">
        <v>1530</v>
      </c>
      <c r="BV994" t="s">
        <v>86</v>
      </c>
      <c r="BY994">
        <v>1200</v>
      </c>
      <c r="CA994" t="s">
        <v>1364</v>
      </c>
      <c r="CC994" t="s">
        <v>193</v>
      </c>
      <c r="CD994">
        <v>7130</v>
      </c>
      <c r="CE994" t="s">
        <v>147</v>
      </c>
      <c r="CF994" s="3">
        <v>43781</v>
      </c>
      <c r="CI994">
        <v>1</v>
      </c>
      <c r="CJ994">
        <v>1</v>
      </c>
      <c r="CK994">
        <v>23</v>
      </c>
      <c r="CL994" t="s">
        <v>89</v>
      </c>
    </row>
    <row r="995" spans="1:90">
      <c r="A995" t="s">
        <v>72</v>
      </c>
      <c r="B995" t="s">
        <v>73</v>
      </c>
      <c r="C995" t="s">
        <v>74</v>
      </c>
      <c r="E995" t="str">
        <f>"FES1162722070"</f>
        <v>FES1162722070</v>
      </c>
      <c r="F995" s="3">
        <v>43777</v>
      </c>
      <c r="G995">
        <v>202005</v>
      </c>
      <c r="H995" t="s">
        <v>75</v>
      </c>
      <c r="I995" t="s">
        <v>76</v>
      </c>
      <c r="J995" t="s">
        <v>77</v>
      </c>
      <c r="K995" t="s">
        <v>78</v>
      </c>
      <c r="L995" t="s">
        <v>214</v>
      </c>
      <c r="M995" t="s">
        <v>214</v>
      </c>
      <c r="N995" t="s">
        <v>403</v>
      </c>
      <c r="O995" t="s">
        <v>82</v>
      </c>
      <c r="P995" t="str">
        <f>"2170716275                    "</f>
        <v xml:space="preserve">2170716275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16.63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 s="4">
        <v>97.75</v>
      </c>
      <c r="BM995" s="4">
        <v>14.66</v>
      </c>
      <c r="BN995" s="4">
        <v>112.41</v>
      </c>
      <c r="BO995" s="4">
        <v>112.41</v>
      </c>
      <c r="BQ995" t="s">
        <v>121</v>
      </c>
      <c r="BR995" t="s">
        <v>84</v>
      </c>
      <c r="BS995" s="3">
        <v>43780</v>
      </c>
      <c r="BT995" s="5">
        <v>0.46736111111111112</v>
      </c>
      <c r="BU995" t="s">
        <v>1150</v>
      </c>
      <c r="BV995" t="s">
        <v>86</v>
      </c>
      <c r="BY995">
        <v>1200</v>
      </c>
      <c r="CA995" t="s">
        <v>217</v>
      </c>
      <c r="CC995" t="s">
        <v>214</v>
      </c>
      <c r="CD995">
        <v>7646</v>
      </c>
      <c r="CE995" t="s">
        <v>147</v>
      </c>
      <c r="CF995" s="3">
        <v>43781</v>
      </c>
      <c r="CI995">
        <v>1</v>
      </c>
      <c r="CJ995">
        <v>1</v>
      </c>
      <c r="CK995">
        <v>23</v>
      </c>
      <c r="CL995" t="s">
        <v>89</v>
      </c>
    </row>
    <row r="996" spans="1:90">
      <c r="A996" t="s">
        <v>72</v>
      </c>
      <c r="B996" t="s">
        <v>73</v>
      </c>
      <c r="C996" t="s">
        <v>74</v>
      </c>
      <c r="E996" t="str">
        <f>"FES1162722068"</f>
        <v>FES1162722068</v>
      </c>
      <c r="F996" s="3">
        <v>43777</v>
      </c>
      <c r="G996">
        <v>202005</v>
      </c>
      <c r="H996" t="s">
        <v>75</v>
      </c>
      <c r="I996" t="s">
        <v>76</v>
      </c>
      <c r="J996" t="s">
        <v>77</v>
      </c>
      <c r="K996" t="s">
        <v>78</v>
      </c>
      <c r="L996" t="s">
        <v>90</v>
      </c>
      <c r="M996" t="s">
        <v>91</v>
      </c>
      <c r="N996" t="s">
        <v>1236</v>
      </c>
      <c r="O996" t="s">
        <v>82</v>
      </c>
      <c r="P996" t="str">
        <f>"2170716271                    "</f>
        <v xml:space="preserve">2170716271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8.58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 s="4">
        <v>50.45</v>
      </c>
      <c r="BM996" s="4">
        <v>7.57</v>
      </c>
      <c r="BN996" s="4">
        <v>58.02</v>
      </c>
      <c r="BO996" s="4">
        <v>58.02</v>
      </c>
      <c r="BQ996" t="s">
        <v>109</v>
      </c>
      <c r="BR996" t="s">
        <v>84</v>
      </c>
      <c r="BS996" s="3">
        <v>43780</v>
      </c>
      <c r="BT996" s="5">
        <v>0.38958333333333334</v>
      </c>
      <c r="BU996" t="s">
        <v>1531</v>
      </c>
      <c r="BV996" t="s">
        <v>86</v>
      </c>
      <c r="BY996">
        <v>1200</v>
      </c>
      <c r="CA996" t="s">
        <v>1238</v>
      </c>
      <c r="CC996" t="s">
        <v>91</v>
      </c>
      <c r="CD996">
        <v>7441</v>
      </c>
      <c r="CE996" t="s">
        <v>147</v>
      </c>
      <c r="CF996" s="3">
        <v>43781</v>
      </c>
      <c r="CI996">
        <v>1</v>
      </c>
      <c r="CJ996">
        <v>1</v>
      </c>
      <c r="CK996">
        <v>21</v>
      </c>
      <c r="CL996" t="s">
        <v>89</v>
      </c>
    </row>
    <row r="997" spans="1:90">
      <c r="A997" t="s">
        <v>72</v>
      </c>
      <c r="B997" t="s">
        <v>73</v>
      </c>
      <c r="C997" t="s">
        <v>74</v>
      </c>
      <c r="E997" t="str">
        <f>"FES1162722024"</f>
        <v>FES1162722024</v>
      </c>
      <c r="F997" s="3">
        <v>43777</v>
      </c>
      <c r="G997">
        <v>202005</v>
      </c>
      <c r="H997" t="s">
        <v>75</v>
      </c>
      <c r="I997" t="s">
        <v>76</v>
      </c>
      <c r="J997" t="s">
        <v>77</v>
      </c>
      <c r="K997" t="s">
        <v>78</v>
      </c>
      <c r="L997" t="s">
        <v>578</v>
      </c>
      <c r="M997" t="s">
        <v>579</v>
      </c>
      <c r="N997" t="s">
        <v>1532</v>
      </c>
      <c r="O997" t="s">
        <v>82</v>
      </c>
      <c r="P997" t="str">
        <f>"2170716216                    "</f>
        <v xml:space="preserve">2170716216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8.58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 s="4">
        <v>50.45</v>
      </c>
      <c r="BM997" s="4">
        <v>7.57</v>
      </c>
      <c r="BN997" s="4">
        <v>58.02</v>
      </c>
      <c r="BO997" s="4">
        <v>58.02</v>
      </c>
      <c r="BQ997" t="s">
        <v>121</v>
      </c>
      <c r="BR997" t="s">
        <v>84</v>
      </c>
      <c r="BS997" s="3">
        <v>43780</v>
      </c>
      <c r="BT997" s="5">
        <v>0.47083333333333338</v>
      </c>
      <c r="BU997" t="s">
        <v>1533</v>
      </c>
      <c r="BV997" t="s">
        <v>86</v>
      </c>
      <c r="BY997">
        <v>1200</v>
      </c>
      <c r="CA997" t="s">
        <v>1022</v>
      </c>
      <c r="CC997" t="s">
        <v>579</v>
      </c>
      <c r="CD997">
        <v>7600</v>
      </c>
      <c r="CE997" t="s">
        <v>147</v>
      </c>
      <c r="CF997" s="3">
        <v>43781</v>
      </c>
      <c r="CI997">
        <v>1</v>
      </c>
      <c r="CJ997">
        <v>1</v>
      </c>
      <c r="CK997">
        <v>21</v>
      </c>
      <c r="CL997" t="s">
        <v>89</v>
      </c>
    </row>
    <row r="998" spans="1:90">
      <c r="A998" t="s">
        <v>72</v>
      </c>
      <c r="B998" t="s">
        <v>73</v>
      </c>
      <c r="C998" t="s">
        <v>74</v>
      </c>
      <c r="E998" t="str">
        <f>"FES1162722067"</f>
        <v>FES1162722067</v>
      </c>
      <c r="F998" s="3">
        <v>43777</v>
      </c>
      <c r="G998">
        <v>202005</v>
      </c>
      <c r="H998" t="s">
        <v>75</v>
      </c>
      <c r="I998" t="s">
        <v>76</v>
      </c>
      <c r="J998" t="s">
        <v>77</v>
      </c>
      <c r="K998" t="s">
        <v>78</v>
      </c>
      <c r="L998" t="s">
        <v>75</v>
      </c>
      <c r="M998" t="s">
        <v>76</v>
      </c>
      <c r="N998" t="s">
        <v>360</v>
      </c>
      <c r="O998" t="s">
        <v>82</v>
      </c>
      <c r="P998" t="str">
        <f>"2170716270                    "</f>
        <v xml:space="preserve">2170716270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6.71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 s="4">
        <v>39.42</v>
      </c>
      <c r="BM998" s="4">
        <v>5.91</v>
      </c>
      <c r="BN998" s="4">
        <v>45.33</v>
      </c>
      <c r="BO998" s="4">
        <v>45.33</v>
      </c>
      <c r="BQ998" t="s">
        <v>109</v>
      </c>
      <c r="BR998" t="s">
        <v>84</v>
      </c>
      <c r="BS998" s="3">
        <v>43780</v>
      </c>
      <c r="BT998" s="5">
        <v>0.32291666666666669</v>
      </c>
      <c r="BU998" t="s">
        <v>1534</v>
      </c>
      <c r="BV998" t="s">
        <v>86</v>
      </c>
      <c r="BY998">
        <v>1200</v>
      </c>
      <c r="CC998" t="s">
        <v>76</v>
      </c>
      <c r="CD998">
        <v>1645</v>
      </c>
      <c r="CE998" t="s">
        <v>147</v>
      </c>
      <c r="CI998">
        <v>1</v>
      </c>
      <c r="CJ998">
        <v>1</v>
      </c>
      <c r="CK998">
        <v>22</v>
      </c>
      <c r="CL998" t="s">
        <v>89</v>
      </c>
    </row>
    <row r="999" spans="1:90">
      <c r="A999" t="s">
        <v>72</v>
      </c>
      <c r="B999" t="s">
        <v>73</v>
      </c>
      <c r="C999" t="s">
        <v>74</v>
      </c>
      <c r="E999" t="str">
        <f>"FES1162722088"</f>
        <v>FES1162722088</v>
      </c>
      <c r="F999" s="3">
        <v>43777</v>
      </c>
      <c r="G999">
        <v>202005</v>
      </c>
      <c r="H999" t="s">
        <v>75</v>
      </c>
      <c r="I999" t="s">
        <v>76</v>
      </c>
      <c r="J999" t="s">
        <v>77</v>
      </c>
      <c r="K999" t="s">
        <v>78</v>
      </c>
      <c r="L999" t="s">
        <v>522</v>
      </c>
      <c r="M999" t="s">
        <v>523</v>
      </c>
      <c r="N999" t="s">
        <v>1535</v>
      </c>
      <c r="O999" t="s">
        <v>82</v>
      </c>
      <c r="P999" t="str">
        <f>"2170716305                    "</f>
        <v xml:space="preserve">2170716305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16.63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 s="4">
        <v>97.75</v>
      </c>
      <c r="BM999" s="4">
        <v>14.66</v>
      </c>
      <c r="BN999" s="4">
        <v>112.41</v>
      </c>
      <c r="BO999" s="4">
        <v>112.41</v>
      </c>
      <c r="BQ999" t="s">
        <v>1536</v>
      </c>
      <c r="BR999" t="s">
        <v>84</v>
      </c>
      <c r="BS999" s="3">
        <v>43784</v>
      </c>
      <c r="BT999" s="5">
        <v>0.33333333333333331</v>
      </c>
      <c r="BU999" t="s">
        <v>1537</v>
      </c>
      <c r="BV999" t="s">
        <v>89</v>
      </c>
      <c r="BW999" t="s">
        <v>319</v>
      </c>
      <c r="BX999" t="s">
        <v>1538</v>
      </c>
      <c r="BY999">
        <v>1200</v>
      </c>
      <c r="CA999" t="s">
        <v>526</v>
      </c>
      <c r="CC999" t="s">
        <v>523</v>
      </c>
      <c r="CD999">
        <v>1911</v>
      </c>
      <c r="CE999" t="s">
        <v>147</v>
      </c>
      <c r="CI999">
        <v>1</v>
      </c>
      <c r="CJ999">
        <v>5</v>
      </c>
      <c r="CK999">
        <v>23</v>
      </c>
      <c r="CL999" t="s">
        <v>89</v>
      </c>
    </row>
    <row r="1000" spans="1:90">
      <c r="A1000" t="s">
        <v>72</v>
      </c>
      <c r="B1000" t="s">
        <v>73</v>
      </c>
      <c r="C1000" t="s">
        <v>74</v>
      </c>
      <c r="E1000" t="str">
        <f>"FES1162722031"</f>
        <v>FES1162722031</v>
      </c>
      <c r="F1000" s="3">
        <v>43777</v>
      </c>
      <c r="G1000">
        <v>202005</v>
      </c>
      <c r="H1000" t="s">
        <v>75</v>
      </c>
      <c r="I1000" t="s">
        <v>76</v>
      </c>
      <c r="J1000" t="s">
        <v>77</v>
      </c>
      <c r="K1000" t="s">
        <v>78</v>
      </c>
      <c r="L1000" t="s">
        <v>202</v>
      </c>
      <c r="M1000" t="s">
        <v>203</v>
      </c>
      <c r="N1000" t="s">
        <v>521</v>
      </c>
      <c r="O1000" t="s">
        <v>82</v>
      </c>
      <c r="P1000" t="str">
        <f>"2170716226                    "</f>
        <v xml:space="preserve">2170716226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6.71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 s="4">
        <v>39.42</v>
      </c>
      <c r="BM1000" s="4">
        <v>5.91</v>
      </c>
      <c r="BN1000" s="4">
        <v>45.33</v>
      </c>
      <c r="BO1000" s="4">
        <v>45.33</v>
      </c>
      <c r="BQ1000" t="s">
        <v>109</v>
      </c>
      <c r="BR1000" t="s">
        <v>84</v>
      </c>
      <c r="BS1000" s="3">
        <v>43780</v>
      </c>
      <c r="BT1000" s="5">
        <v>0.35416666666666669</v>
      </c>
      <c r="BU1000" t="s">
        <v>1539</v>
      </c>
      <c r="BV1000" t="s">
        <v>86</v>
      </c>
      <c r="BY1000">
        <v>1200</v>
      </c>
      <c r="CC1000" t="s">
        <v>203</v>
      </c>
      <c r="CD1000">
        <v>1428</v>
      </c>
      <c r="CE1000" t="s">
        <v>147</v>
      </c>
      <c r="CF1000" s="3">
        <v>43781</v>
      </c>
      <c r="CI1000">
        <v>1</v>
      </c>
      <c r="CJ1000">
        <v>1</v>
      </c>
      <c r="CK1000">
        <v>22</v>
      </c>
      <c r="CL1000" t="s">
        <v>89</v>
      </c>
    </row>
    <row r="1001" spans="1:90">
      <c r="A1001" t="s">
        <v>72</v>
      </c>
      <c r="B1001" t="s">
        <v>73</v>
      </c>
      <c r="C1001" t="s">
        <v>74</v>
      </c>
      <c r="E1001" t="str">
        <f>"FES1162722052"</f>
        <v>FES1162722052</v>
      </c>
      <c r="F1001" s="3">
        <v>43777</v>
      </c>
      <c r="G1001">
        <v>202005</v>
      </c>
      <c r="H1001" t="s">
        <v>75</v>
      </c>
      <c r="I1001" t="s">
        <v>76</v>
      </c>
      <c r="J1001" t="s">
        <v>77</v>
      </c>
      <c r="K1001" t="s">
        <v>78</v>
      </c>
      <c r="L1001" t="s">
        <v>482</v>
      </c>
      <c r="M1001" t="s">
        <v>483</v>
      </c>
      <c r="N1001" t="s">
        <v>1540</v>
      </c>
      <c r="O1001" t="s">
        <v>82</v>
      </c>
      <c r="P1001" t="str">
        <f>"2170716248                    "</f>
        <v xml:space="preserve">2170716248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6.71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 s="4">
        <v>39.42</v>
      </c>
      <c r="BM1001" s="4">
        <v>5.91</v>
      </c>
      <c r="BN1001" s="4">
        <v>45.33</v>
      </c>
      <c r="BO1001" s="4">
        <v>45.33</v>
      </c>
      <c r="BQ1001" t="s">
        <v>109</v>
      </c>
      <c r="BR1001" t="s">
        <v>84</v>
      </c>
      <c r="BS1001" s="3">
        <v>43780</v>
      </c>
      <c r="BT1001" s="5">
        <v>0.375</v>
      </c>
      <c r="BU1001" t="s">
        <v>1541</v>
      </c>
      <c r="BV1001" t="s">
        <v>86</v>
      </c>
      <c r="BY1001">
        <v>1200</v>
      </c>
      <c r="CC1001" t="s">
        <v>483</v>
      </c>
      <c r="CD1001">
        <v>1459</v>
      </c>
      <c r="CE1001" t="s">
        <v>147</v>
      </c>
      <c r="CF1001" s="3">
        <v>43781</v>
      </c>
      <c r="CI1001">
        <v>1</v>
      </c>
      <c r="CJ1001">
        <v>1</v>
      </c>
      <c r="CK1001">
        <v>22</v>
      </c>
      <c r="CL1001" t="s">
        <v>89</v>
      </c>
    </row>
    <row r="1002" spans="1:90">
      <c r="A1002" t="s">
        <v>72</v>
      </c>
      <c r="B1002" t="s">
        <v>73</v>
      </c>
      <c r="C1002" t="s">
        <v>74</v>
      </c>
      <c r="E1002" t="str">
        <f>"FES1162722032"</f>
        <v>FES1162722032</v>
      </c>
      <c r="F1002" s="3">
        <v>43777</v>
      </c>
      <c r="G1002">
        <v>202005</v>
      </c>
      <c r="H1002" t="s">
        <v>75</v>
      </c>
      <c r="I1002" t="s">
        <v>76</v>
      </c>
      <c r="J1002" t="s">
        <v>77</v>
      </c>
      <c r="K1002" t="s">
        <v>78</v>
      </c>
      <c r="L1002" t="s">
        <v>405</v>
      </c>
      <c r="M1002" t="s">
        <v>406</v>
      </c>
      <c r="N1002" t="s">
        <v>931</v>
      </c>
      <c r="O1002" t="s">
        <v>82</v>
      </c>
      <c r="P1002" t="str">
        <f>"2170716227                    "</f>
        <v xml:space="preserve">2170716227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12.07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 s="4">
        <v>70.95</v>
      </c>
      <c r="BM1002" s="4">
        <v>10.64</v>
      </c>
      <c r="BN1002" s="4">
        <v>81.59</v>
      </c>
      <c r="BO1002" s="4">
        <v>81.59</v>
      </c>
      <c r="BQ1002" t="s">
        <v>932</v>
      </c>
      <c r="BR1002" t="s">
        <v>84</v>
      </c>
      <c r="BS1002" s="3">
        <v>43780</v>
      </c>
      <c r="BT1002" s="5">
        <v>0.36805555555555558</v>
      </c>
      <c r="BU1002" t="s">
        <v>1500</v>
      </c>
      <c r="BV1002" t="s">
        <v>86</v>
      </c>
      <c r="BY1002">
        <v>1200</v>
      </c>
      <c r="CA1002" t="s">
        <v>1501</v>
      </c>
      <c r="CC1002" t="s">
        <v>406</v>
      </c>
      <c r="CD1002">
        <v>250</v>
      </c>
      <c r="CE1002" t="s">
        <v>147</v>
      </c>
      <c r="CF1002" s="3">
        <v>43782</v>
      </c>
      <c r="CI1002">
        <v>1</v>
      </c>
      <c r="CJ1002">
        <v>1</v>
      </c>
      <c r="CK1002">
        <v>24</v>
      </c>
      <c r="CL1002" t="s">
        <v>89</v>
      </c>
    </row>
    <row r="1003" spans="1:90">
      <c r="A1003" t="s">
        <v>72</v>
      </c>
      <c r="B1003" t="s">
        <v>73</v>
      </c>
      <c r="C1003" t="s">
        <v>74</v>
      </c>
      <c r="E1003" t="str">
        <f>"FES1162722033"</f>
        <v>FES1162722033</v>
      </c>
      <c r="F1003" s="3">
        <v>43777</v>
      </c>
      <c r="G1003">
        <v>202005</v>
      </c>
      <c r="H1003" t="s">
        <v>75</v>
      </c>
      <c r="I1003" t="s">
        <v>76</v>
      </c>
      <c r="J1003" t="s">
        <v>77</v>
      </c>
      <c r="K1003" t="s">
        <v>78</v>
      </c>
      <c r="L1003" t="s">
        <v>405</v>
      </c>
      <c r="M1003" t="s">
        <v>406</v>
      </c>
      <c r="N1003" t="s">
        <v>931</v>
      </c>
      <c r="O1003" t="s">
        <v>82</v>
      </c>
      <c r="P1003" t="str">
        <f>"2170716228                    "</f>
        <v xml:space="preserve">2170716228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12.07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 s="4">
        <v>70.95</v>
      </c>
      <c r="BM1003" s="4">
        <v>10.64</v>
      </c>
      <c r="BN1003" s="4">
        <v>81.59</v>
      </c>
      <c r="BO1003" s="4">
        <v>81.59</v>
      </c>
      <c r="BQ1003" t="s">
        <v>932</v>
      </c>
      <c r="BR1003" t="s">
        <v>84</v>
      </c>
      <c r="BS1003" s="3">
        <v>43780</v>
      </c>
      <c r="BT1003" s="5">
        <v>0.40972222222222227</v>
      </c>
      <c r="BU1003" t="s">
        <v>1500</v>
      </c>
      <c r="BV1003" t="s">
        <v>86</v>
      </c>
      <c r="BY1003">
        <v>1200</v>
      </c>
      <c r="CA1003" t="s">
        <v>1501</v>
      </c>
      <c r="CC1003" t="s">
        <v>406</v>
      </c>
      <c r="CD1003">
        <v>250</v>
      </c>
      <c r="CE1003" t="s">
        <v>147</v>
      </c>
      <c r="CF1003" s="3">
        <v>43782</v>
      </c>
      <c r="CI1003">
        <v>1</v>
      </c>
      <c r="CJ1003">
        <v>1</v>
      </c>
      <c r="CK1003">
        <v>24</v>
      </c>
      <c r="CL1003" t="s">
        <v>89</v>
      </c>
    </row>
    <row r="1004" spans="1:90">
      <c r="A1004" t="s">
        <v>72</v>
      </c>
      <c r="B1004" t="s">
        <v>73</v>
      </c>
      <c r="C1004" t="s">
        <v>74</v>
      </c>
      <c r="E1004" t="str">
        <f>"FES1162722023"</f>
        <v>FES1162722023</v>
      </c>
      <c r="F1004" s="3">
        <v>43777</v>
      </c>
      <c r="G1004">
        <v>202005</v>
      </c>
      <c r="H1004" t="s">
        <v>75</v>
      </c>
      <c r="I1004" t="s">
        <v>76</v>
      </c>
      <c r="J1004" t="s">
        <v>77</v>
      </c>
      <c r="K1004" t="s">
        <v>78</v>
      </c>
      <c r="L1004" t="s">
        <v>482</v>
      </c>
      <c r="M1004" t="s">
        <v>483</v>
      </c>
      <c r="N1004" t="s">
        <v>1164</v>
      </c>
      <c r="O1004" t="s">
        <v>82</v>
      </c>
      <c r="P1004" t="str">
        <f>"2170716215                    "</f>
        <v xml:space="preserve">2170716215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6.71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 s="4">
        <v>39.42</v>
      </c>
      <c r="BM1004" s="4">
        <v>5.91</v>
      </c>
      <c r="BN1004" s="4">
        <v>45.33</v>
      </c>
      <c r="BO1004" s="4">
        <v>45.33</v>
      </c>
      <c r="BQ1004" t="s">
        <v>109</v>
      </c>
      <c r="BR1004" t="s">
        <v>84</v>
      </c>
      <c r="BS1004" s="3">
        <v>43780</v>
      </c>
      <c r="BT1004" s="5">
        <v>0.375</v>
      </c>
      <c r="BU1004" t="s">
        <v>1518</v>
      </c>
      <c r="BV1004" t="s">
        <v>86</v>
      </c>
      <c r="BY1004">
        <v>1200</v>
      </c>
      <c r="CC1004" t="s">
        <v>483</v>
      </c>
      <c r="CD1004">
        <v>1459</v>
      </c>
      <c r="CE1004" t="s">
        <v>147</v>
      </c>
      <c r="CF1004" s="3">
        <v>43781</v>
      </c>
      <c r="CI1004">
        <v>1</v>
      </c>
      <c r="CJ1004">
        <v>1</v>
      </c>
      <c r="CK1004">
        <v>22</v>
      </c>
      <c r="CL1004" t="s">
        <v>89</v>
      </c>
    </row>
    <row r="1005" spans="1:90">
      <c r="A1005" t="s">
        <v>72</v>
      </c>
      <c r="B1005" t="s">
        <v>73</v>
      </c>
      <c r="C1005" t="s">
        <v>74</v>
      </c>
      <c r="E1005" t="str">
        <f>"FES1162722022"</f>
        <v>FES1162722022</v>
      </c>
      <c r="F1005" s="3">
        <v>43777</v>
      </c>
      <c r="G1005">
        <v>202005</v>
      </c>
      <c r="H1005" t="s">
        <v>75</v>
      </c>
      <c r="I1005" t="s">
        <v>76</v>
      </c>
      <c r="J1005" t="s">
        <v>77</v>
      </c>
      <c r="K1005" t="s">
        <v>78</v>
      </c>
      <c r="L1005" t="s">
        <v>482</v>
      </c>
      <c r="M1005" t="s">
        <v>483</v>
      </c>
      <c r="N1005" t="s">
        <v>968</v>
      </c>
      <c r="O1005" t="s">
        <v>82</v>
      </c>
      <c r="P1005" t="str">
        <f>"2170716214                    "</f>
        <v xml:space="preserve">2170716214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6.71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0.9</v>
      </c>
      <c r="BK1005">
        <v>1</v>
      </c>
      <c r="BL1005" s="4">
        <v>39.42</v>
      </c>
      <c r="BM1005" s="4">
        <v>5.91</v>
      </c>
      <c r="BN1005" s="4">
        <v>45.33</v>
      </c>
      <c r="BO1005" s="4">
        <v>45.33</v>
      </c>
      <c r="BQ1005" t="s">
        <v>109</v>
      </c>
      <c r="BR1005" t="s">
        <v>84</v>
      </c>
      <c r="BS1005" s="3">
        <v>43780</v>
      </c>
      <c r="BT1005" s="5">
        <v>0.31527777777777777</v>
      </c>
      <c r="BU1005" t="s">
        <v>1499</v>
      </c>
      <c r="BV1005" t="s">
        <v>86</v>
      </c>
      <c r="BY1005">
        <v>4500</v>
      </c>
      <c r="CC1005" t="s">
        <v>483</v>
      </c>
      <c r="CD1005">
        <v>1459</v>
      </c>
      <c r="CE1005" t="s">
        <v>88</v>
      </c>
      <c r="CF1005" s="3">
        <v>43781</v>
      </c>
      <c r="CI1005">
        <v>1</v>
      </c>
      <c r="CJ1005">
        <v>1</v>
      </c>
      <c r="CK1005">
        <v>22</v>
      </c>
      <c r="CL1005" t="s">
        <v>89</v>
      </c>
    </row>
    <row r="1006" spans="1:90">
      <c r="A1006" t="s">
        <v>72</v>
      </c>
      <c r="B1006" t="s">
        <v>73</v>
      </c>
      <c r="C1006" t="s">
        <v>74</v>
      </c>
      <c r="E1006" t="str">
        <f>"FES1162722083"</f>
        <v>FES1162722083</v>
      </c>
      <c r="F1006" s="3">
        <v>43777</v>
      </c>
      <c r="G1006">
        <v>202005</v>
      </c>
      <c r="H1006" t="s">
        <v>75</v>
      </c>
      <c r="I1006" t="s">
        <v>76</v>
      </c>
      <c r="J1006" t="s">
        <v>77</v>
      </c>
      <c r="K1006" t="s">
        <v>78</v>
      </c>
      <c r="L1006" t="s">
        <v>124</v>
      </c>
      <c r="M1006" t="s">
        <v>125</v>
      </c>
      <c r="N1006" t="s">
        <v>1436</v>
      </c>
      <c r="O1006" t="s">
        <v>82</v>
      </c>
      <c r="P1006" t="str">
        <f>"2170716297                    "</f>
        <v xml:space="preserve">2170716297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6.71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 s="4">
        <v>39.42</v>
      </c>
      <c r="BM1006" s="4">
        <v>5.91</v>
      </c>
      <c r="BN1006" s="4">
        <v>45.33</v>
      </c>
      <c r="BO1006" s="4">
        <v>45.33</v>
      </c>
      <c r="BQ1006" t="s">
        <v>1437</v>
      </c>
      <c r="BR1006" t="s">
        <v>84</v>
      </c>
      <c r="BS1006" s="3">
        <v>43780</v>
      </c>
      <c r="BT1006" s="5">
        <v>0.40902777777777777</v>
      </c>
      <c r="BU1006" t="s">
        <v>1542</v>
      </c>
      <c r="BV1006" t="s">
        <v>86</v>
      </c>
      <c r="BY1006">
        <v>1200</v>
      </c>
      <c r="CA1006" t="s">
        <v>123</v>
      </c>
      <c r="CC1006" t="s">
        <v>125</v>
      </c>
      <c r="CD1006">
        <v>2091</v>
      </c>
      <c r="CE1006" t="s">
        <v>147</v>
      </c>
      <c r="CF1006" s="3">
        <v>43781</v>
      </c>
      <c r="CI1006">
        <v>1</v>
      </c>
      <c r="CJ1006">
        <v>1</v>
      </c>
      <c r="CK1006">
        <v>22</v>
      </c>
      <c r="CL1006" t="s">
        <v>89</v>
      </c>
    </row>
    <row r="1007" spans="1:90">
      <c r="A1007" t="s">
        <v>72</v>
      </c>
      <c r="B1007" t="s">
        <v>73</v>
      </c>
      <c r="C1007" t="s">
        <v>74</v>
      </c>
      <c r="E1007" t="str">
        <f>"FES1162722090"</f>
        <v>FES1162722090</v>
      </c>
      <c r="F1007" s="3">
        <v>43777</v>
      </c>
      <c r="G1007">
        <v>202005</v>
      </c>
      <c r="H1007" t="s">
        <v>75</v>
      </c>
      <c r="I1007" t="s">
        <v>76</v>
      </c>
      <c r="J1007" t="s">
        <v>77</v>
      </c>
      <c r="K1007" t="s">
        <v>78</v>
      </c>
      <c r="L1007" t="s">
        <v>681</v>
      </c>
      <c r="M1007" t="s">
        <v>682</v>
      </c>
      <c r="N1007" t="s">
        <v>1543</v>
      </c>
      <c r="O1007" t="s">
        <v>82</v>
      </c>
      <c r="P1007" t="str">
        <f>"217071616308                  "</f>
        <v xml:space="preserve">217071616308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12.07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 s="4">
        <v>70.95</v>
      </c>
      <c r="BM1007" s="4">
        <v>10.64</v>
      </c>
      <c r="BN1007" s="4">
        <v>81.59</v>
      </c>
      <c r="BO1007" s="4">
        <v>81.59</v>
      </c>
      <c r="BQ1007" t="s">
        <v>1544</v>
      </c>
      <c r="BR1007" t="s">
        <v>84</v>
      </c>
      <c r="BS1007" s="3">
        <v>43788</v>
      </c>
      <c r="BT1007" s="5">
        <v>0.35069444444444442</v>
      </c>
      <c r="BU1007" t="s">
        <v>1545</v>
      </c>
      <c r="BV1007" t="s">
        <v>89</v>
      </c>
      <c r="BW1007" t="s">
        <v>319</v>
      </c>
      <c r="BX1007" t="s">
        <v>1538</v>
      </c>
      <c r="BY1007">
        <v>1200</v>
      </c>
      <c r="CA1007" t="s">
        <v>526</v>
      </c>
      <c r="CC1007" t="s">
        <v>682</v>
      </c>
      <c r="CD1007">
        <v>1939</v>
      </c>
      <c r="CE1007" t="s">
        <v>147</v>
      </c>
      <c r="CF1007" s="3">
        <v>43789</v>
      </c>
      <c r="CI1007">
        <v>1</v>
      </c>
      <c r="CJ1007">
        <v>7</v>
      </c>
      <c r="CK1007">
        <v>24</v>
      </c>
      <c r="CL1007" t="s">
        <v>89</v>
      </c>
    </row>
    <row r="1008" spans="1:90">
      <c r="A1008" t="s">
        <v>72</v>
      </c>
      <c r="B1008" t="s">
        <v>73</v>
      </c>
      <c r="C1008" t="s">
        <v>74</v>
      </c>
      <c r="E1008" t="str">
        <f>"FES1162722092"</f>
        <v>FES1162722092</v>
      </c>
      <c r="F1008" s="3">
        <v>43777</v>
      </c>
      <c r="G1008">
        <v>202005</v>
      </c>
      <c r="H1008" t="s">
        <v>75</v>
      </c>
      <c r="I1008" t="s">
        <v>76</v>
      </c>
      <c r="J1008" t="s">
        <v>77</v>
      </c>
      <c r="K1008" t="s">
        <v>78</v>
      </c>
      <c r="L1008" t="s">
        <v>701</v>
      </c>
      <c r="M1008" t="s">
        <v>702</v>
      </c>
      <c r="N1008" t="s">
        <v>1086</v>
      </c>
      <c r="O1008" t="s">
        <v>82</v>
      </c>
      <c r="P1008" t="str">
        <f>"2170716312                    "</f>
        <v xml:space="preserve">2170716312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12.07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 s="4">
        <v>70.95</v>
      </c>
      <c r="BM1008" s="4">
        <v>10.64</v>
      </c>
      <c r="BN1008" s="4">
        <v>81.59</v>
      </c>
      <c r="BO1008" s="4">
        <v>81.59</v>
      </c>
      <c r="BQ1008" t="s">
        <v>121</v>
      </c>
      <c r="BR1008" t="s">
        <v>84</v>
      </c>
      <c r="BS1008" s="3">
        <v>43780</v>
      </c>
      <c r="BT1008" s="5">
        <v>0.41666666666666669</v>
      </c>
      <c r="BU1008" t="s">
        <v>1087</v>
      </c>
      <c r="BV1008" t="s">
        <v>86</v>
      </c>
      <c r="BY1008">
        <v>1200</v>
      </c>
      <c r="CA1008" t="s">
        <v>1546</v>
      </c>
      <c r="CC1008" t="s">
        <v>702</v>
      </c>
      <c r="CD1008">
        <v>299</v>
      </c>
      <c r="CE1008" t="s">
        <v>147</v>
      </c>
      <c r="CF1008" s="3">
        <v>43782</v>
      </c>
      <c r="CI1008">
        <v>1</v>
      </c>
      <c r="CJ1008">
        <v>1</v>
      </c>
      <c r="CK1008">
        <v>24</v>
      </c>
      <c r="CL1008" t="s">
        <v>89</v>
      </c>
    </row>
    <row r="1009" spans="1:90">
      <c r="A1009" t="s">
        <v>72</v>
      </c>
      <c r="B1009" t="s">
        <v>73</v>
      </c>
      <c r="C1009" t="s">
        <v>74</v>
      </c>
      <c r="E1009" t="str">
        <f>"FES1162722018"</f>
        <v>FES1162722018</v>
      </c>
      <c r="F1009" s="3">
        <v>43777</v>
      </c>
      <c r="G1009">
        <v>202005</v>
      </c>
      <c r="H1009" t="s">
        <v>75</v>
      </c>
      <c r="I1009" t="s">
        <v>76</v>
      </c>
      <c r="J1009" t="s">
        <v>77</v>
      </c>
      <c r="K1009" t="s">
        <v>78</v>
      </c>
      <c r="L1009" t="s">
        <v>482</v>
      </c>
      <c r="M1009" t="s">
        <v>483</v>
      </c>
      <c r="N1009" t="s">
        <v>449</v>
      </c>
      <c r="O1009" t="s">
        <v>82</v>
      </c>
      <c r="P1009" t="str">
        <f>"2170715447                    "</f>
        <v xml:space="preserve">2170715447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6.71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 s="4">
        <v>39.42</v>
      </c>
      <c r="BM1009" s="4">
        <v>5.91</v>
      </c>
      <c r="BN1009" s="4">
        <v>45.33</v>
      </c>
      <c r="BO1009" s="4">
        <v>45.33</v>
      </c>
      <c r="BQ1009" t="s">
        <v>109</v>
      </c>
      <c r="BR1009" t="s">
        <v>84</v>
      </c>
      <c r="BS1009" s="3">
        <v>43781</v>
      </c>
      <c r="BT1009" s="5">
        <v>0.4375</v>
      </c>
      <c r="BU1009" t="s">
        <v>1111</v>
      </c>
      <c r="BV1009" t="s">
        <v>89</v>
      </c>
      <c r="BW1009" t="s">
        <v>319</v>
      </c>
      <c r="BX1009" t="s">
        <v>743</v>
      </c>
      <c r="BY1009">
        <v>1200</v>
      </c>
      <c r="CC1009" t="s">
        <v>483</v>
      </c>
      <c r="CD1009">
        <v>1459</v>
      </c>
      <c r="CE1009" t="s">
        <v>147</v>
      </c>
      <c r="CF1009" s="3">
        <v>43782</v>
      </c>
      <c r="CI1009">
        <v>1</v>
      </c>
      <c r="CJ1009">
        <v>2</v>
      </c>
      <c r="CK1009">
        <v>22</v>
      </c>
      <c r="CL1009" t="s">
        <v>89</v>
      </c>
    </row>
    <row r="1010" spans="1:90">
      <c r="A1010" t="s">
        <v>72</v>
      </c>
      <c r="B1010" t="s">
        <v>73</v>
      </c>
      <c r="C1010" t="s">
        <v>74</v>
      </c>
      <c r="E1010" t="str">
        <f>"FES1162722041"</f>
        <v>FES1162722041</v>
      </c>
      <c r="F1010" s="3">
        <v>43777</v>
      </c>
      <c r="G1010">
        <v>202005</v>
      </c>
      <c r="H1010" t="s">
        <v>75</v>
      </c>
      <c r="I1010" t="s">
        <v>76</v>
      </c>
      <c r="J1010" t="s">
        <v>77</v>
      </c>
      <c r="K1010" t="s">
        <v>78</v>
      </c>
      <c r="L1010" t="s">
        <v>482</v>
      </c>
      <c r="M1010" t="s">
        <v>483</v>
      </c>
      <c r="N1010" t="s">
        <v>1547</v>
      </c>
      <c r="O1010" t="s">
        <v>82</v>
      </c>
      <c r="P1010" t="str">
        <f>"2170716236                    "</f>
        <v xml:space="preserve">2170716236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6.71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 s="4">
        <v>39.42</v>
      </c>
      <c r="BM1010" s="4">
        <v>5.91</v>
      </c>
      <c r="BN1010" s="4">
        <v>45.33</v>
      </c>
      <c r="BO1010" s="4">
        <v>45.33</v>
      </c>
      <c r="BQ1010" t="s">
        <v>109</v>
      </c>
      <c r="BR1010" t="s">
        <v>84</v>
      </c>
      <c r="BS1010" s="3">
        <v>43780</v>
      </c>
      <c r="BT1010" s="5">
        <v>0.34930555555555554</v>
      </c>
      <c r="BU1010" t="s">
        <v>1548</v>
      </c>
      <c r="BV1010" t="s">
        <v>86</v>
      </c>
      <c r="BY1010">
        <v>1200</v>
      </c>
      <c r="CC1010" t="s">
        <v>483</v>
      </c>
      <c r="CD1010">
        <v>1460</v>
      </c>
      <c r="CE1010" t="s">
        <v>147</v>
      </c>
      <c r="CF1010" s="3">
        <v>43781</v>
      </c>
      <c r="CI1010">
        <v>1</v>
      </c>
      <c r="CJ1010">
        <v>1</v>
      </c>
      <c r="CK1010">
        <v>22</v>
      </c>
      <c r="CL1010" t="s">
        <v>89</v>
      </c>
    </row>
    <row r="1011" spans="1:90">
      <c r="A1011" t="s">
        <v>72</v>
      </c>
      <c r="B1011" t="s">
        <v>73</v>
      </c>
      <c r="C1011" t="s">
        <v>74</v>
      </c>
      <c r="E1011" t="str">
        <f>"FES1162722016"</f>
        <v>FES1162722016</v>
      </c>
      <c r="F1011" s="3">
        <v>43777</v>
      </c>
      <c r="G1011">
        <v>202005</v>
      </c>
      <c r="H1011" t="s">
        <v>75</v>
      </c>
      <c r="I1011" t="s">
        <v>76</v>
      </c>
      <c r="J1011" t="s">
        <v>77</v>
      </c>
      <c r="K1011" t="s">
        <v>78</v>
      </c>
      <c r="L1011" t="s">
        <v>101</v>
      </c>
      <c r="M1011" t="s">
        <v>102</v>
      </c>
      <c r="N1011" t="s">
        <v>1549</v>
      </c>
      <c r="O1011" t="s">
        <v>82</v>
      </c>
      <c r="P1011" t="str">
        <f>"217071341                     "</f>
        <v xml:space="preserve">217071341 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8.58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 s="4">
        <v>50.45</v>
      </c>
      <c r="BM1011" s="4">
        <v>7.57</v>
      </c>
      <c r="BN1011" s="4">
        <v>58.02</v>
      </c>
      <c r="BO1011" s="4">
        <v>58.02</v>
      </c>
      <c r="BQ1011" t="s">
        <v>121</v>
      </c>
      <c r="BR1011" t="s">
        <v>84</v>
      </c>
      <c r="BS1011" s="3">
        <v>43781</v>
      </c>
      <c r="BT1011" s="5">
        <v>0.375</v>
      </c>
      <c r="BU1011" t="s">
        <v>1550</v>
      </c>
      <c r="BV1011" t="s">
        <v>89</v>
      </c>
      <c r="BW1011" t="s">
        <v>319</v>
      </c>
      <c r="BX1011" t="s">
        <v>1551</v>
      </c>
      <c r="BY1011">
        <v>1200</v>
      </c>
      <c r="CA1011" t="s">
        <v>1552</v>
      </c>
      <c r="CC1011" t="s">
        <v>102</v>
      </c>
      <c r="CD1011">
        <v>84</v>
      </c>
      <c r="CE1011" t="s">
        <v>147</v>
      </c>
      <c r="CF1011" s="3">
        <v>43782</v>
      </c>
      <c r="CI1011">
        <v>1</v>
      </c>
      <c r="CJ1011">
        <v>2</v>
      </c>
      <c r="CK1011">
        <v>21</v>
      </c>
      <c r="CL1011" t="s">
        <v>89</v>
      </c>
    </row>
    <row r="1012" spans="1:90">
      <c r="A1012" t="s">
        <v>72</v>
      </c>
      <c r="B1012" t="s">
        <v>73</v>
      </c>
      <c r="C1012" t="s">
        <v>74</v>
      </c>
      <c r="E1012" t="str">
        <f>"FES1162722028"</f>
        <v>FES1162722028</v>
      </c>
      <c r="F1012" s="3">
        <v>43777</v>
      </c>
      <c r="G1012">
        <v>202005</v>
      </c>
      <c r="H1012" t="s">
        <v>75</v>
      </c>
      <c r="I1012" t="s">
        <v>76</v>
      </c>
      <c r="J1012" t="s">
        <v>77</v>
      </c>
      <c r="K1012" t="s">
        <v>78</v>
      </c>
      <c r="L1012" t="s">
        <v>482</v>
      </c>
      <c r="M1012" t="s">
        <v>483</v>
      </c>
      <c r="N1012" t="s">
        <v>1301</v>
      </c>
      <c r="O1012" t="s">
        <v>82</v>
      </c>
      <c r="P1012" t="str">
        <f>"2170716219                    "</f>
        <v xml:space="preserve">2170716219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8.31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2.8</v>
      </c>
      <c r="BJ1012">
        <v>0.9</v>
      </c>
      <c r="BK1012">
        <v>3</v>
      </c>
      <c r="BL1012" s="4">
        <v>48.86</v>
      </c>
      <c r="BM1012" s="4">
        <v>7.33</v>
      </c>
      <c r="BN1012" s="4">
        <v>56.19</v>
      </c>
      <c r="BO1012" s="4">
        <v>56.19</v>
      </c>
      <c r="BQ1012" t="s">
        <v>121</v>
      </c>
      <c r="BR1012" t="s">
        <v>84</v>
      </c>
      <c r="BS1012" s="3">
        <v>43780</v>
      </c>
      <c r="BT1012" s="5">
        <v>0.38750000000000001</v>
      </c>
      <c r="BU1012" t="s">
        <v>1553</v>
      </c>
      <c r="BV1012" t="s">
        <v>86</v>
      </c>
      <c r="BY1012">
        <v>4489.0200000000004</v>
      </c>
      <c r="CC1012" t="s">
        <v>483</v>
      </c>
      <c r="CD1012">
        <v>1459</v>
      </c>
      <c r="CE1012" t="s">
        <v>88</v>
      </c>
      <c r="CF1012" s="3">
        <v>43781</v>
      </c>
      <c r="CI1012">
        <v>1</v>
      </c>
      <c r="CJ1012">
        <v>1</v>
      </c>
      <c r="CK1012">
        <v>22</v>
      </c>
      <c r="CL1012" t="s">
        <v>89</v>
      </c>
    </row>
    <row r="1013" spans="1:90">
      <c r="A1013" t="s">
        <v>72</v>
      </c>
      <c r="B1013" t="s">
        <v>73</v>
      </c>
      <c r="C1013" t="s">
        <v>74</v>
      </c>
      <c r="E1013" t="str">
        <f>"FES1162722091"</f>
        <v>FES1162722091</v>
      </c>
      <c r="F1013" s="3">
        <v>43777</v>
      </c>
      <c r="G1013">
        <v>202005</v>
      </c>
      <c r="H1013" t="s">
        <v>75</v>
      </c>
      <c r="I1013" t="s">
        <v>76</v>
      </c>
      <c r="J1013" t="s">
        <v>77</v>
      </c>
      <c r="K1013" t="s">
        <v>78</v>
      </c>
      <c r="L1013" t="s">
        <v>124</v>
      </c>
      <c r="M1013" t="s">
        <v>125</v>
      </c>
      <c r="N1013" t="s">
        <v>487</v>
      </c>
      <c r="O1013" t="s">
        <v>82</v>
      </c>
      <c r="P1013" t="str">
        <f>"2170716310                    "</f>
        <v xml:space="preserve">2170716310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6.71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1.1000000000000001</v>
      </c>
      <c r="BJ1013">
        <v>1.3</v>
      </c>
      <c r="BK1013">
        <v>1.5</v>
      </c>
      <c r="BL1013" s="4">
        <v>39.42</v>
      </c>
      <c r="BM1013" s="4">
        <v>5.91</v>
      </c>
      <c r="BN1013" s="4">
        <v>45.33</v>
      </c>
      <c r="BO1013" s="4">
        <v>45.33</v>
      </c>
      <c r="BQ1013" t="s">
        <v>121</v>
      </c>
      <c r="BR1013" t="s">
        <v>84</v>
      </c>
      <c r="BS1013" s="3">
        <v>43780</v>
      </c>
      <c r="BT1013" s="5">
        <v>0.3298611111111111</v>
      </c>
      <c r="BU1013" t="s">
        <v>488</v>
      </c>
      <c r="BV1013" t="s">
        <v>86</v>
      </c>
      <c r="BY1013">
        <v>6578.88</v>
      </c>
      <c r="CA1013" t="s">
        <v>123</v>
      </c>
      <c r="CC1013" t="s">
        <v>125</v>
      </c>
      <c r="CD1013">
        <v>2094</v>
      </c>
      <c r="CE1013" t="s">
        <v>88</v>
      </c>
      <c r="CF1013" s="3">
        <v>43781</v>
      </c>
      <c r="CI1013">
        <v>1</v>
      </c>
      <c r="CJ1013">
        <v>1</v>
      </c>
      <c r="CK1013">
        <v>22</v>
      </c>
      <c r="CL1013" t="s">
        <v>89</v>
      </c>
    </row>
    <row r="1014" spans="1:90">
      <c r="A1014" t="s">
        <v>72</v>
      </c>
      <c r="B1014" t="s">
        <v>73</v>
      </c>
      <c r="C1014" t="s">
        <v>74</v>
      </c>
      <c r="E1014" t="str">
        <f>"FES1162722076"</f>
        <v>FES1162722076</v>
      </c>
      <c r="F1014" s="3">
        <v>43777</v>
      </c>
      <c r="G1014">
        <v>202005</v>
      </c>
      <c r="H1014" t="s">
        <v>75</v>
      </c>
      <c r="I1014" t="s">
        <v>76</v>
      </c>
      <c r="J1014" t="s">
        <v>77</v>
      </c>
      <c r="K1014" t="s">
        <v>78</v>
      </c>
      <c r="L1014" t="s">
        <v>95</v>
      </c>
      <c r="M1014" t="s">
        <v>96</v>
      </c>
      <c r="N1014" t="s">
        <v>330</v>
      </c>
      <c r="O1014" t="s">
        <v>82</v>
      </c>
      <c r="P1014" t="str">
        <f>"2170716282                    "</f>
        <v xml:space="preserve">2170716282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6.71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1.4</v>
      </c>
      <c r="BK1014">
        <v>1.5</v>
      </c>
      <c r="BL1014" s="4">
        <v>39.42</v>
      </c>
      <c r="BM1014" s="4">
        <v>5.91</v>
      </c>
      <c r="BN1014" s="4">
        <v>45.33</v>
      </c>
      <c r="BO1014" s="4">
        <v>45.33</v>
      </c>
      <c r="BQ1014" t="s">
        <v>109</v>
      </c>
      <c r="BR1014" t="s">
        <v>84</v>
      </c>
      <c r="BS1014" s="3">
        <v>43780</v>
      </c>
      <c r="BT1014" s="5">
        <v>0.37986111111111115</v>
      </c>
      <c r="BU1014" t="s">
        <v>1554</v>
      </c>
      <c r="BV1014" t="s">
        <v>86</v>
      </c>
      <c r="BY1014">
        <v>6900</v>
      </c>
      <c r="CC1014" t="s">
        <v>96</v>
      </c>
      <c r="CD1014">
        <v>1451</v>
      </c>
      <c r="CE1014" t="s">
        <v>88</v>
      </c>
      <c r="CF1014" s="3">
        <v>43781</v>
      </c>
      <c r="CI1014">
        <v>1</v>
      </c>
      <c r="CJ1014">
        <v>1</v>
      </c>
      <c r="CK1014">
        <v>22</v>
      </c>
      <c r="CL1014" t="s">
        <v>89</v>
      </c>
    </row>
    <row r="1015" spans="1:90">
      <c r="A1015" t="s">
        <v>72</v>
      </c>
      <c r="B1015" t="s">
        <v>73</v>
      </c>
      <c r="C1015" t="s">
        <v>74</v>
      </c>
      <c r="E1015" t="str">
        <f>"FES1162721993"</f>
        <v>FES1162721993</v>
      </c>
      <c r="F1015" s="3">
        <v>43777</v>
      </c>
      <c r="G1015">
        <v>202005</v>
      </c>
      <c r="H1015" t="s">
        <v>75</v>
      </c>
      <c r="I1015" t="s">
        <v>76</v>
      </c>
      <c r="J1015" t="s">
        <v>77</v>
      </c>
      <c r="K1015" t="s">
        <v>78</v>
      </c>
      <c r="L1015" t="s">
        <v>133</v>
      </c>
      <c r="M1015" t="s">
        <v>134</v>
      </c>
      <c r="N1015" t="s">
        <v>1201</v>
      </c>
      <c r="O1015" t="s">
        <v>82</v>
      </c>
      <c r="P1015" t="str">
        <f>"2170713404                    "</f>
        <v xml:space="preserve">2170713404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60.05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13.6</v>
      </c>
      <c r="BJ1015">
        <v>5.2</v>
      </c>
      <c r="BK1015">
        <v>14</v>
      </c>
      <c r="BL1015" s="4">
        <v>352.96</v>
      </c>
      <c r="BM1015" s="4">
        <v>52.94</v>
      </c>
      <c r="BN1015" s="4">
        <v>405.9</v>
      </c>
      <c r="BO1015" s="4">
        <v>405.9</v>
      </c>
      <c r="BQ1015" t="s">
        <v>109</v>
      </c>
      <c r="BR1015" t="s">
        <v>84</v>
      </c>
      <c r="BS1015" s="3">
        <v>43780</v>
      </c>
      <c r="BT1015" s="5">
        <v>0.43402777777777773</v>
      </c>
      <c r="BU1015" t="s">
        <v>1202</v>
      </c>
      <c r="BV1015" t="s">
        <v>86</v>
      </c>
      <c r="BY1015">
        <v>26235.3</v>
      </c>
      <c r="CA1015" t="s">
        <v>912</v>
      </c>
      <c r="CC1015" t="s">
        <v>134</v>
      </c>
      <c r="CD1015">
        <v>5201</v>
      </c>
      <c r="CE1015" t="s">
        <v>88</v>
      </c>
      <c r="CF1015" s="3">
        <v>43782</v>
      </c>
      <c r="CI1015">
        <v>1</v>
      </c>
      <c r="CJ1015">
        <v>1</v>
      </c>
      <c r="CK1015">
        <v>21</v>
      </c>
      <c r="CL1015" t="s">
        <v>89</v>
      </c>
    </row>
    <row r="1016" spans="1:90">
      <c r="A1016" t="s">
        <v>72</v>
      </c>
      <c r="B1016" t="s">
        <v>73</v>
      </c>
      <c r="C1016" t="s">
        <v>74</v>
      </c>
      <c r="E1016" t="str">
        <f>"FES1162722101"</f>
        <v>FES1162722101</v>
      </c>
      <c r="F1016" s="3">
        <v>43777</v>
      </c>
      <c r="G1016">
        <v>202005</v>
      </c>
      <c r="H1016" t="s">
        <v>75</v>
      </c>
      <c r="I1016" t="s">
        <v>76</v>
      </c>
      <c r="J1016" t="s">
        <v>77</v>
      </c>
      <c r="K1016" t="s">
        <v>78</v>
      </c>
      <c r="L1016" t="s">
        <v>75</v>
      </c>
      <c r="M1016" t="s">
        <v>76</v>
      </c>
      <c r="N1016" t="s">
        <v>199</v>
      </c>
      <c r="O1016" t="s">
        <v>82</v>
      </c>
      <c r="P1016" t="str">
        <f>"2170716322                    "</f>
        <v xml:space="preserve">2170716322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6.71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 s="4">
        <v>39.42</v>
      </c>
      <c r="BM1016" s="4">
        <v>5.91</v>
      </c>
      <c r="BN1016" s="4">
        <v>45.33</v>
      </c>
      <c r="BO1016" s="4">
        <v>45.33</v>
      </c>
      <c r="BQ1016" t="s">
        <v>200</v>
      </c>
      <c r="BR1016" t="s">
        <v>84</v>
      </c>
      <c r="BS1016" s="3">
        <v>43780</v>
      </c>
      <c r="BT1016" s="5">
        <v>0.3263888888888889</v>
      </c>
      <c r="BU1016" t="s">
        <v>1555</v>
      </c>
      <c r="BV1016" t="s">
        <v>86</v>
      </c>
      <c r="BY1016">
        <v>1200</v>
      </c>
      <c r="CA1016" t="s">
        <v>1498</v>
      </c>
      <c r="CC1016" t="s">
        <v>76</v>
      </c>
      <c r="CD1016">
        <v>1600</v>
      </c>
      <c r="CE1016" t="s">
        <v>147</v>
      </c>
      <c r="CF1016" s="3">
        <v>43781</v>
      </c>
      <c r="CI1016">
        <v>1</v>
      </c>
      <c r="CJ1016">
        <v>1</v>
      </c>
      <c r="CK1016">
        <v>22</v>
      </c>
      <c r="CL1016" t="s">
        <v>89</v>
      </c>
    </row>
    <row r="1017" spans="1:90">
      <c r="A1017" t="s">
        <v>72</v>
      </c>
      <c r="B1017" t="s">
        <v>73</v>
      </c>
      <c r="C1017" t="s">
        <v>74</v>
      </c>
      <c r="E1017" t="str">
        <f>"FES1162722108"</f>
        <v>FES1162722108</v>
      </c>
      <c r="F1017" s="3">
        <v>43777</v>
      </c>
      <c r="G1017">
        <v>202005</v>
      </c>
      <c r="H1017" t="s">
        <v>75</v>
      </c>
      <c r="I1017" t="s">
        <v>76</v>
      </c>
      <c r="J1017" t="s">
        <v>77</v>
      </c>
      <c r="K1017" t="s">
        <v>78</v>
      </c>
      <c r="L1017" t="s">
        <v>112</v>
      </c>
      <c r="M1017" t="s">
        <v>113</v>
      </c>
      <c r="N1017" t="s">
        <v>790</v>
      </c>
      <c r="O1017" t="s">
        <v>82</v>
      </c>
      <c r="P1017" t="str">
        <f>"2170716338                    "</f>
        <v xml:space="preserve">2170716338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8.58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 s="4">
        <v>50.45</v>
      </c>
      <c r="BM1017" s="4">
        <v>7.57</v>
      </c>
      <c r="BN1017" s="4">
        <v>58.02</v>
      </c>
      <c r="BO1017" s="4">
        <v>58.02</v>
      </c>
      <c r="BQ1017" t="s">
        <v>121</v>
      </c>
      <c r="BR1017" t="s">
        <v>84</v>
      </c>
      <c r="BS1017" s="3">
        <v>43780</v>
      </c>
      <c r="BT1017" s="5">
        <v>0.3666666666666667</v>
      </c>
      <c r="BU1017" t="s">
        <v>1556</v>
      </c>
      <c r="BV1017" t="s">
        <v>86</v>
      </c>
      <c r="BY1017">
        <v>1200</v>
      </c>
      <c r="CA1017" t="s">
        <v>255</v>
      </c>
      <c r="CC1017" t="s">
        <v>113</v>
      </c>
      <c r="CD1017">
        <v>4068</v>
      </c>
      <c r="CE1017" t="s">
        <v>147</v>
      </c>
      <c r="CF1017" s="3">
        <v>43781</v>
      </c>
      <c r="CI1017">
        <v>1</v>
      </c>
      <c r="CJ1017">
        <v>1</v>
      </c>
      <c r="CK1017">
        <v>21</v>
      </c>
      <c r="CL1017" t="s">
        <v>89</v>
      </c>
    </row>
    <row r="1018" spans="1:90">
      <c r="A1018" t="s">
        <v>72</v>
      </c>
      <c r="B1018" t="s">
        <v>73</v>
      </c>
      <c r="C1018" t="s">
        <v>74</v>
      </c>
      <c r="E1018" t="str">
        <f>"FES1162722103"</f>
        <v>FES1162722103</v>
      </c>
      <c r="F1018" s="3">
        <v>43777</v>
      </c>
      <c r="G1018">
        <v>202005</v>
      </c>
      <c r="H1018" t="s">
        <v>75</v>
      </c>
      <c r="I1018" t="s">
        <v>76</v>
      </c>
      <c r="J1018" t="s">
        <v>77</v>
      </c>
      <c r="K1018" t="s">
        <v>78</v>
      </c>
      <c r="L1018" t="s">
        <v>451</v>
      </c>
      <c r="M1018" t="s">
        <v>452</v>
      </c>
      <c r="N1018" t="s">
        <v>613</v>
      </c>
      <c r="O1018" t="s">
        <v>82</v>
      </c>
      <c r="P1018" t="str">
        <f>"2170716332                    "</f>
        <v xml:space="preserve">2170716332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8.58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 s="4">
        <v>50.45</v>
      </c>
      <c r="BM1018" s="4">
        <v>7.57</v>
      </c>
      <c r="BN1018" s="4">
        <v>58.02</v>
      </c>
      <c r="BO1018" s="4">
        <v>58.02</v>
      </c>
      <c r="BQ1018" t="s">
        <v>142</v>
      </c>
      <c r="BR1018" t="s">
        <v>84</v>
      </c>
      <c r="BS1018" s="3">
        <v>43780</v>
      </c>
      <c r="BT1018" s="5">
        <v>0.47986111111111113</v>
      </c>
      <c r="BU1018" t="s">
        <v>1519</v>
      </c>
      <c r="BV1018" t="s">
        <v>86</v>
      </c>
      <c r="BY1018">
        <v>1200</v>
      </c>
      <c r="CA1018" t="s">
        <v>455</v>
      </c>
      <c r="CC1018" t="s">
        <v>452</v>
      </c>
      <c r="CD1018">
        <v>3310</v>
      </c>
      <c r="CE1018" t="s">
        <v>147</v>
      </c>
      <c r="CF1018" s="3">
        <v>43781</v>
      </c>
      <c r="CI1018">
        <v>1</v>
      </c>
      <c r="CJ1018">
        <v>1</v>
      </c>
      <c r="CK1018">
        <v>21</v>
      </c>
      <c r="CL1018" t="s">
        <v>89</v>
      </c>
    </row>
    <row r="1019" spans="1:90">
      <c r="A1019" t="s">
        <v>72</v>
      </c>
      <c r="B1019" t="s">
        <v>73</v>
      </c>
      <c r="C1019" t="s">
        <v>74</v>
      </c>
      <c r="E1019" t="str">
        <f>"009935712101"</f>
        <v>009935712101</v>
      </c>
      <c r="F1019" s="3">
        <v>43777</v>
      </c>
      <c r="G1019">
        <v>202005</v>
      </c>
      <c r="H1019" t="s">
        <v>75</v>
      </c>
      <c r="I1019" t="s">
        <v>76</v>
      </c>
      <c r="J1019" t="s">
        <v>77</v>
      </c>
      <c r="K1019" t="s">
        <v>78</v>
      </c>
      <c r="L1019" t="s">
        <v>79</v>
      </c>
      <c r="M1019" t="s">
        <v>80</v>
      </c>
      <c r="N1019" t="s">
        <v>511</v>
      </c>
      <c r="O1019" t="s">
        <v>82</v>
      </c>
      <c r="P1019" t="str">
        <f>"COLLEN                        "</f>
        <v xml:space="preserve">COLLEN    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8.58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 s="4">
        <v>50.45</v>
      </c>
      <c r="BM1019" s="4">
        <v>7.57</v>
      </c>
      <c r="BN1019" s="4">
        <v>58.02</v>
      </c>
      <c r="BO1019" s="4">
        <v>58.02</v>
      </c>
      <c r="BQ1019" t="s">
        <v>109</v>
      </c>
      <c r="BR1019" t="s">
        <v>84</v>
      </c>
      <c r="BS1019" s="3">
        <v>43780</v>
      </c>
      <c r="BT1019" s="5">
        <v>0.3298611111111111</v>
      </c>
      <c r="BU1019" t="s">
        <v>1557</v>
      </c>
      <c r="BV1019" t="s">
        <v>86</v>
      </c>
      <c r="BY1019">
        <v>1200</v>
      </c>
      <c r="CA1019" t="s">
        <v>87</v>
      </c>
      <c r="CC1019" t="s">
        <v>80</v>
      </c>
      <c r="CD1019">
        <v>6229</v>
      </c>
      <c r="CE1019" t="s">
        <v>147</v>
      </c>
      <c r="CF1019" s="3">
        <v>43782</v>
      </c>
      <c r="CI1019">
        <v>1</v>
      </c>
      <c r="CJ1019">
        <v>1</v>
      </c>
      <c r="CK1019">
        <v>21</v>
      </c>
      <c r="CL1019" t="s">
        <v>89</v>
      </c>
    </row>
    <row r="1020" spans="1:90">
      <c r="A1020" t="s">
        <v>72</v>
      </c>
      <c r="B1020" t="s">
        <v>73</v>
      </c>
      <c r="C1020" t="s">
        <v>74</v>
      </c>
      <c r="E1020" t="str">
        <f>"009935712100"</f>
        <v>009935712100</v>
      </c>
      <c r="F1020" s="3">
        <v>43777</v>
      </c>
      <c r="G1020">
        <v>202005</v>
      </c>
      <c r="H1020" t="s">
        <v>75</v>
      </c>
      <c r="I1020" t="s">
        <v>76</v>
      </c>
      <c r="J1020" t="s">
        <v>77</v>
      </c>
      <c r="K1020" t="s">
        <v>78</v>
      </c>
      <c r="L1020" t="s">
        <v>106</v>
      </c>
      <c r="M1020" t="s">
        <v>107</v>
      </c>
      <c r="N1020" t="s">
        <v>1558</v>
      </c>
      <c r="O1020" t="s">
        <v>82</v>
      </c>
      <c r="P1020" t="str">
        <f>"COLLECT                       "</f>
        <v xml:space="preserve">COLLECT   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8.58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 s="4">
        <v>50.45</v>
      </c>
      <c r="BM1020" s="4">
        <v>7.57</v>
      </c>
      <c r="BN1020" s="4">
        <v>58.02</v>
      </c>
      <c r="BO1020" s="4">
        <v>58.02</v>
      </c>
      <c r="BR1020" t="s">
        <v>84</v>
      </c>
      <c r="BS1020" s="3">
        <v>43780</v>
      </c>
      <c r="BT1020" s="5">
        <v>0.37152777777777773</v>
      </c>
      <c r="BU1020" t="s">
        <v>1559</v>
      </c>
      <c r="BV1020" t="s">
        <v>86</v>
      </c>
      <c r="BY1020">
        <v>1200</v>
      </c>
      <c r="CA1020" t="s">
        <v>111</v>
      </c>
      <c r="CC1020" t="s">
        <v>107</v>
      </c>
      <c r="CD1020">
        <v>6001</v>
      </c>
      <c r="CE1020" t="s">
        <v>147</v>
      </c>
      <c r="CF1020" s="3">
        <v>43781</v>
      </c>
      <c r="CI1020">
        <v>1</v>
      </c>
      <c r="CJ1020">
        <v>1</v>
      </c>
      <c r="CK1020">
        <v>21</v>
      </c>
      <c r="CL1020" t="s">
        <v>89</v>
      </c>
    </row>
    <row r="1021" spans="1:90">
      <c r="A1021" t="s">
        <v>72</v>
      </c>
      <c r="B1021" t="s">
        <v>73</v>
      </c>
      <c r="C1021" t="s">
        <v>74</v>
      </c>
      <c r="E1021" t="str">
        <f>"FES1162721959"</f>
        <v>FES1162721959</v>
      </c>
      <c r="F1021" s="3">
        <v>43777</v>
      </c>
      <c r="G1021">
        <v>202005</v>
      </c>
      <c r="H1021" t="s">
        <v>75</v>
      </c>
      <c r="I1021" t="s">
        <v>76</v>
      </c>
      <c r="J1021" t="s">
        <v>77</v>
      </c>
      <c r="K1021" t="s">
        <v>78</v>
      </c>
      <c r="L1021" t="s">
        <v>133</v>
      </c>
      <c r="M1021" t="s">
        <v>134</v>
      </c>
      <c r="N1021" t="s">
        <v>276</v>
      </c>
      <c r="O1021" t="s">
        <v>82</v>
      </c>
      <c r="P1021" t="str">
        <f>"2170715594                    "</f>
        <v xml:space="preserve">2170715594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36.46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8.1999999999999993</v>
      </c>
      <c r="BJ1021">
        <v>3.2</v>
      </c>
      <c r="BK1021">
        <v>8.5</v>
      </c>
      <c r="BL1021" s="4">
        <v>214.31</v>
      </c>
      <c r="BM1021" s="4">
        <v>32.15</v>
      </c>
      <c r="BN1021" s="4">
        <v>246.46</v>
      </c>
      <c r="BO1021" s="4">
        <v>246.46</v>
      </c>
      <c r="BQ1021" t="s">
        <v>109</v>
      </c>
      <c r="BR1021" t="s">
        <v>84</v>
      </c>
      <c r="BS1021" s="3">
        <v>43780</v>
      </c>
      <c r="BT1021" s="5">
        <v>0.39583333333333331</v>
      </c>
      <c r="BU1021" t="s">
        <v>1560</v>
      </c>
      <c r="BV1021" t="s">
        <v>86</v>
      </c>
      <c r="BY1021">
        <v>15929.22</v>
      </c>
      <c r="CA1021" t="s">
        <v>912</v>
      </c>
      <c r="CC1021" t="s">
        <v>134</v>
      </c>
      <c r="CD1021">
        <v>5200</v>
      </c>
      <c r="CE1021" t="s">
        <v>88</v>
      </c>
      <c r="CF1021" s="3">
        <v>43781</v>
      </c>
      <c r="CI1021">
        <v>1</v>
      </c>
      <c r="CJ1021">
        <v>1</v>
      </c>
      <c r="CK1021">
        <v>21</v>
      </c>
      <c r="CL1021" t="s">
        <v>89</v>
      </c>
    </row>
    <row r="1022" spans="1:90">
      <c r="A1022" t="s">
        <v>72</v>
      </c>
      <c r="B1022" t="s">
        <v>73</v>
      </c>
      <c r="C1022" t="s">
        <v>74</v>
      </c>
      <c r="E1022" t="str">
        <f>"FES1162722112"</f>
        <v>FES1162722112</v>
      </c>
      <c r="F1022" s="3">
        <v>43777</v>
      </c>
      <c r="G1022">
        <v>202005</v>
      </c>
      <c r="H1022" t="s">
        <v>75</v>
      </c>
      <c r="I1022" t="s">
        <v>76</v>
      </c>
      <c r="J1022" t="s">
        <v>77</v>
      </c>
      <c r="K1022" t="s">
        <v>78</v>
      </c>
      <c r="L1022" t="s">
        <v>133</v>
      </c>
      <c r="M1022" t="s">
        <v>134</v>
      </c>
      <c r="N1022" t="s">
        <v>135</v>
      </c>
      <c r="O1022" t="s">
        <v>82</v>
      </c>
      <c r="P1022" t="str">
        <f>"2170716344                    "</f>
        <v xml:space="preserve">2170716344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75.06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12.8</v>
      </c>
      <c r="BJ1022">
        <v>17.5</v>
      </c>
      <c r="BK1022">
        <v>17.5</v>
      </c>
      <c r="BL1022" s="4">
        <v>441.19</v>
      </c>
      <c r="BM1022" s="4">
        <v>66.180000000000007</v>
      </c>
      <c r="BN1022" s="4">
        <v>507.37</v>
      </c>
      <c r="BO1022" s="4">
        <v>507.37</v>
      </c>
      <c r="BQ1022" t="s">
        <v>109</v>
      </c>
      <c r="BR1022" t="s">
        <v>84</v>
      </c>
      <c r="BS1022" s="3">
        <v>43780</v>
      </c>
      <c r="BT1022" s="5">
        <v>0.43402777777777773</v>
      </c>
      <c r="BU1022" t="s">
        <v>1561</v>
      </c>
      <c r="BV1022" t="s">
        <v>86</v>
      </c>
      <c r="BY1022">
        <v>87433.63</v>
      </c>
      <c r="CA1022" t="s">
        <v>730</v>
      </c>
      <c r="CC1022" t="s">
        <v>134</v>
      </c>
      <c r="CD1022">
        <v>5201</v>
      </c>
      <c r="CE1022" t="s">
        <v>88</v>
      </c>
      <c r="CF1022" s="3">
        <v>43782</v>
      </c>
      <c r="CI1022">
        <v>1</v>
      </c>
      <c r="CJ1022">
        <v>1</v>
      </c>
      <c r="CK1022">
        <v>21</v>
      </c>
      <c r="CL1022" t="s">
        <v>89</v>
      </c>
    </row>
    <row r="1023" spans="1:90">
      <c r="A1023" t="s">
        <v>72</v>
      </c>
      <c r="B1023" t="s">
        <v>73</v>
      </c>
      <c r="C1023" t="s">
        <v>74</v>
      </c>
      <c r="E1023" t="str">
        <f>"FES1162722086"</f>
        <v>FES1162722086</v>
      </c>
      <c r="F1023" s="3">
        <v>43777</v>
      </c>
      <c r="G1023">
        <v>202005</v>
      </c>
      <c r="H1023" t="s">
        <v>75</v>
      </c>
      <c r="I1023" t="s">
        <v>76</v>
      </c>
      <c r="J1023" t="s">
        <v>77</v>
      </c>
      <c r="K1023" t="s">
        <v>78</v>
      </c>
      <c r="L1023" t="s">
        <v>75</v>
      </c>
      <c r="M1023" t="s">
        <v>76</v>
      </c>
      <c r="N1023" t="s">
        <v>1141</v>
      </c>
      <c r="O1023" t="s">
        <v>82</v>
      </c>
      <c r="P1023" t="str">
        <f>"2170716302                    "</f>
        <v xml:space="preserve">2170716302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9.1199999999999992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3.3</v>
      </c>
      <c r="BJ1023">
        <v>1.6</v>
      </c>
      <c r="BK1023">
        <v>3.5</v>
      </c>
      <c r="BL1023" s="4">
        <v>53.59</v>
      </c>
      <c r="BM1023" s="4">
        <v>8.0399999999999991</v>
      </c>
      <c r="BN1023" s="4">
        <v>61.63</v>
      </c>
      <c r="BO1023" s="4">
        <v>61.63</v>
      </c>
      <c r="BQ1023" t="s">
        <v>121</v>
      </c>
      <c r="BR1023" t="s">
        <v>84</v>
      </c>
      <c r="BS1023" s="3">
        <v>43780</v>
      </c>
      <c r="BT1023" s="5">
        <v>0.2638888888888889</v>
      </c>
      <c r="BU1023" t="s">
        <v>1562</v>
      </c>
      <c r="BV1023" t="s">
        <v>86</v>
      </c>
      <c r="BY1023">
        <v>7932.12</v>
      </c>
      <c r="CA1023" t="s">
        <v>1498</v>
      </c>
      <c r="CC1023" t="s">
        <v>76</v>
      </c>
      <c r="CD1023">
        <v>1600</v>
      </c>
      <c r="CE1023" t="s">
        <v>88</v>
      </c>
      <c r="CF1023" s="3">
        <v>43781</v>
      </c>
      <c r="CI1023">
        <v>1</v>
      </c>
      <c r="CJ1023">
        <v>1</v>
      </c>
      <c r="CK1023">
        <v>22</v>
      </c>
      <c r="CL1023" t="s">
        <v>89</v>
      </c>
    </row>
    <row r="1024" spans="1:90">
      <c r="A1024" t="s">
        <v>72</v>
      </c>
      <c r="B1024" t="s">
        <v>73</v>
      </c>
      <c r="C1024" t="s">
        <v>74</v>
      </c>
      <c r="E1024" t="str">
        <f>"FES1162722079"</f>
        <v>FES1162722079</v>
      </c>
      <c r="F1024" s="3">
        <v>43777</v>
      </c>
      <c r="G1024">
        <v>202005</v>
      </c>
      <c r="H1024" t="s">
        <v>75</v>
      </c>
      <c r="I1024" t="s">
        <v>76</v>
      </c>
      <c r="J1024" t="s">
        <v>77</v>
      </c>
      <c r="K1024" t="s">
        <v>78</v>
      </c>
      <c r="L1024" t="s">
        <v>691</v>
      </c>
      <c r="M1024" t="s">
        <v>692</v>
      </c>
      <c r="N1024" t="s">
        <v>1217</v>
      </c>
      <c r="O1024" t="s">
        <v>82</v>
      </c>
      <c r="P1024" t="str">
        <f>"2170716289                    "</f>
        <v xml:space="preserve">2170716289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11.53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4.9000000000000004</v>
      </c>
      <c r="BJ1024">
        <v>0.9</v>
      </c>
      <c r="BK1024">
        <v>5</v>
      </c>
      <c r="BL1024" s="4">
        <v>67.760000000000005</v>
      </c>
      <c r="BM1024" s="4">
        <v>10.16</v>
      </c>
      <c r="BN1024" s="4">
        <v>77.92</v>
      </c>
      <c r="BO1024" s="4">
        <v>77.92</v>
      </c>
      <c r="BQ1024" t="s">
        <v>109</v>
      </c>
      <c r="BR1024" t="s">
        <v>84</v>
      </c>
      <c r="BS1024" s="3">
        <v>43780</v>
      </c>
      <c r="BT1024" s="5">
        <v>0.33333333333333331</v>
      </c>
      <c r="BU1024" t="s">
        <v>370</v>
      </c>
      <c r="BV1024" t="s">
        <v>86</v>
      </c>
      <c r="BY1024">
        <v>4439.04</v>
      </c>
      <c r="CC1024" t="s">
        <v>692</v>
      </c>
      <c r="CD1024">
        <v>1559</v>
      </c>
      <c r="CE1024" t="s">
        <v>88</v>
      </c>
      <c r="CF1024" s="3">
        <v>43781</v>
      </c>
      <c r="CI1024">
        <v>1</v>
      </c>
      <c r="CJ1024">
        <v>1</v>
      </c>
      <c r="CK1024">
        <v>22</v>
      </c>
      <c r="CL1024" t="s">
        <v>89</v>
      </c>
    </row>
    <row r="1025" spans="1:90">
      <c r="A1025" t="s">
        <v>72</v>
      </c>
      <c r="B1025" t="s">
        <v>73</v>
      </c>
      <c r="C1025" t="s">
        <v>74</v>
      </c>
      <c r="E1025" t="str">
        <f>"FES1162722069"</f>
        <v>FES1162722069</v>
      </c>
      <c r="F1025" s="3">
        <v>43777</v>
      </c>
      <c r="G1025">
        <v>202005</v>
      </c>
      <c r="H1025" t="s">
        <v>75</v>
      </c>
      <c r="I1025" t="s">
        <v>76</v>
      </c>
      <c r="J1025" t="s">
        <v>77</v>
      </c>
      <c r="K1025" t="s">
        <v>78</v>
      </c>
      <c r="L1025" t="s">
        <v>176</v>
      </c>
      <c r="M1025" t="s">
        <v>177</v>
      </c>
      <c r="N1025" t="s">
        <v>1563</v>
      </c>
      <c r="O1025" t="s">
        <v>82</v>
      </c>
      <c r="P1025" t="str">
        <f>"2170716272                    "</f>
        <v xml:space="preserve">2170716272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49.33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11.4</v>
      </c>
      <c r="BJ1025">
        <v>6.3</v>
      </c>
      <c r="BK1025">
        <v>11.5</v>
      </c>
      <c r="BL1025" s="4">
        <v>289.94</v>
      </c>
      <c r="BM1025" s="4">
        <v>43.49</v>
      </c>
      <c r="BN1025" s="4">
        <v>333.43</v>
      </c>
      <c r="BO1025" s="4">
        <v>333.43</v>
      </c>
      <c r="BQ1025" t="s">
        <v>109</v>
      </c>
      <c r="BR1025" t="s">
        <v>84</v>
      </c>
      <c r="BS1025" s="3">
        <v>43780</v>
      </c>
      <c r="BT1025" s="5">
        <v>0.43124999999999997</v>
      </c>
      <c r="BU1025" t="s">
        <v>1243</v>
      </c>
      <c r="BV1025" t="s">
        <v>86</v>
      </c>
      <c r="BY1025">
        <v>31590</v>
      </c>
      <c r="CA1025" t="s">
        <v>224</v>
      </c>
      <c r="CC1025" t="s">
        <v>177</v>
      </c>
      <c r="CD1025">
        <v>3620</v>
      </c>
      <c r="CE1025" t="s">
        <v>88</v>
      </c>
      <c r="CF1025" s="3">
        <v>43780</v>
      </c>
      <c r="CI1025">
        <v>1</v>
      </c>
      <c r="CJ1025">
        <v>1</v>
      </c>
      <c r="CK1025">
        <v>21</v>
      </c>
      <c r="CL1025" t="s">
        <v>89</v>
      </c>
    </row>
    <row r="1026" spans="1:90">
      <c r="A1026" t="s">
        <v>72</v>
      </c>
      <c r="B1026" t="s">
        <v>73</v>
      </c>
      <c r="C1026" t="s">
        <v>74</v>
      </c>
      <c r="E1026" t="str">
        <f>"FES1162722001"</f>
        <v>FES1162722001</v>
      </c>
      <c r="F1026" s="3">
        <v>43777</v>
      </c>
      <c r="G1026">
        <v>202005</v>
      </c>
      <c r="H1026" t="s">
        <v>75</v>
      </c>
      <c r="I1026" t="s">
        <v>76</v>
      </c>
      <c r="J1026" t="s">
        <v>77</v>
      </c>
      <c r="K1026" t="s">
        <v>78</v>
      </c>
      <c r="L1026" t="s">
        <v>118</v>
      </c>
      <c r="M1026" t="s">
        <v>119</v>
      </c>
      <c r="N1026" t="s">
        <v>130</v>
      </c>
      <c r="O1026" t="s">
        <v>82</v>
      </c>
      <c r="P1026" t="str">
        <f>"2170716199                    "</f>
        <v xml:space="preserve">2170716199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19.3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4.2</v>
      </c>
      <c r="BJ1026">
        <v>1.4</v>
      </c>
      <c r="BK1026">
        <v>4.5</v>
      </c>
      <c r="BL1026" s="4">
        <v>113.47</v>
      </c>
      <c r="BM1026" s="4">
        <v>17.02</v>
      </c>
      <c r="BN1026" s="4">
        <v>130.49</v>
      </c>
      <c r="BO1026" s="4">
        <v>130.49</v>
      </c>
      <c r="BQ1026" t="s">
        <v>109</v>
      </c>
      <c r="BR1026" t="s">
        <v>84</v>
      </c>
      <c r="BS1026" s="3">
        <v>43780</v>
      </c>
      <c r="BT1026" s="5">
        <v>0.40972222222222227</v>
      </c>
      <c r="BU1026" t="s">
        <v>1564</v>
      </c>
      <c r="BV1026" t="s">
        <v>86</v>
      </c>
      <c r="BY1026">
        <v>7239.58</v>
      </c>
      <c r="CC1026" t="s">
        <v>119</v>
      </c>
      <c r="CD1026">
        <v>3201</v>
      </c>
      <c r="CE1026" t="s">
        <v>88</v>
      </c>
      <c r="CF1026" s="3">
        <v>43781</v>
      </c>
      <c r="CI1026">
        <v>1</v>
      </c>
      <c r="CJ1026">
        <v>1</v>
      </c>
      <c r="CK1026">
        <v>21</v>
      </c>
      <c r="CL1026" t="s">
        <v>89</v>
      </c>
    </row>
    <row r="1027" spans="1:90">
      <c r="A1027" t="s">
        <v>72</v>
      </c>
      <c r="B1027" t="s">
        <v>73</v>
      </c>
      <c r="C1027" t="s">
        <v>74</v>
      </c>
      <c r="E1027" t="str">
        <f>"FES1162722081"</f>
        <v>FES1162722081</v>
      </c>
      <c r="F1027" s="3">
        <v>43777</v>
      </c>
      <c r="G1027">
        <v>202005</v>
      </c>
      <c r="H1027" t="s">
        <v>75</v>
      </c>
      <c r="I1027" t="s">
        <v>76</v>
      </c>
      <c r="J1027" t="s">
        <v>77</v>
      </c>
      <c r="K1027" t="s">
        <v>78</v>
      </c>
      <c r="L1027" t="s">
        <v>176</v>
      </c>
      <c r="M1027" t="s">
        <v>177</v>
      </c>
      <c r="N1027" t="s">
        <v>611</v>
      </c>
      <c r="O1027" t="s">
        <v>82</v>
      </c>
      <c r="P1027" t="str">
        <f>"2170716295                    "</f>
        <v xml:space="preserve">2170716295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8.58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1.2</v>
      </c>
      <c r="BJ1027">
        <v>1.5</v>
      </c>
      <c r="BK1027">
        <v>1.5</v>
      </c>
      <c r="BL1027" s="4">
        <v>50.45</v>
      </c>
      <c r="BM1027" s="4">
        <v>7.57</v>
      </c>
      <c r="BN1027" s="4">
        <v>58.02</v>
      </c>
      <c r="BO1027" s="4">
        <v>58.02</v>
      </c>
      <c r="BQ1027" t="s">
        <v>121</v>
      </c>
      <c r="BR1027" t="s">
        <v>84</v>
      </c>
      <c r="BS1027" s="3">
        <v>43780</v>
      </c>
      <c r="BT1027" s="5">
        <v>0.42430555555555555</v>
      </c>
      <c r="BU1027" t="s">
        <v>612</v>
      </c>
      <c r="BV1027" t="s">
        <v>86</v>
      </c>
      <c r="BY1027">
        <v>7648.1</v>
      </c>
      <c r="CA1027" t="s">
        <v>224</v>
      </c>
      <c r="CC1027" t="s">
        <v>177</v>
      </c>
      <c r="CD1027">
        <v>3610</v>
      </c>
      <c r="CE1027" t="s">
        <v>88</v>
      </c>
      <c r="CF1027" s="3">
        <v>43780</v>
      </c>
      <c r="CI1027">
        <v>1</v>
      </c>
      <c r="CJ1027">
        <v>1</v>
      </c>
      <c r="CK1027">
        <v>21</v>
      </c>
      <c r="CL1027" t="s">
        <v>89</v>
      </c>
    </row>
    <row r="1028" spans="1:90">
      <c r="A1028" t="s">
        <v>72</v>
      </c>
      <c r="B1028" t="s">
        <v>73</v>
      </c>
      <c r="C1028" t="s">
        <v>74</v>
      </c>
      <c r="E1028" t="str">
        <f>"FES1162722078"</f>
        <v>FES1162722078</v>
      </c>
      <c r="F1028" s="3">
        <v>43777</v>
      </c>
      <c r="G1028">
        <v>202005</v>
      </c>
      <c r="H1028" t="s">
        <v>75</v>
      </c>
      <c r="I1028" t="s">
        <v>76</v>
      </c>
      <c r="J1028" t="s">
        <v>77</v>
      </c>
      <c r="K1028" t="s">
        <v>78</v>
      </c>
      <c r="L1028" t="s">
        <v>304</v>
      </c>
      <c r="M1028" t="s">
        <v>305</v>
      </c>
      <c r="N1028" t="s">
        <v>1565</v>
      </c>
      <c r="O1028" t="s">
        <v>82</v>
      </c>
      <c r="P1028" t="str">
        <f>"2170716288                    "</f>
        <v xml:space="preserve">2170716288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42.92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5.4</v>
      </c>
      <c r="BJ1028">
        <v>2.4</v>
      </c>
      <c r="BK1028">
        <v>5.5</v>
      </c>
      <c r="BL1028" s="4">
        <v>252.28</v>
      </c>
      <c r="BM1028" s="4">
        <v>37.840000000000003</v>
      </c>
      <c r="BN1028" s="4">
        <v>290.12</v>
      </c>
      <c r="BO1028" s="4">
        <v>290.12</v>
      </c>
      <c r="BQ1028" t="s">
        <v>121</v>
      </c>
      <c r="BR1028" t="s">
        <v>84</v>
      </c>
      <c r="BS1028" s="3">
        <v>43780</v>
      </c>
      <c r="BT1028" s="5">
        <v>0.36180555555555555</v>
      </c>
      <c r="BU1028" t="s">
        <v>1566</v>
      </c>
      <c r="BV1028" t="s">
        <v>86</v>
      </c>
      <c r="BY1028">
        <v>11859.84</v>
      </c>
      <c r="CC1028" t="s">
        <v>305</v>
      </c>
      <c r="CD1028">
        <v>5660</v>
      </c>
      <c r="CE1028" t="s">
        <v>88</v>
      </c>
      <c r="CF1028" s="3">
        <v>43782</v>
      </c>
      <c r="CI1028">
        <v>3</v>
      </c>
      <c r="CJ1028">
        <v>1</v>
      </c>
      <c r="CK1028">
        <v>23</v>
      </c>
      <c r="CL1028" t="s">
        <v>89</v>
      </c>
    </row>
    <row r="1029" spans="1:90">
      <c r="A1029" t="s">
        <v>72</v>
      </c>
      <c r="B1029" t="s">
        <v>73</v>
      </c>
      <c r="C1029" t="s">
        <v>74</v>
      </c>
      <c r="E1029" t="str">
        <f>"FES1162722097"</f>
        <v>FES1162722097</v>
      </c>
      <c r="F1029" s="3">
        <v>43777</v>
      </c>
      <c r="G1029">
        <v>202005</v>
      </c>
      <c r="H1029" t="s">
        <v>75</v>
      </c>
      <c r="I1029" t="s">
        <v>76</v>
      </c>
      <c r="J1029" t="s">
        <v>77</v>
      </c>
      <c r="K1029" t="s">
        <v>78</v>
      </c>
      <c r="L1029" t="s">
        <v>112</v>
      </c>
      <c r="M1029" t="s">
        <v>113</v>
      </c>
      <c r="N1029" t="s">
        <v>160</v>
      </c>
      <c r="O1029" t="s">
        <v>82</v>
      </c>
      <c r="P1029" t="str">
        <f>"2170716317                    "</f>
        <v xml:space="preserve">2170716317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8.58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1.5</v>
      </c>
      <c r="BJ1029">
        <v>1.5</v>
      </c>
      <c r="BK1029">
        <v>1.5</v>
      </c>
      <c r="BL1029" s="4">
        <v>50.45</v>
      </c>
      <c r="BM1029" s="4">
        <v>7.57</v>
      </c>
      <c r="BN1029" s="4">
        <v>58.02</v>
      </c>
      <c r="BO1029" s="4">
        <v>58.02</v>
      </c>
      <c r="BQ1029" t="s">
        <v>161</v>
      </c>
      <c r="BR1029" t="s">
        <v>84</v>
      </c>
      <c r="BS1029" s="3">
        <v>43780</v>
      </c>
      <c r="BT1029" s="5">
        <v>0.35347222222222219</v>
      </c>
      <c r="BU1029" t="s">
        <v>1360</v>
      </c>
      <c r="BV1029" t="s">
        <v>86</v>
      </c>
      <c r="BY1029">
        <v>7417.45</v>
      </c>
      <c r="CA1029" t="s">
        <v>163</v>
      </c>
      <c r="CC1029" t="s">
        <v>113</v>
      </c>
      <c r="CD1029">
        <v>4000</v>
      </c>
      <c r="CE1029" t="s">
        <v>88</v>
      </c>
      <c r="CF1029" s="3">
        <v>43780</v>
      </c>
      <c r="CI1029">
        <v>1</v>
      </c>
      <c r="CJ1029">
        <v>1</v>
      </c>
      <c r="CK1029">
        <v>21</v>
      </c>
      <c r="CL1029" t="s">
        <v>89</v>
      </c>
    </row>
    <row r="1030" spans="1:90">
      <c r="A1030" t="s">
        <v>72</v>
      </c>
      <c r="B1030" t="s">
        <v>73</v>
      </c>
      <c r="C1030" t="s">
        <v>74</v>
      </c>
      <c r="E1030" t="str">
        <f>"FES1162722093"</f>
        <v>FES1162722093</v>
      </c>
      <c r="F1030" s="3">
        <v>43777</v>
      </c>
      <c r="G1030">
        <v>202005</v>
      </c>
      <c r="H1030" t="s">
        <v>75</v>
      </c>
      <c r="I1030" t="s">
        <v>76</v>
      </c>
      <c r="J1030" t="s">
        <v>77</v>
      </c>
      <c r="K1030" t="s">
        <v>78</v>
      </c>
      <c r="L1030" t="s">
        <v>90</v>
      </c>
      <c r="M1030" t="s">
        <v>91</v>
      </c>
      <c r="N1030" t="s">
        <v>576</v>
      </c>
      <c r="O1030" t="s">
        <v>82</v>
      </c>
      <c r="P1030" t="str">
        <f>"2170716313                    "</f>
        <v xml:space="preserve">2170716313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12.87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3</v>
      </c>
      <c r="BJ1030">
        <v>1.6</v>
      </c>
      <c r="BK1030">
        <v>3</v>
      </c>
      <c r="BL1030" s="4">
        <v>75.66</v>
      </c>
      <c r="BM1030" s="4">
        <v>11.35</v>
      </c>
      <c r="BN1030" s="4">
        <v>87.01</v>
      </c>
      <c r="BO1030" s="4">
        <v>87.01</v>
      </c>
      <c r="BQ1030" t="s">
        <v>109</v>
      </c>
      <c r="BR1030" t="s">
        <v>84</v>
      </c>
      <c r="BS1030" s="3">
        <v>43780</v>
      </c>
      <c r="BT1030" s="5">
        <v>0.35486111111111113</v>
      </c>
      <c r="BU1030" t="s">
        <v>1477</v>
      </c>
      <c r="BV1030" t="s">
        <v>86</v>
      </c>
      <c r="BY1030">
        <v>8137.53</v>
      </c>
      <c r="CA1030" t="s">
        <v>213</v>
      </c>
      <c r="CC1030" t="s">
        <v>91</v>
      </c>
      <c r="CD1030">
        <v>7441</v>
      </c>
      <c r="CE1030" t="s">
        <v>88</v>
      </c>
      <c r="CF1030" s="3">
        <v>43781</v>
      </c>
      <c r="CI1030">
        <v>1</v>
      </c>
      <c r="CJ1030">
        <v>1</v>
      </c>
      <c r="CK1030">
        <v>21</v>
      </c>
      <c r="CL1030" t="s">
        <v>89</v>
      </c>
    </row>
    <row r="1031" spans="1:90">
      <c r="A1031" t="s">
        <v>72</v>
      </c>
      <c r="B1031" t="s">
        <v>73</v>
      </c>
      <c r="C1031" t="s">
        <v>74</v>
      </c>
      <c r="E1031" t="str">
        <f>"FES1162722096"</f>
        <v>FES1162722096</v>
      </c>
      <c r="F1031" s="3">
        <v>43777</v>
      </c>
      <c r="G1031">
        <v>202005</v>
      </c>
      <c r="H1031" t="s">
        <v>75</v>
      </c>
      <c r="I1031" t="s">
        <v>76</v>
      </c>
      <c r="J1031" t="s">
        <v>77</v>
      </c>
      <c r="K1031" t="s">
        <v>78</v>
      </c>
      <c r="L1031" t="s">
        <v>90</v>
      </c>
      <c r="M1031" t="s">
        <v>91</v>
      </c>
      <c r="N1031" t="s">
        <v>576</v>
      </c>
      <c r="O1031" t="s">
        <v>82</v>
      </c>
      <c r="P1031" t="str">
        <f>"2170712224                    "</f>
        <v xml:space="preserve">2170712224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17.16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3.7</v>
      </c>
      <c r="BJ1031">
        <v>1.6</v>
      </c>
      <c r="BK1031">
        <v>4</v>
      </c>
      <c r="BL1031" s="4">
        <v>100.87</v>
      </c>
      <c r="BM1031" s="4">
        <v>15.13</v>
      </c>
      <c r="BN1031" s="4">
        <v>116</v>
      </c>
      <c r="BO1031" s="4">
        <v>116</v>
      </c>
      <c r="BQ1031" t="s">
        <v>109</v>
      </c>
      <c r="BR1031" t="s">
        <v>84</v>
      </c>
      <c r="BS1031" s="3">
        <v>43780</v>
      </c>
      <c r="BT1031" s="5">
        <v>0.35555555555555557</v>
      </c>
      <c r="BU1031" t="s">
        <v>1477</v>
      </c>
      <c r="BV1031" t="s">
        <v>86</v>
      </c>
      <c r="BY1031">
        <v>7785.63</v>
      </c>
      <c r="CA1031" t="s">
        <v>213</v>
      </c>
      <c r="CC1031" t="s">
        <v>91</v>
      </c>
      <c r="CD1031">
        <v>7441</v>
      </c>
      <c r="CE1031" t="s">
        <v>88</v>
      </c>
      <c r="CF1031" s="3">
        <v>43781</v>
      </c>
      <c r="CI1031">
        <v>1</v>
      </c>
      <c r="CJ1031">
        <v>1</v>
      </c>
      <c r="CK1031">
        <v>21</v>
      </c>
      <c r="CL1031" t="s">
        <v>89</v>
      </c>
    </row>
    <row r="1032" spans="1:90">
      <c r="A1032" t="s">
        <v>72</v>
      </c>
      <c r="B1032" t="s">
        <v>73</v>
      </c>
      <c r="C1032" t="s">
        <v>74</v>
      </c>
      <c r="E1032" t="str">
        <f>"FES1162722110"</f>
        <v>FES1162722110</v>
      </c>
      <c r="F1032" s="3">
        <v>43777</v>
      </c>
      <c r="G1032">
        <v>202005</v>
      </c>
      <c r="H1032" t="s">
        <v>75</v>
      </c>
      <c r="I1032" t="s">
        <v>76</v>
      </c>
      <c r="J1032" t="s">
        <v>77</v>
      </c>
      <c r="K1032" t="s">
        <v>78</v>
      </c>
      <c r="L1032" t="s">
        <v>112</v>
      </c>
      <c r="M1032" t="s">
        <v>113</v>
      </c>
      <c r="N1032" t="s">
        <v>620</v>
      </c>
      <c r="O1032" t="s">
        <v>82</v>
      </c>
      <c r="P1032" t="str">
        <f>"2170716340                    "</f>
        <v xml:space="preserve">2170716340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8.58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0.9</v>
      </c>
      <c r="BK1032">
        <v>1</v>
      </c>
      <c r="BL1032" s="4">
        <v>50.45</v>
      </c>
      <c r="BM1032" s="4">
        <v>7.57</v>
      </c>
      <c r="BN1032" s="4">
        <v>58.02</v>
      </c>
      <c r="BO1032" s="4">
        <v>58.02</v>
      </c>
      <c r="BQ1032" t="s">
        <v>109</v>
      </c>
      <c r="BR1032" t="s">
        <v>84</v>
      </c>
      <c r="BS1032" s="3">
        <v>43780</v>
      </c>
      <c r="BT1032" s="5">
        <v>0.3354166666666667</v>
      </c>
      <c r="BU1032" t="s">
        <v>1567</v>
      </c>
      <c r="BV1032" t="s">
        <v>86</v>
      </c>
      <c r="BY1032">
        <v>4592.37</v>
      </c>
      <c r="CA1032" t="s">
        <v>255</v>
      </c>
      <c r="CC1032" t="s">
        <v>113</v>
      </c>
      <c r="CD1032">
        <v>4302</v>
      </c>
      <c r="CE1032" t="s">
        <v>88</v>
      </c>
      <c r="CF1032" s="3">
        <v>43781</v>
      </c>
      <c r="CI1032">
        <v>1</v>
      </c>
      <c r="CJ1032">
        <v>1</v>
      </c>
      <c r="CK1032">
        <v>21</v>
      </c>
      <c r="CL1032" t="s">
        <v>89</v>
      </c>
    </row>
    <row r="1033" spans="1:90">
      <c r="A1033" t="s">
        <v>72</v>
      </c>
      <c r="B1033" t="s">
        <v>73</v>
      </c>
      <c r="C1033" t="s">
        <v>74</v>
      </c>
      <c r="E1033" t="str">
        <f>"FES1162722104"</f>
        <v>FES1162722104</v>
      </c>
      <c r="F1033" s="3">
        <v>43777</v>
      </c>
      <c r="G1033">
        <v>202005</v>
      </c>
      <c r="H1033" t="s">
        <v>75</v>
      </c>
      <c r="I1033" t="s">
        <v>76</v>
      </c>
      <c r="J1033" t="s">
        <v>77</v>
      </c>
      <c r="K1033" t="s">
        <v>78</v>
      </c>
      <c r="L1033" t="s">
        <v>133</v>
      </c>
      <c r="M1033" t="s">
        <v>134</v>
      </c>
      <c r="N1033" t="s">
        <v>310</v>
      </c>
      <c r="O1033" t="s">
        <v>82</v>
      </c>
      <c r="P1033" t="str">
        <f>"2170716333                    "</f>
        <v xml:space="preserve">2170716333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25.74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5.6</v>
      </c>
      <c r="BJ1033">
        <v>3</v>
      </c>
      <c r="BK1033">
        <v>6</v>
      </c>
      <c r="BL1033" s="4">
        <v>151.29</v>
      </c>
      <c r="BM1033" s="4">
        <v>22.69</v>
      </c>
      <c r="BN1033" s="4">
        <v>173.98</v>
      </c>
      <c r="BO1033" s="4">
        <v>173.98</v>
      </c>
      <c r="BQ1033" t="s">
        <v>121</v>
      </c>
      <c r="BR1033" t="s">
        <v>84</v>
      </c>
      <c r="BS1033" s="3">
        <v>43780</v>
      </c>
      <c r="BT1033" s="5">
        <v>0.43402777777777773</v>
      </c>
      <c r="BU1033" t="s">
        <v>1467</v>
      </c>
      <c r="BV1033" t="s">
        <v>86</v>
      </c>
      <c r="BY1033">
        <v>14945.78</v>
      </c>
      <c r="CA1033" t="s">
        <v>730</v>
      </c>
      <c r="CC1033" t="s">
        <v>134</v>
      </c>
      <c r="CD1033">
        <v>5201</v>
      </c>
      <c r="CE1033" t="s">
        <v>88</v>
      </c>
      <c r="CF1033" s="3">
        <v>43782</v>
      </c>
      <c r="CI1033">
        <v>1</v>
      </c>
      <c r="CJ1033">
        <v>1</v>
      </c>
      <c r="CK1033">
        <v>21</v>
      </c>
      <c r="CL1033" t="s">
        <v>89</v>
      </c>
    </row>
    <row r="1034" spans="1:90">
      <c r="A1034" t="s">
        <v>72</v>
      </c>
      <c r="B1034" t="s">
        <v>73</v>
      </c>
      <c r="C1034" t="s">
        <v>74</v>
      </c>
      <c r="E1034" t="str">
        <f>"FES1162722115"</f>
        <v>FES1162722115</v>
      </c>
      <c r="F1034" s="3">
        <v>43777</v>
      </c>
      <c r="G1034">
        <v>202005</v>
      </c>
      <c r="H1034" t="s">
        <v>75</v>
      </c>
      <c r="I1034" t="s">
        <v>76</v>
      </c>
      <c r="J1034" t="s">
        <v>77</v>
      </c>
      <c r="K1034" t="s">
        <v>78</v>
      </c>
      <c r="L1034" t="s">
        <v>106</v>
      </c>
      <c r="M1034" t="s">
        <v>107</v>
      </c>
      <c r="N1034" t="s">
        <v>308</v>
      </c>
      <c r="O1034" t="s">
        <v>82</v>
      </c>
      <c r="P1034" t="str">
        <f>"2170716348                    "</f>
        <v xml:space="preserve">2170716348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8.58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 s="4">
        <v>50.45</v>
      </c>
      <c r="BM1034" s="4">
        <v>7.57</v>
      </c>
      <c r="BN1034" s="4">
        <v>58.02</v>
      </c>
      <c r="BO1034" s="4">
        <v>58.02</v>
      </c>
      <c r="BQ1034" t="s">
        <v>121</v>
      </c>
      <c r="BR1034" t="s">
        <v>84</v>
      </c>
      <c r="BS1034" s="3">
        <v>43780</v>
      </c>
      <c r="BT1034" s="5">
        <v>0.38958333333333334</v>
      </c>
      <c r="BU1034" t="s">
        <v>1568</v>
      </c>
      <c r="BV1034" t="s">
        <v>86</v>
      </c>
      <c r="BY1034">
        <v>1200</v>
      </c>
      <c r="CA1034" t="s">
        <v>111</v>
      </c>
      <c r="CC1034" t="s">
        <v>107</v>
      </c>
      <c r="CD1034">
        <v>6001</v>
      </c>
      <c r="CE1034" t="s">
        <v>147</v>
      </c>
      <c r="CF1034" s="3">
        <v>43781</v>
      </c>
      <c r="CI1034">
        <v>1</v>
      </c>
      <c r="CJ1034">
        <v>1</v>
      </c>
      <c r="CK1034">
        <v>21</v>
      </c>
      <c r="CL1034" t="s">
        <v>89</v>
      </c>
    </row>
    <row r="1035" spans="1:90">
      <c r="A1035" t="s">
        <v>72</v>
      </c>
      <c r="B1035" t="s">
        <v>73</v>
      </c>
      <c r="C1035" t="s">
        <v>74</v>
      </c>
      <c r="E1035" t="str">
        <f>"FES1162722004"</f>
        <v>FES1162722004</v>
      </c>
      <c r="F1035" s="3">
        <v>43777</v>
      </c>
      <c r="G1035">
        <v>202005</v>
      </c>
      <c r="H1035" t="s">
        <v>75</v>
      </c>
      <c r="I1035" t="s">
        <v>76</v>
      </c>
      <c r="J1035" t="s">
        <v>77</v>
      </c>
      <c r="K1035" t="s">
        <v>78</v>
      </c>
      <c r="L1035" t="s">
        <v>133</v>
      </c>
      <c r="M1035" t="s">
        <v>134</v>
      </c>
      <c r="N1035" t="s">
        <v>1569</v>
      </c>
      <c r="O1035" t="s">
        <v>82</v>
      </c>
      <c r="P1035" t="str">
        <f>"2170716105                    "</f>
        <v xml:space="preserve">2170716105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8.58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 s="4">
        <v>50.45</v>
      </c>
      <c r="BM1035" s="4">
        <v>7.57</v>
      </c>
      <c r="BN1035" s="4">
        <v>58.02</v>
      </c>
      <c r="BO1035" s="4">
        <v>58.02</v>
      </c>
      <c r="BQ1035" t="s">
        <v>1570</v>
      </c>
      <c r="BR1035" t="s">
        <v>84</v>
      </c>
      <c r="BS1035" s="3">
        <v>43780</v>
      </c>
      <c r="BT1035" s="5">
        <v>0.43402777777777773</v>
      </c>
      <c r="BU1035" t="s">
        <v>1571</v>
      </c>
      <c r="BV1035" t="s">
        <v>86</v>
      </c>
      <c r="BY1035">
        <v>1200</v>
      </c>
      <c r="CA1035" t="s">
        <v>698</v>
      </c>
      <c r="CC1035" t="s">
        <v>134</v>
      </c>
      <c r="CD1035">
        <v>5201</v>
      </c>
      <c r="CE1035" t="s">
        <v>147</v>
      </c>
      <c r="CF1035" s="3">
        <v>43781</v>
      </c>
      <c r="CI1035">
        <v>1</v>
      </c>
      <c r="CJ1035">
        <v>1</v>
      </c>
      <c r="CK1035">
        <v>21</v>
      </c>
      <c r="CL1035" t="s">
        <v>89</v>
      </c>
    </row>
    <row r="1036" spans="1:90">
      <c r="A1036" t="s">
        <v>72</v>
      </c>
      <c r="B1036" t="s">
        <v>73</v>
      </c>
      <c r="C1036" t="s">
        <v>74</v>
      </c>
      <c r="E1036" t="str">
        <f>"FES1162722099"</f>
        <v>FES1162722099</v>
      </c>
      <c r="F1036" s="3">
        <v>43777</v>
      </c>
      <c r="G1036">
        <v>202005</v>
      </c>
      <c r="H1036" t="s">
        <v>75</v>
      </c>
      <c r="I1036" t="s">
        <v>76</v>
      </c>
      <c r="J1036" t="s">
        <v>77</v>
      </c>
      <c r="K1036" t="s">
        <v>78</v>
      </c>
      <c r="L1036" t="s">
        <v>75</v>
      </c>
      <c r="M1036" t="s">
        <v>76</v>
      </c>
      <c r="N1036" t="s">
        <v>199</v>
      </c>
      <c r="O1036" t="s">
        <v>82</v>
      </c>
      <c r="P1036" t="str">
        <f>"2170716319                    "</f>
        <v xml:space="preserve">2170716319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6.71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 s="4">
        <v>39.42</v>
      </c>
      <c r="BM1036" s="4">
        <v>5.91</v>
      </c>
      <c r="BN1036" s="4">
        <v>45.33</v>
      </c>
      <c r="BO1036" s="4">
        <v>45.33</v>
      </c>
      <c r="BQ1036" t="s">
        <v>200</v>
      </c>
      <c r="BR1036" t="s">
        <v>84</v>
      </c>
      <c r="BS1036" s="3">
        <v>43780</v>
      </c>
      <c r="BT1036" s="5">
        <v>0.3263888888888889</v>
      </c>
      <c r="BU1036" t="s">
        <v>1555</v>
      </c>
      <c r="BV1036" t="s">
        <v>86</v>
      </c>
      <c r="BY1036">
        <v>1200</v>
      </c>
      <c r="CA1036" t="s">
        <v>1498</v>
      </c>
      <c r="CC1036" t="s">
        <v>76</v>
      </c>
      <c r="CD1036">
        <v>1600</v>
      </c>
      <c r="CE1036" t="s">
        <v>147</v>
      </c>
      <c r="CF1036" s="3">
        <v>43781</v>
      </c>
      <c r="CI1036">
        <v>1</v>
      </c>
      <c r="CJ1036">
        <v>1</v>
      </c>
      <c r="CK1036">
        <v>22</v>
      </c>
      <c r="CL1036" t="s">
        <v>89</v>
      </c>
    </row>
    <row r="1037" spans="1:90">
      <c r="A1037" t="s">
        <v>72</v>
      </c>
      <c r="B1037" t="s">
        <v>73</v>
      </c>
      <c r="C1037" t="s">
        <v>74</v>
      </c>
      <c r="E1037" t="str">
        <f>"FES1162722105"</f>
        <v>FES1162722105</v>
      </c>
      <c r="F1037" s="3">
        <v>43777</v>
      </c>
      <c r="G1037">
        <v>202005</v>
      </c>
      <c r="H1037" t="s">
        <v>75</v>
      </c>
      <c r="I1037" t="s">
        <v>76</v>
      </c>
      <c r="J1037" t="s">
        <v>77</v>
      </c>
      <c r="K1037" t="s">
        <v>78</v>
      </c>
      <c r="L1037" t="s">
        <v>214</v>
      </c>
      <c r="M1037" t="s">
        <v>214</v>
      </c>
      <c r="N1037" t="s">
        <v>1572</v>
      </c>
      <c r="O1037" t="s">
        <v>82</v>
      </c>
      <c r="P1037" t="str">
        <f>"2170716334                    "</f>
        <v xml:space="preserve">2170716334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16.63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 s="4">
        <v>97.75</v>
      </c>
      <c r="BM1037" s="4">
        <v>14.66</v>
      </c>
      <c r="BN1037" s="4">
        <v>112.41</v>
      </c>
      <c r="BO1037" s="4">
        <v>112.41</v>
      </c>
      <c r="BQ1037" t="s">
        <v>121</v>
      </c>
      <c r="BR1037" t="s">
        <v>84</v>
      </c>
      <c r="BS1037" s="3">
        <v>43780</v>
      </c>
      <c r="BT1037" s="5">
        <v>0.45</v>
      </c>
      <c r="BU1037" t="s">
        <v>1573</v>
      </c>
      <c r="BV1037" t="s">
        <v>86</v>
      </c>
      <c r="BY1037">
        <v>1200</v>
      </c>
      <c r="CA1037" t="s">
        <v>217</v>
      </c>
      <c r="CC1037" t="s">
        <v>214</v>
      </c>
      <c r="CD1037">
        <v>7646</v>
      </c>
      <c r="CE1037" t="s">
        <v>147</v>
      </c>
      <c r="CF1037" s="3">
        <v>43781</v>
      </c>
      <c r="CI1037">
        <v>1</v>
      </c>
      <c r="CJ1037">
        <v>1</v>
      </c>
      <c r="CK1037">
        <v>23</v>
      </c>
      <c r="CL1037" t="s">
        <v>89</v>
      </c>
    </row>
    <row r="1038" spans="1:90">
      <c r="A1038" t="s">
        <v>72</v>
      </c>
      <c r="B1038" t="s">
        <v>73</v>
      </c>
      <c r="C1038" t="s">
        <v>74</v>
      </c>
      <c r="E1038" t="str">
        <f>"FES1162722114"</f>
        <v>FES1162722114</v>
      </c>
      <c r="F1038" s="3">
        <v>43777</v>
      </c>
      <c r="G1038">
        <v>202005</v>
      </c>
      <c r="H1038" t="s">
        <v>75</v>
      </c>
      <c r="I1038" t="s">
        <v>76</v>
      </c>
      <c r="J1038" t="s">
        <v>77</v>
      </c>
      <c r="K1038" t="s">
        <v>78</v>
      </c>
      <c r="L1038" t="s">
        <v>296</v>
      </c>
      <c r="M1038" t="s">
        <v>297</v>
      </c>
      <c r="N1038" t="s">
        <v>1574</v>
      </c>
      <c r="O1038" t="s">
        <v>82</v>
      </c>
      <c r="P1038" t="str">
        <f>"2170716347                    "</f>
        <v xml:space="preserve">2170716347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16.63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 s="4">
        <v>97.75</v>
      </c>
      <c r="BM1038" s="4">
        <v>14.66</v>
      </c>
      <c r="BN1038" s="4">
        <v>112.41</v>
      </c>
      <c r="BO1038" s="4">
        <v>112.41</v>
      </c>
      <c r="BQ1038" t="s">
        <v>1575</v>
      </c>
      <c r="BR1038" t="s">
        <v>84</v>
      </c>
      <c r="BS1038" s="3">
        <v>43781</v>
      </c>
      <c r="BT1038" s="5">
        <v>0.4069444444444445</v>
      </c>
      <c r="BU1038" t="s">
        <v>1576</v>
      </c>
      <c r="BV1038" t="s">
        <v>86</v>
      </c>
      <c r="BY1038">
        <v>1200</v>
      </c>
      <c r="CA1038" t="s">
        <v>300</v>
      </c>
      <c r="CC1038" t="s">
        <v>297</v>
      </c>
      <c r="CD1038">
        <v>6850</v>
      </c>
      <c r="CE1038" t="s">
        <v>147</v>
      </c>
      <c r="CF1038" s="3">
        <v>43782</v>
      </c>
      <c r="CI1038">
        <v>3</v>
      </c>
      <c r="CJ1038">
        <v>2</v>
      </c>
      <c r="CK1038">
        <v>23</v>
      </c>
      <c r="CL1038" t="s">
        <v>89</v>
      </c>
    </row>
    <row r="1039" spans="1:90">
      <c r="A1039" t="s">
        <v>72</v>
      </c>
      <c r="B1039" t="s">
        <v>73</v>
      </c>
      <c r="C1039" t="s">
        <v>74</v>
      </c>
      <c r="E1039" t="str">
        <f>"FES1162722111"</f>
        <v>FES1162722111</v>
      </c>
      <c r="F1039" s="3">
        <v>43777</v>
      </c>
      <c r="G1039">
        <v>202005</v>
      </c>
      <c r="H1039" t="s">
        <v>75</v>
      </c>
      <c r="I1039" t="s">
        <v>76</v>
      </c>
      <c r="J1039" t="s">
        <v>77</v>
      </c>
      <c r="K1039" t="s">
        <v>78</v>
      </c>
      <c r="L1039" t="s">
        <v>90</v>
      </c>
      <c r="M1039" t="s">
        <v>91</v>
      </c>
      <c r="N1039" t="s">
        <v>538</v>
      </c>
      <c r="O1039" t="s">
        <v>82</v>
      </c>
      <c r="P1039" t="str">
        <f>"2170716341                    "</f>
        <v xml:space="preserve">2170716341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8.58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 s="4">
        <v>50.45</v>
      </c>
      <c r="BM1039" s="4">
        <v>7.57</v>
      </c>
      <c r="BN1039" s="4">
        <v>58.02</v>
      </c>
      <c r="BO1039" s="4">
        <v>58.02</v>
      </c>
      <c r="BQ1039" t="s">
        <v>109</v>
      </c>
      <c r="BR1039" t="s">
        <v>84</v>
      </c>
      <c r="BS1039" s="3">
        <v>43780</v>
      </c>
      <c r="BT1039" s="5">
        <v>0.32222222222222224</v>
      </c>
      <c r="BU1039" t="s">
        <v>1577</v>
      </c>
      <c r="BV1039" t="s">
        <v>86</v>
      </c>
      <c r="BY1039">
        <v>1200</v>
      </c>
      <c r="CA1039" t="s">
        <v>140</v>
      </c>
      <c r="CC1039" t="s">
        <v>91</v>
      </c>
      <c r="CD1039">
        <v>7530</v>
      </c>
      <c r="CE1039" t="s">
        <v>147</v>
      </c>
      <c r="CF1039" s="3">
        <v>43781</v>
      </c>
      <c r="CI1039">
        <v>1</v>
      </c>
      <c r="CJ1039">
        <v>1</v>
      </c>
      <c r="CK1039">
        <v>21</v>
      </c>
      <c r="CL1039" t="s">
        <v>89</v>
      </c>
    </row>
    <row r="1040" spans="1:90">
      <c r="A1040" t="s">
        <v>72</v>
      </c>
      <c r="B1040" t="s">
        <v>73</v>
      </c>
      <c r="C1040" t="s">
        <v>74</v>
      </c>
      <c r="E1040" t="str">
        <f>"FES1162722133"</f>
        <v>FES1162722133</v>
      </c>
      <c r="F1040" s="3">
        <v>43777</v>
      </c>
      <c r="G1040">
        <v>202005</v>
      </c>
      <c r="H1040" t="s">
        <v>75</v>
      </c>
      <c r="I1040" t="s">
        <v>76</v>
      </c>
      <c r="J1040" t="s">
        <v>77</v>
      </c>
      <c r="K1040" t="s">
        <v>78</v>
      </c>
      <c r="L1040" t="s">
        <v>118</v>
      </c>
      <c r="M1040" t="s">
        <v>119</v>
      </c>
      <c r="N1040" t="s">
        <v>1578</v>
      </c>
      <c r="O1040" t="s">
        <v>82</v>
      </c>
      <c r="P1040" t="str">
        <f>"2170716138                    "</f>
        <v xml:space="preserve">2170716138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8.58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 s="4">
        <v>50.45</v>
      </c>
      <c r="BM1040" s="4">
        <v>7.57</v>
      </c>
      <c r="BN1040" s="4">
        <v>58.02</v>
      </c>
      <c r="BO1040" s="4">
        <v>58.02</v>
      </c>
      <c r="BQ1040" t="s">
        <v>109</v>
      </c>
      <c r="BR1040" t="s">
        <v>84</v>
      </c>
      <c r="BS1040" s="3">
        <v>43780</v>
      </c>
      <c r="BT1040" s="5">
        <v>0.4368055555555555</v>
      </c>
      <c r="BU1040" t="s">
        <v>1579</v>
      </c>
      <c r="BV1040" t="s">
        <v>86</v>
      </c>
      <c r="BY1040">
        <v>1200</v>
      </c>
      <c r="CA1040" t="s">
        <v>171</v>
      </c>
      <c r="CC1040" t="s">
        <v>119</v>
      </c>
      <c r="CD1040">
        <v>3201</v>
      </c>
      <c r="CE1040" t="s">
        <v>147</v>
      </c>
      <c r="CF1040" s="3">
        <v>43781</v>
      </c>
      <c r="CI1040">
        <v>1</v>
      </c>
      <c r="CJ1040">
        <v>1</v>
      </c>
      <c r="CK1040">
        <v>21</v>
      </c>
      <c r="CL1040" t="s">
        <v>89</v>
      </c>
    </row>
    <row r="1041" spans="1:90">
      <c r="A1041" t="s">
        <v>72</v>
      </c>
      <c r="B1041" t="s">
        <v>73</v>
      </c>
      <c r="C1041" t="s">
        <v>74</v>
      </c>
      <c r="E1041" t="str">
        <f>"FES1162722128"</f>
        <v>FES1162722128</v>
      </c>
      <c r="F1041" s="3">
        <v>43777</v>
      </c>
      <c r="G1041">
        <v>202005</v>
      </c>
      <c r="H1041" t="s">
        <v>75</v>
      </c>
      <c r="I1041" t="s">
        <v>76</v>
      </c>
      <c r="J1041" t="s">
        <v>77</v>
      </c>
      <c r="K1041" t="s">
        <v>78</v>
      </c>
      <c r="L1041" t="s">
        <v>176</v>
      </c>
      <c r="M1041" t="s">
        <v>177</v>
      </c>
      <c r="N1041" t="s">
        <v>602</v>
      </c>
      <c r="O1041" t="s">
        <v>82</v>
      </c>
      <c r="P1041" t="str">
        <f>"2170715915                    "</f>
        <v xml:space="preserve">2170715915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8.58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1.7</v>
      </c>
      <c r="BJ1041">
        <v>1.4</v>
      </c>
      <c r="BK1041">
        <v>2</v>
      </c>
      <c r="BL1041" s="4">
        <v>50.45</v>
      </c>
      <c r="BM1041" s="4">
        <v>7.57</v>
      </c>
      <c r="BN1041" s="4">
        <v>58.02</v>
      </c>
      <c r="BO1041" s="4">
        <v>58.02</v>
      </c>
      <c r="BQ1041" t="s">
        <v>142</v>
      </c>
      <c r="BR1041" t="s">
        <v>84</v>
      </c>
      <c r="BS1041" s="3">
        <v>43780</v>
      </c>
      <c r="BT1041" s="5">
        <v>0.41736111111111113</v>
      </c>
      <c r="BU1041" t="s">
        <v>937</v>
      </c>
      <c r="BV1041" t="s">
        <v>86</v>
      </c>
      <c r="BY1041">
        <v>7018.92</v>
      </c>
      <c r="CA1041" t="s">
        <v>180</v>
      </c>
      <c r="CC1041" t="s">
        <v>177</v>
      </c>
      <c r="CD1041">
        <v>3600</v>
      </c>
      <c r="CE1041" t="s">
        <v>88</v>
      </c>
      <c r="CF1041" s="3">
        <v>43780</v>
      </c>
      <c r="CI1041">
        <v>1</v>
      </c>
      <c r="CJ1041">
        <v>1</v>
      </c>
      <c r="CK1041">
        <v>21</v>
      </c>
      <c r="CL1041" t="s">
        <v>89</v>
      </c>
    </row>
    <row r="1042" spans="1:90">
      <c r="A1042" t="s">
        <v>72</v>
      </c>
      <c r="B1042" t="s">
        <v>73</v>
      </c>
      <c r="C1042" t="s">
        <v>74</v>
      </c>
      <c r="E1042" t="str">
        <f>"FES1162722127"</f>
        <v>FES1162722127</v>
      </c>
      <c r="F1042" s="3">
        <v>43777</v>
      </c>
      <c r="G1042">
        <v>202005</v>
      </c>
      <c r="H1042" t="s">
        <v>75</v>
      </c>
      <c r="I1042" t="s">
        <v>76</v>
      </c>
      <c r="J1042" t="s">
        <v>77</v>
      </c>
      <c r="K1042" t="s">
        <v>78</v>
      </c>
      <c r="L1042" t="s">
        <v>75</v>
      </c>
      <c r="M1042" t="s">
        <v>76</v>
      </c>
      <c r="N1042" t="s">
        <v>1038</v>
      </c>
      <c r="O1042" t="s">
        <v>82</v>
      </c>
      <c r="P1042" t="str">
        <f>"2170715886                    "</f>
        <v xml:space="preserve">2170715886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9.1199999999999992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3.3</v>
      </c>
      <c r="BJ1042">
        <v>1.6</v>
      </c>
      <c r="BK1042">
        <v>3.5</v>
      </c>
      <c r="BL1042" s="4">
        <v>53.59</v>
      </c>
      <c r="BM1042" s="4">
        <v>8.0399999999999991</v>
      </c>
      <c r="BN1042" s="4">
        <v>61.63</v>
      </c>
      <c r="BO1042" s="4">
        <v>61.63</v>
      </c>
      <c r="BQ1042" t="s">
        <v>121</v>
      </c>
      <c r="BR1042" t="s">
        <v>84</v>
      </c>
      <c r="BS1042" s="3">
        <v>43780</v>
      </c>
      <c r="BT1042" s="5">
        <v>0.3263888888888889</v>
      </c>
      <c r="BU1042" t="s">
        <v>694</v>
      </c>
      <c r="BV1042" t="s">
        <v>86</v>
      </c>
      <c r="BY1042">
        <v>7858.62</v>
      </c>
      <c r="CC1042" t="s">
        <v>76</v>
      </c>
      <c r="CD1042">
        <v>1666</v>
      </c>
      <c r="CE1042" t="s">
        <v>88</v>
      </c>
      <c r="CF1042" s="3">
        <v>43781</v>
      </c>
      <c r="CI1042">
        <v>1</v>
      </c>
      <c r="CJ1042">
        <v>1</v>
      </c>
      <c r="CK1042">
        <v>22</v>
      </c>
      <c r="CL1042" t="s">
        <v>89</v>
      </c>
    </row>
    <row r="1043" spans="1:90">
      <c r="A1043" t="s">
        <v>72</v>
      </c>
      <c r="B1043" t="s">
        <v>73</v>
      </c>
      <c r="C1043" t="s">
        <v>74</v>
      </c>
      <c r="E1043" t="str">
        <f>"FES1162722148"</f>
        <v>FES1162722148</v>
      </c>
      <c r="F1043" s="3">
        <v>43777</v>
      </c>
      <c r="G1043">
        <v>202005</v>
      </c>
      <c r="H1043" t="s">
        <v>75</v>
      </c>
      <c r="I1043" t="s">
        <v>76</v>
      </c>
      <c r="J1043" t="s">
        <v>77</v>
      </c>
      <c r="K1043" t="s">
        <v>78</v>
      </c>
      <c r="L1043" t="s">
        <v>990</v>
      </c>
      <c r="M1043" t="s">
        <v>991</v>
      </c>
      <c r="N1043" t="s">
        <v>992</v>
      </c>
      <c r="O1043" t="s">
        <v>82</v>
      </c>
      <c r="P1043" t="str">
        <f>"2170716367                    "</f>
        <v xml:space="preserve">2170716367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16.63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 s="4">
        <v>97.75</v>
      </c>
      <c r="BM1043" s="4">
        <v>14.66</v>
      </c>
      <c r="BN1043" s="4">
        <v>112.41</v>
      </c>
      <c r="BO1043" s="4">
        <v>112.41</v>
      </c>
      <c r="BQ1043" t="s">
        <v>1580</v>
      </c>
      <c r="BR1043" t="s">
        <v>84</v>
      </c>
      <c r="BS1043" s="3">
        <v>43780</v>
      </c>
      <c r="BT1043" s="5">
        <v>0.59513888888888888</v>
      </c>
      <c r="BU1043" t="s">
        <v>1581</v>
      </c>
      <c r="BV1043" t="s">
        <v>86</v>
      </c>
      <c r="BY1043">
        <v>1200</v>
      </c>
      <c r="CA1043" t="s">
        <v>628</v>
      </c>
      <c r="CC1043" t="s">
        <v>991</v>
      </c>
      <c r="CD1043">
        <v>4252</v>
      </c>
      <c r="CE1043" t="s">
        <v>147</v>
      </c>
      <c r="CF1043" s="3">
        <v>43781</v>
      </c>
      <c r="CI1043">
        <v>1</v>
      </c>
      <c r="CJ1043">
        <v>1</v>
      </c>
      <c r="CK1043">
        <v>23</v>
      </c>
      <c r="CL1043" t="s">
        <v>89</v>
      </c>
    </row>
    <row r="1044" spans="1:90">
      <c r="A1044" t="s">
        <v>72</v>
      </c>
      <c r="B1044" t="s">
        <v>73</v>
      </c>
      <c r="C1044" t="s">
        <v>74</v>
      </c>
      <c r="E1044" t="str">
        <f>"FES1162722116"</f>
        <v>FES1162722116</v>
      </c>
      <c r="F1044" s="3">
        <v>43777</v>
      </c>
      <c r="G1044">
        <v>202005</v>
      </c>
      <c r="H1044" t="s">
        <v>75</v>
      </c>
      <c r="I1044" t="s">
        <v>76</v>
      </c>
      <c r="J1044" t="s">
        <v>77</v>
      </c>
      <c r="K1044" t="s">
        <v>78</v>
      </c>
      <c r="L1044" t="s">
        <v>118</v>
      </c>
      <c r="M1044" t="s">
        <v>119</v>
      </c>
      <c r="N1044" t="s">
        <v>130</v>
      </c>
      <c r="O1044" t="s">
        <v>82</v>
      </c>
      <c r="P1044" t="str">
        <f>"2170716349                    "</f>
        <v xml:space="preserve">2170716349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8.58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 s="4">
        <v>50.45</v>
      </c>
      <c r="BM1044" s="4">
        <v>7.57</v>
      </c>
      <c r="BN1044" s="4">
        <v>58.02</v>
      </c>
      <c r="BO1044" s="4">
        <v>58.02</v>
      </c>
      <c r="BQ1044" t="s">
        <v>109</v>
      </c>
      <c r="BR1044" t="s">
        <v>84</v>
      </c>
      <c r="BS1044" s="3">
        <v>43780</v>
      </c>
      <c r="BT1044" s="5">
        <v>0.40972222222222227</v>
      </c>
      <c r="BU1044" t="s">
        <v>1289</v>
      </c>
      <c r="BV1044" t="s">
        <v>86</v>
      </c>
      <c r="BY1044">
        <v>1200</v>
      </c>
      <c r="CA1044" t="s">
        <v>132</v>
      </c>
      <c r="CC1044" t="s">
        <v>119</v>
      </c>
      <c r="CD1044">
        <v>3201</v>
      </c>
      <c r="CE1044" t="s">
        <v>147</v>
      </c>
      <c r="CF1044" s="3">
        <v>43781</v>
      </c>
      <c r="CI1044">
        <v>1</v>
      </c>
      <c r="CJ1044">
        <v>1</v>
      </c>
      <c r="CK1044">
        <v>21</v>
      </c>
      <c r="CL1044" t="s">
        <v>89</v>
      </c>
    </row>
    <row r="1045" spans="1:90">
      <c r="A1045" t="s">
        <v>72</v>
      </c>
      <c r="B1045" t="s">
        <v>73</v>
      </c>
      <c r="C1045" t="s">
        <v>74</v>
      </c>
      <c r="E1045" t="str">
        <f>"FES1162722136"</f>
        <v>FES1162722136</v>
      </c>
      <c r="F1045" s="3">
        <v>43777</v>
      </c>
      <c r="G1045">
        <v>202005</v>
      </c>
      <c r="H1045" t="s">
        <v>75</v>
      </c>
      <c r="I1045" t="s">
        <v>76</v>
      </c>
      <c r="J1045" t="s">
        <v>77</v>
      </c>
      <c r="K1045" t="s">
        <v>78</v>
      </c>
      <c r="L1045" t="s">
        <v>90</v>
      </c>
      <c r="M1045" t="s">
        <v>91</v>
      </c>
      <c r="N1045" t="s">
        <v>1582</v>
      </c>
      <c r="O1045" t="s">
        <v>82</v>
      </c>
      <c r="P1045" t="str">
        <f>"2170716354                    "</f>
        <v xml:space="preserve">2170716354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8.58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 s="4">
        <v>50.45</v>
      </c>
      <c r="BM1045" s="4">
        <v>7.57</v>
      </c>
      <c r="BN1045" s="4">
        <v>58.02</v>
      </c>
      <c r="BO1045" s="4">
        <v>58.02</v>
      </c>
      <c r="BQ1045" t="s">
        <v>121</v>
      </c>
      <c r="BR1045" t="s">
        <v>84</v>
      </c>
      <c r="BS1045" s="3">
        <v>43780</v>
      </c>
      <c r="BT1045" s="5">
        <v>0.35694444444444445</v>
      </c>
      <c r="BU1045" t="s">
        <v>1583</v>
      </c>
      <c r="BV1045" t="s">
        <v>86</v>
      </c>
      <c r="BY1045">
        <v>1200</v>
      </c>
      <c r="CA1045" t="s">
        <v>515</v>
      </c>
      <c r="CC1045" t="s">
        <v>91</v>
      </c>
      <c r="CD1045">
        <v>7500</v>
      </c>
      <c r="CE1045" t="s">
        <v>147</v>
      </c>
      <c r="CF1045" s="3">
        <v>43781</v>
      </c>
      <c r="CI1045">
        <v>1</v>
      </c>
      <c r="CJ1045">
        <v>1</v>
      </c>
      <c r="CK1045">
        <v>21</v>
      </c>
      <c r="CL1045" t="s">
        <v>89</v>
      </c>
    </row>
    <row r="1046" spans="1:90">
      <c r="A1046" t="s">
        <v>72</v>
      </c>
      <c r="B1046" t="s">
        <v>73</v>
      </c>
      <c r="C1046" t="s">
        <v>74</v>
      </c>
      <c r="E1046" t="str">
        <f>"FES1162722126"</f>
        <v>FES1162722126</v>
      </c>
      <c r="F1046" s="3">
        <v>43777</v>
      </c>
      <c r="G1046">
        <v>202005</v>
      </c>
      <c r="H1046" t="s">
        <v>75</v>
      </c>
      <c r="I1046" t="s">
        <v>76</v>
      </c>
      <c r="J1046" t="s">
        <v>77</v>
      </c>
      <c r="K1046" t="s">
        <v>78</v>
      </c>
      <c r="L1046" t="s">
        <v>133</v>
      </c>
      <c r="M1046" t="s">
        <v>134</v>
      </c>
      <c r="N1046" t="s">
        <v>135</v>
      </c>
      <c r="O1046" t="s">
        <v>82</v>
      </c>
      <c r="P1046" t="str">
        <f>"2170715880                    "</f>
        <v xml:space="preserve">2170715880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8.58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 s="4">
        <v>50.45</v>
      </c>
      <c r="BM1046" s="4">
        <v>7.57</v>
      </c>
      <c r="BN1046" s="4">
        <v>58.02</v>
      </c>
      <c r="BO1046" s="4">
        <v>58.02</v>
      </c>
      <c r="BQ1046" t="s">
        <v>109</v>
      </c>
      <c r="BR1046" t="s">
        <v>84</v>
      </c>
      <c r="BS1046" s="3">
        <v>43780</v>
      </c>
      <c r="BT1046" s="5">
        <v>0.43402777777777773</v>
      </c>
      <c r="BU1046" t="s">
        <v>1561</v>
      </c>
      <c r="BV1046" t="s">
        <v>86</v>
      </c>
      <c r="BY1046">
        <v>1200</v>
      </c>
      <c r="CA1046" t="s">
        <v>730</v>
      </c>
      <c r="CC1046" t="s">
        <v>134</v>
      </c>
      <c r="CD1046">
        <v>5201</v>
      </c>
      <c r="CE1046" t="s">
        <v>147</v>
      </c>
      <c r="CF1046" s="3">
        <v>43782</v>
      </c>
      <c r="CI1046">
        <v>1</v>
      </c>
      <c r="CJ1046">
        <v>1</v>
      </c>
      <c r="CK1046">
        <v>21</v>
      </c>
      <c r="CL1046" t="s">
        <v>89</v>
      </c>
    </row>
    <row r="1047" spans="1:90">
      <c r="A1047" t="s">
        <v>72</v>
      </c>
      <c r="B1047" t="s">
        <v>73</v>
      </c>
      <c r="C1047" t="s">
        <v>74</v>
      </c>
      <c r="E1047" t="str">
        <f>"FES1162722141"</f>
        <v>FES1162722141</v>
      </c>
      <c r="F1047" s="3">
        <v>43777</v>
      </c>
      <c r="G1047">
        <v>202005</v>
      </c>
      <c r="H1047" t="s">
        <v>75</v>
      </c>
      <c r="I1047" t="s">
        <v>76</v>
      </c>
      <c r="J1047" t="s">
        <v>77</v>
      </c>
      <c r="K1047" t="s">
        <v>78</v>
      </c>
      <c r="L1047" t="s">
        <v>106</v>
      </c>
      <c r="M1047" t="s">
        <v>107</v>
      </c>
      <c r="N1047" t="s">
        <v>700</v>
      </c>
      <c r="O1047" t="s">
        <v>82</v>
      </c>
      <c r="P1047" t="str">
        <f>"2170716360                    "</f>
        <v xml:space="preserve">2170716360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8.58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 s="4">
        <v>50.45</v>
      </c>
      <c r="BM1047" s="4">
        <v>7.57</v>
      </c>
      <c r="BN1047" s="4">
        <v>58.02</v>
      </c>
      <c r="BO1047" s="4">
        <v>58.02</v>
      </c>
      <c r="BQ1047" t="s">
        <v>109</v>
      </c>
      <c r="BR1047" t="s">
        <v>84</v>
      </c>
      <c r="BS1047" s="3">
        <v>43780</v>
      </c>
      <c r="BT1047" s="5">
        <v>0.3527777777777778</v>
      </c>
      <c r="BU1047" t="s">
        <v>1483</v>
      </c>
      <c r="BV1047" t="s">
        <v>86</v>
      </c>
      <c r="BY1047">
        <v>1200</v>
      </c>
      <c r="CA1047" t="s">
        <v>773</v>
      </c>
      <c r="CC1047" t="s">
        <v>107</v>
      </c>
      <c r="CD1047">
        <v>6001</v>
      </c>
      <c r="CE1047" t="s">
        <v>147</v>
      </c>
      <c r="CF1047" s="3">
        <v>43781</v>
      </c>
      <c r="CI1047">
        <v>1</v>
      </c>
      <c r="CJ1047">
        <v>1</v>
      </c>
      <c r="CK1047">
        <v>21</v>
      </c>
      <c r="CL1047" t="s">
        <v>89</v>
      </c>
    </row>
    <row r="1048" spans="1:90">
      <c r="A1048" t="s">
        <v>72</v>
      </c>
      <c r="B1048" t="s">
        <v>73</v>
      </c>
      <c r="C1048" t="s">
        <v>74</v>
      </c>
      <c r="E1048" t="str">
        <f>"FES1162722117"</f>
        <v>FES1162722117</v>
      </c>
      <c r="F1048" s="3">
        <v>43777</v>
      </c>
      <c r="G1048">
        <v>202005</v>
      </c>
      <c r="H1048" t="s">
        <v>75</v>
      </c>
      <c r="I1048" t="s">
        <v>76</v>
      </c>
      <c r="J1048" t="s">
        <v>77</v>
      </c>
      <c r="K1048" t="s">
        <v>78</v>
      </c>
      <c r="L1048" t="s">
        <v>344</v>
      </c>
      <c r="M1048" t="s">
        <v>345</v>
      </c>
      <c r="N1048" t="s">
        <v>550</v>
      </c>
      <c r="O1048" t="s">
        <v>82</v>
      </c>
      <c r="P1048" t="str">
        <f>"2170714464                    "</f>
        <v xml:space="preserve">2170714464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6.71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1.6</v>
      </c>
      <c r="BJ1048">
        <v>0.9</v>
      </c>
      <c r="BK1048">
        <v>2</v>
      </c>
      <c r="BL1048" s="4">
        <v>39.42</v>
      </c>
      <c r="BM1048" s="4">
        <v>5.91</v>
      </c>
      <c r="BN1048" s="4">
        <v>45.33</v>
      </c>
      <c r="BO1048" s="4">
        <v>45.33</v>
      </c>
      <c r="BQ1048" t="s">
        <v>109</v>
      </c>
      <c r="BR1048" t="s">
        <v>84</v>
      </c>
      <c r="BS1048" s="3">
        <v>43780</v>
      </c>
      <c r="BT1048" s="5">
        <v>0.42777777777777781</v>
      </c>
      <c r="BU1048" t="s">
        <v>1163</v>
      </c>
      <c r="BV1048" t="s">
        <v>86</v>
      </c>
      <c r="BY1048">
        <v>4553.28</v>
      </c>
      <c r="CA1048" t="s">
        <v>348</v>
      </c>
      <c r="CC1048" t="s">
        <v>345</v>
      </c>
      <c r="CD1048">
        <v>2163</v>
      </c>
      <c r="CE1048" t="s">
        <v>88</v>
      </c>
      <c r="CF1048" s="3">
        <v>43781</v>
      </c>
      <c r="CI1048">
        <v>1</v>
      </c>
      <c r="CJ1048">
        <v>1</v>
      </c>
      <c r="CK1048">
        <v>22</v>
      </c>
      <c r="CL1048" t="s">
        <v>89</v>
      </c>
    </row>
    <row r="1049" spans="1:90">
      <c r="A1049" t="s">
        <v>72</v>
      </c>
      <c r="B1049" t="s">
        <v>73</v>
      </c>
      <c r="C1049" t="s">
        <v>74</v>
      </c>
      <c r="E1049" t="str">
        <f>"FES1162722124"</f>
        <v>FES1162722124</v>
      </c>
      <c r="F1049" s="3">
        <v>43777</v>
      </c>
      <c r="G1049">
        <v>202005</v>
      </c>
      <c r="H1049" t="s">
        <v>75</v>
      </c>
      <c r="I1049" t="s">
        <v>76</v>
      </c>
      <c r="J1049" t="s">
        <v>77</v>
      </c>
      <c r="K1049" t="s">
        <v>78</v>
      </c>
      <c r="L1049" t="s">
        <v>124</v>
      </c>
      <c r="M1049" t="s">
        <v>125</v>
      </c>
      <c r="N1049" t="s">
        <v>1584</v>
      </c>
      <c r="O1049" t="s">
        <v>82</v>
      </c>
      <c r="P1049" t="str">
        <f>"2170715823                    "</f>
        <v xml:space="preserve">2170715823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10.72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4.5</v>
      </c>
      <c r="BJ1049">
        <v>3.5</v>
      </c>
      <c r="BK1049">
        <v>4.5</v>
      </c>
      <c r="BL1049" s="4">
        <v>63.03</v>
      </c>
      <c r="BM1049" s="4">
        <v>9.4499999999999993</v>
      </c>
      <c r="BN1049" s="4">
        <v>72.48</v>
      </c>
      <c r="BO1049" s="4">
        <v>72.48</v>
      </c>
      <c r="BQ1049" t="s">
        <v>109</v>
      </c>
      <c r="BR1049" t="s">
        <v>84</v>
      </c>
      <c r="BS1049" s="3">
        <v>43780</v>
      </c>
      <c r="BT1049" s="5">
        <v>0.33333333333333331</v>
      </c>
      <c r="BU1049" t="s">
        <v>1585</v>
      </c>
      <c r="BV1049" t="s">
        <v>86</v>
      </c>
      <c r="BY1049">
        <v>17569.38</v>
      </c>
      <c r="CC1049" t="s">
        <v>125</v>
      </c>
      <c r="CD1049">
        <v>1811</v>
      </c>
      <c r="CE1049" t="s">
        <v>88</v>
      </c>
      <c r="CF1049" s="3">
        <v>43781</v>
      </c>
      <c r="CI1049">
        <v>1</v>
      </c>
      <c r="CJ1049">
        <v>1</v>
      </c>
      <c r="CK1049">
        <v>22</v>
      </c>
      <c r="CL1049" t="s">
        <v>89</v>
      </c>
    </row>
    <row r="1050" spans="1:90">
      <c r="A1050" t="s">
        <v>72</v>
      </c>
      <c r="B1050" t="s">
        <v>73</v>
      </c>
      <c r="C1050" t="s">
        <v>74</v>
      </c>
      <c r="E1050" t="str">
        <f>"FES1162722132"</f>
        <v>FES1162722132</v>
      </c>
      <c r="F1050" s="3">
        <v>43777</v>
      </c>
      <c r="G1050">
        <v>202005</v>
      </c>
      <c r="H1050" t="s">
        <v>75</v>
      </c>
      <c r="I1050" t="s">
        <v>76</v>
      </c>
      <c r="J1050" t="s">
        <v>77</v>
      </c>
      <c r="K1050" t="s">
        <v>78</v>
      </c>
      <c r="L1050" t="s">
        <v>292</v>
      </c>
      <c r="M1050" t="s">
        <v>293</v>
      </c>
      <c r="N1050" t="s">
        <v>294</v>
      </c>
      <c r="O1050" t="s">
        <v>82</v>
      </c>
      <c r="P1050" t="str">
        <f>"2170716351                    "</f>
        <v xml:space="preserve">2170716351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24.14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2.7</v>
      </c>
      <c r="BJ1050">
        <v>3</v>
      </c>
      <c r="BK1050">
        <v>3</v>
      </c>
      <c r="BL1050" s="4">
        <v>141.9</v>
      </c>
      <c r="BM1050" s="4">
        <v>21.29</v>
      </c>
      <c r="BN1050" s="4">
        <v>163.19</v>
      </c>
      <c r="BO1050" s="4">
        <v>163.19</v>
      </c>
      <c r="BQ1050" t="s">
        <v>121</v>
      </c>
      <c r="BR1050" t="s">
        <v>84</v>
      </c>
      <c r="BS1050" s="3">
        <v>43780</v>
      </c>
      <c r="BT1050" s="5">
        <v>0.4236111111111111</v>
      </c>
      <c r="BU1050" t="s">
        <v>370</v>
      </c>
      <c r="BV1050" t="s">
        <v>86</v>
      </c>
      <c r="BY1050">
        <v>14785.04</v>
      </c>
      <c r="CC1050" t="s">
        <v>293</v>
      </c>
      <c r="CD1050">
        <v>1947</v>
      </c>
      <c r="CE1050" t="s">
        <v>88</v>
      </c>
      <c r="CF1050" s="3">
        <v>43781</v>
      </c>
      <c r="CI1050">
        <v>1</v>
      </c>
      <c r="CJ1050">
        <v>1</v>
      </c>
      <c r="CK1050">
        <v>23</v>
      </c>
      <c r="CL1050" t="s">
        <v>89</v>
      </c>
    </row>
    <row r="1051" spans="1:90">
      <c r="A1051" t="s">
        <v>72</v>
      </c>
      <c r="B1051" t="s">
        <v>73</v>
      </c>
      <c r="C1051" t="s">
        <v>74</v>
      </c>
      <c r="E1051" t="str">
        <f>"FES1162722085"</f>
        <v>FES1162722085</v>
      </c>
      <c r="F1051" s="3">
        <v>43777</v>
      </c>
      <c r="G1051">
        <v>202005</v>
      </c>
      <c r="H1051" t="s">
        <v>75</v>
      </c>
      <c r="I1051" t="s">
        <v>76</v>
      </c>
      <c r="J1051" t="s">
        <v>77</v>
      </c>
      <c r="K1051" t="s">
        <v>78</v>
      </c>
      <c r="L1051" t="s">
        <v>691</v>
      </c>
      <c r="M1051" t="s">
        <v>692</v>
      </c>
      <c r="N1051" t="s">
        <v>1217</v>
      </c>
      <c r="O1051" t="s">
        <v>82</v>
      </c>
      <c r="P1051" t="str">
        <f>"2170716299                    "</f>
        <v xml:space="preserve">2170716299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10.72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4.0999999999999996</v>
      </c>
      <c r="BJ1051">
        <v>1</v>
      </c>
      <c r="BK1051">
        <v>4.5</v>
      </c>
      <c r="BL1051" s="4">
        <v>63.03</v>
      </c>
      <c r="BM1051" s="4">
        <v>9.4499999999999993</v>
      </c>
      <c r="BN1051" s="4">
        <v>72.48</v>
      </c>
      <c r="BO1051" s="4">
        <v>72.48</v>
      </c>
      <c r="BQ1051" t="s">
        <v>109</v>
      </c>
      <c r="BR1051" t="s">
        <v>84</v>
      </c>
      <c r="BS1051" s="3">
        <v>43780</v>
      </c>
      <c r="BT1051" s="5">
        <v>0.33333333333333331</v>
      </c>
      <c r="BU1051" t="s">
        <v>370</v>
      </c>
      <c r="BV1051" t="s">
        <v>86</v>
      </c>
      <c r="BY1051">
        <v>4974.74</v>
      </c>
      <c r="CC1051" t="s">
        <v>692</v>
      </c>
      <c r="CD1051">
        <v>1559</v>
      </c>
      <c r="CE1051" t="s">
        <v>88</v>
      </c>
      <c r="CF1051" s="3">
        <v>43781</v>
      </c>
      <c r="CI1051">
        <v>1</v>
      </c>
      <c r="CJ1051">
        <v>1</v>
      </c>
      <c r="CK1051">
        <v>22</v>
      </c>
      <c r="CL1051" t="s">
        <v>89</v>
      </c>
    </row>
    <row r="1052" spans="1:90">
      <c r="A1052" t="s">
        <v>72</v>
      </c>
      <c r="B1052" t="s">
        <v>73</v>
      </c>
      <c r="C1052" t="s">
        <v>74</v>
      </c>
      <c r="E1052" t="str">
        <f>"FES1162722125"</f>
        <v>FES1162722125</v>
      </c>
      <c r="F1052" s="3">
        <v>43777</v>
      </c>
      <c r="G1052">
        <v>202005</v>
      </c>
      <c r="H1052" t="s">
        <v>75</v>
      </c>
      <c r="I1052" t="s">
        <v>76</v>
      </c>
      <c r="J1052" t="s">
        <v>77</v>
      </c>
      <c r="K1052" t="s">
        <v>78</v>
      </c>
      <c r="L1052" t="s">
        <v>90</v>
      </c>
      <c r="M1052" t="s">
        <v>91</v>
      </c>
      <c r="N1052" t="s">
        <v>401</v>
      </c>
      <c r="O1052" t="s">
        <v>82</v>
      </c>
      <c r="P1052" t="str">
        <f>"2170715878                    "</f>
        <v xml:space="preserve">2170715878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8.58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1.7</v>
      </c>
      <c r="BJ1052">
        <v>0.8</v>
      </c>
      <c r="BK1052">
        <v>2</v>
      </c>
      <c r="BL1052" s="4">
        <v>50.45</v>
      </c>
      <c r="BM1052" s="4">
        <v>7.57</v>
      </c>
      <c r="BN1052" s="4">
        <v>58.02</v>
      </c>
      <c r="BO1052" s="4">
        <v>58.02</v>
      </c>
      <c r="BQ1052" t="s">
        <v>109</v>
      </c>
      <c r="BR1052" t="s">
        <v>84</v>
      </c>
      <c r="BS1052" s="3">
        <v>43780</v>
      </c>
      <c r="BT1052" s="5">
        <v>0.33611111111111108</v>
      </c>
      <c r="BU1052" t="s">
        <v>402</v>
      </c>
      <c r="BV1052" t="s">
        <v>86</v>
      </c>
      <c r="BY1052">
        <v>4194.28</v>
      </c>
      <c r="CA1052" t="s">
        <v>221</v>
      </c>
      <c r="CC1052" t="s">
        <v>91</v>
      </c>
      <c r="CD1052">
        <v>7441</v>
      </c>
      <c r="CE1052" t="s">
        <v>88</v>
      </c>
      <c r="CF1052" s="3">
        <v>43781</v>
      </c>
      <c r="CI1052">
        <v>1</v>
      </c>
      <c r="CJ1052">
        <v>1</v>
      </c>
      <c r="CK1052">
        <v>21</v>
      </c>
      <c r="CL1052" t="s">
        <v>89</v>
      </c>
    </row>
    <row r="1053" spans="1:90">
      <c r="A1053" t="s">
        <v>72</v>
      </c>
      <c r="B1053" t="s">
        <v>73</v>
      </c>
      <c r="C1053" t="s">
        <v>74</v>
      </c>
      <c r="E1053" t="str">
        <f>"FES1162722146"</f>
        <v>FES1162722146</v>
      </c>
      <c r="F1053" s="3">
        <v>43777</v>
      </c>
      <c r="G1053">
        <v>202005</v>
      </c>
      <c r="H1053" t="s">
        <v>75</v>
      </c>
      <c r="I1053" t="s">
        <v>76</v>
      </c>
      <c r="J1053" t="s">
        <v>77</v>
      </c>
      <c r="K1053" t="s">
        <v>78</v>
      </c>
      <c r="L1053" t="s">
        <v>106</v>
      </c>
      <c r="M1053" t="s">
        <v>107</v>
      </c>
      <c r="N1053" t="s">
        <v>1586</v>
      </c>
      <c r="O1053" t="s">
        <v>82</v>
      </c>
      <c r="P1053" t="str">
        <f>"2170716365                    "</f>
        <v xml:space="preserve">2170716365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8.58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 s="4">
        <v>50.45</v>
      </c>
      <c r="BM1053" s="4">
        <v>7.57</v>
      </c>
      <c r="BN1053" s="4">
        <v>58.02</v>
      </c>
      <c r="BO1053" s="4">
        <v>58.02</v>
      </c>
      <c r="BQ1053" t="s">
        <v>1587</v>
      </c>
      <c r="BR1053" t="s">
        <v>84</v>
      </c>
      <c r="BS1053" s="3">
        <v>43780</v>
      </c>
      <c r="BT1053" s="5">
        <v>0.40208333333333335</v>
      </c>
      <c r="BU1053" t="s">
        <v>1588</v>
      </c>
      <c r="BV1053" t="s">
        <v>86</v>
      </c>
      <c r="BY1053">
        <v>1200</v>
      </c>
      <c r="CA1053" t="s">
        <v>275</v>
      </c>
      <c r="CC1053" t="s">
        <v>107</v>
      </c>
      <c r="CD1053">
        <v>6070</v>
      </c>
      <c r="CE1053" t="s">
        <v>147</v>
      </c>
      <c r="CF1053" s="3">
        <v>43781</v>
      </c>
      <c r="CI1053">
        <v>1</v>
      </c>
      <c r="CJ1053">
        <v>1</v>
      </c>
      <c r="CK1053">
        <v>21</v>
      </c>
      <c r="CL1053" t="s">
        <v>89</v>
      </c>
    </row>
    <row r="1054" spans="1:90">
      <c r="A1054" t="s">
        <v>72</v>
      </c>
      <c r="B1054" t="s">
        <v>73</v>
      </c>
      <c r="C1054" t="s">
        <v>74</v>
      </c>
      <c r="E1054" t="str">
        <f>"FES1162722144"</f>
        <v>FES1162722144</v>
      </c>
      <c r="F1054" s="3">
        <v>43777</v>
      </c>
      <c r="G1054">
        <v>202005</v>
      </c>
      <c r="H1054" t="s">
        <v>75</v>
      </c>
      <c r="I1054" t="s">
        <v>76</v>
      </c>
      <c r="J1054" t="s">
        <v>77</v>
      </c>
      <c r="K1054" t="s">
        <v>78</v>
      </c>
      <c r="L1054" t="s">
        <v>106</v>
      </c>
      <c r="M1054" t="s">
        <v>107</v>
      </c>
      <c r="N1054" t="s">
        <v>386</v>
      </c>
      <c r="O1054" t="s">
        <v>82</v>
      </c>
      <c r="P1054" t="str">
        <f>"2170716363                    "</f>
        <v xml:space="preserve">2170716363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8.58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 s="4">
        <v>50.45</v>
      </c>
      <c r="BM1054" s="4">
        <v>7.57</v>
      </c>
      <c r="BN1054" s="4">
        <v>58.02</v>
      </c>
      <c r="BO1054" s="4">
        <v>58.02</v>
      </c>
      <c r="BQ1054" t="s">
        <v>387</v>
      </c>
      <c r="BR1054" t="s">
        <v>84</v>
      </c>
      <c r="BS1054" s="3">
        <v>43780</v>
      </c>
      <c r="BT1054" s="5">
        <v>0.38541666666666669</v>
      </c>
      <c r="BU1054" t="s">
        <v>388</v>
      </c>
      <c r="BV1054" t="s">
        <v>86</v>
      </c>
      <c r="BY1054">
        <v>1200</v>
      </c>
      <c r="CA1054" t="s">
        <v>111</v>
      </c>
      <c r="CC1054" t="s">
        <v>107</v>
      </c>
      <c r="CD1054">
        <v>6001</v>
      </c>
      <c r="CE1054" t="s">
        <v>147</v>
      </c>
      <c r="CF1054" s="3">
        <v>43781</v>
      </c>
      <c r="CI1054">
        <v>1</v>
      </c>
      <c r="CJ1054">
        <v>1</v>
      </c>
      <c r="CK1054">
        <v>21</v>
      </c>
      <c r="CL1054" t="s">
        <v>89</v>
      </c>
    </row>
    <row r="1055" spans="1:90">
      <c r="A1055" t="s">
        <v>72</v>
      </c>
      <c r="B1055" t="s">
        <v>73</v>
      </c>
      <c r="C1055" t="s">
        <v>74</v>
      </c>
      <c r="E1055" t="str">
        <f>"FES1162722145"</f>
        <v>FES1162722145</v>
      </c>
      <c r="F1055" s="3">
        <v>43777</v>
      </c>
      <c r="G1055">
        <v>202005</v>
      </c>
      <c r="H1055" t="s">
        <v>75</v>
      </c>
      <c r="I1055" t="s">
        <v>76</v>
      </c>
      <c r="J1055" t="s">
        <v>77</v>
      </c>
      <c r="K1055" t="s">
        <v>78</v>
      </c>
      <c r="L1055" t="s">
        <v>1589</v>
      </c>
      <c r="M1055" t="s">
        <v>1590</v>
      </c>
      <c r="N1055" t="s">
        <v>1591</v>
      </c>
      <c r="O1055" t="s">
        <v>82</v>
      </c>
      <c r="P1055" t="str">
        <f>"2170716364                    "</f>
        <v xml:space="preserve">2170716364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12.07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 s="4">
        <v>70.95</v>
      </c>
      <c r="BM1055" s="4">
        <v>10.64</v>
      </c>
      <c r="BN1055" s="4">
        <v>81.59</v>
      </c>
      <c r="BO1055" s="4">
        <v>81.59</v>
      </c>
      <c r="BR1055" t="s">
        <v>84</v>
      </c>
      <c r="BS1055" s="3">
        <v>43780</v>
      </c>
      <c r="BT1055" s="5">
        <v>0.35694444444444445</v>
      </c>
      <c r="BU1055" t="s">
        <v>1592</v>
      </c>
      <c r="BV1055" t="s">
        <v>86</v>
      </c>
      <c r="BY1055">
        <v>1200</v>
      </c>
      <c r="CA1055" t="s">
        <v>1593</v>
      </c>
      <c r="CC1055" t="s">
        <v>1590</v>
      </c>
      <c r="CD1055">
        <v>1034</v>
      </c>
      <c r="CE1055" t="s">
        <v>147</v>
      </c>
      <c r="CF1055" s="3">
        <v>43782</v>
      </c>
      <c r="CI1055">
        <v>1</v>
      </c>
      <c r="CJ1055">
        <v>1</v>
      </c>
      <c r="CK1055">
        <v>24</v>
      </c>
      <c r="CL1055" t="s">
        <v>89</v>
      </c>
    </row>
    <row r="1056" spans="1:90">
      <c r="A1056" t="s">
        <v>72</v>
      </c>
      <c r="B1056" t="s">
        <v>73</v>
      </c>
      <c r="C1056" t="s">
        <v>74</v>
      </c>
      <c r="E1056" t="str">
        <f>"FES1162722143"</f>
        <v>FES1162722143</v>
      </c>
      <c r="F1056" s="3">
        <v>43777</v>
      </c>
      <c r="G1056">
        <v>202005</v>
      </c>
      <c r="H1056" t="s">
        <v>75</v>
      </c>
      <c r="I1056" t="s">
        <v>76</v>
      </c>
      <c r="J1056" t="s">
        <v>77</v>
      </c>
      <c r="K1056" t="s">
        <v>78</v>
      </c>
      <c r="L1056" t="s">
        <v>1589</v>
      </c>
      <c r="M1056" t="s">
        <v>1590</v>
      </c>
      <c r="N1056" t="s">
        <v>1591</v>
      </c>
      <c r="O1056" t="s">
        <v>82</v>
      </c>
      <c r="P1056" t="str">
        <f>"2170716362                    "</f>
        <v xml:space="preserve">2170716362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12.07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 s="4">
        <v>70.95</v>
      </c>
      <c r="BM1056" s="4">
        <v>10.64</v>
      </c>
      <c r="BN1056" s="4">
        <v>81.59</v>
      </c>
      <c r="BO1056" s="4">
        <v>81.59</v>
      </c>
      <c r="BR1056" t="s">
        <v>84</v>
      </c>
      <c r="BS1056" s="3">
        <v>43780</v>
      </c>
      <c r="BT1056" s="5">
        <v>0.35000000000000003</v>
      </c>
      <c r="BU1056" t="s">
        <v>1592</v>
      </c>
      <c r="BV1056" t="s">
        <v>86</v>
      </c>
      <c r="BY1056">
        <v>1200</v>
      </c>
      <c r="CA1056" t="s">
        <v>1593</v>
      </c>
      <c r="CC1056" t="s">
        <v>1590</v>
      </c>
      <c r="CD1056">
        <v>1034</v>
      </c>
      <c r="CE1056" t="s">
        <v>147</v>
      </c>
      <c r="CF1056" s="3">
        <v>43782</v>
      </c>
      <c r="CI1056">
        <v>1</v>
      </c>
      <c r="CJ1056">
        <v>1</v>
      </c>
      <c r="CK1056">
        <v>24</v>
      </c>
      <c r="CL1056" t="s">
        <v>89</v>
      </c>
    </row>
    <row r="1057" spans="1:90">
      <c r="A1057" t="s">
        <v>72</v>
      </c>
      <c r="B1057" t="s">
        <v>73</v>
      </c>
      <c r="C1057" t="s">
        <v>74</v>
      </c>
      <c r="E1057" t="str">
        <f>"FES1162722151"</f>
        <v>FES1162722151</v>
      </c>
      <c r="F1057" s="3">
        <v>43777</v>
      </c>
      <c r="G1057">
        <v>202005</v>
      </c>
      <c r="H1057" t="s">
        <v>75</v>
      </c>
      <c r="I1057" t="s">
        <v>76</v>
      </c>
      <c r="J1057" t="s">
        <v>77</v>
      </c>
      <c r="K1057" t="s">
        <v>78</v>
      </c>
      <c r="L1057" t="s">
        <v>90</v>
      </c>
      <c r="M1057" t="s">
        <v>91</v>
      </c>
      <c r="N1057" t="s">
        <v>190</v>
      </c>
      <c r="O1057" t="s">
        <v>82</v>
      </c>
      <c r="P1057" t="str">
        <f>"2170716370                    "</f>
        <v xml:space="preserve">2170716370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8.58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1.4</v>
      </c>
      <c r="BJ1057">
        <v>0.9</v>
      </c>
      <c r="BK1057">
        <v>1.5</v>
      </c>
      <c r="BL1057" s="4">
        <v>50.45</v>
      </c>
      <c r="BM1057" s="4">
        <v>7.57</v>
      </c>
      <c r="BN1057" s="4">
        <v>58.02</v>
      </c>
      <c r="BO1057" s="4">
        <v>58.02</v>
      </c>
      <c r="BQ1057" t="s">
        <v>109</v>
      </c>
      <c r="BR1057" t="s">
        <v>84</v>
      </c>
      <c r="BS1057" s="3">
        <v>43780</v>
      </c>
      <c r="BT1057" s="5">
        <v>0.40347222222222223</v>
      </c>
      <c r="BU1057" t="s">
        <v>191</v>
      </c>
      <c r="BV1057" t="s">
        <v>86</v>
      </c>
      <c r="BY1057">
        <v>4537.3500000000004</v>
      </c>
      <c r="CA1057" t="s">
        <v>213</v>
      </c>
      <c r="CC1057" t="s">
        <v>91</v>
      </c>
      <c r="CD1057">
        <v>7441</v>
      </c>
      <c r="CE1057" t="s">
        <v>88</v>
      </c>
      <c r="CF1057" s="3">
        <v>43781</v>
      </c>
      <c r="CI1057">
        <v>1</v>
      </c>
      <c r="CJ1057">
        <v>1</v>
      </c>
      <c r="CK1057">
        <v>21</v>
      </c>
      <c r="CL1057" t="s">
        <v>89</v>
      </c>
    </row>
    <row r="1058" spans="1:90">
      <c r="A1058" t="s">
        <v>72</v>
      </c>
      <c r="B1058" t="s">
        <v>73</v>
      </c>
      <c r="C1058" t="s">
        <v>74</v>
      </c>
      <c r="E1058" t="str">
        <f>"009939376016"</f>
        <v>009939376016</v>
      </c>
      <c r="F1058" s="3">
        <v>43780</v>
      </c>
      <c r="G1058">
        <v>202005</v>
      </c>
      <c r="H1058" t="s">
        <v>225</v>
      </c>
      <c r="I1058" t="s">
        <v>226</v>
      </c>
      <c r="J1058" t="s">
        <v>1594</v>
      </c>
      <c r="K1058" t="s">
        <v>78</v>
      </c>
      <c r="L1058" t="s">
        <v>75</v>
      </c>
      <c r="M1058" t="s">
        <v>76</v>
      </c>
      <c r="N1058" t="s">
        <v>211</v>
      </c>
      <c r="O1058" t="s">
        <v>282</v>
      </c>
      <c r="P1058" t="str">
        <f>"                              "</f>
        <v xml:space="preserve">          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31.98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42</v>
      </c>
      <c r="BJ1058">
        <v>23.8</v>
      </c>
      <c r="BK1058">
        <v>42</v>
      </c>
      <c r="BL1058" s="4">
        <v>192.97</v>
      </c>
      <c r="BM1058" s="4">
        <v>28.95</v>
      </c>
      <c r="BN1058" s="4">
        <v>221.92</v>
      </c>
      <c r="BO1058" s="4">
        <v>221.92</v>
      </c>
      <c r="BR1058" t="s">
        <v>1595</v>
      </c>
      <c r="BS1058" s="3">
        <v>43782</v>
      </c>
      <c r="BT1058" s="5">
        <v>0.47986111111111113</v>
      </c>
      <c r="BU1058" t="s">
        <v>1596</v>
      </c>
      <c r="BV1058" t="s">
        <v>89</v>
      </c>
      <c r="BW1058" t="s">
        <v>319</v>
      </c>
      <c r="BX1058" t="s">
        <v>1538</v>
      </c>
      <c r="BY1058">
        <v>118800</v>
      </c>
      <c r="CA1058" t="s">
        <v>1597</v>
      </c>
      <c r="CC1058" t="s">
        <v>76</v>
      </c>
      <c r="CD1058">
        <v>1600</v>
      </c>
      <c r="CE1058" t="s">
        <v>88</v>
      </c>
      <c r="CF1058" s="3">
        <v>43783</v>
      </c>
      <c r="CI1058">
        <v>1</v>
      </c>
      <c r="CJ1058">
        <v>2</v>
      </c>
      <c r="CK1058" t="s">
        <v>1471</v>
      </c>
      <c r="CL1058" t="s">
        <v>89</v>
      </c>
    </row>
    <row r="1059" spans="1:90">
      <c r="A1059" t="s">
        <v>72</v>
      </c>
      <c r="B1059" t="s">
        <v>73</v>
      </c>
      <c r="C1059" t="s">
        <v>74</v>
      </c>
      <c r="E1059" t="str">
        <f>"FES1162722252"</f>
        <v>FES1162722252</v>
      </c>
      <c r="F1059" s="3">
        <v>43780</v>
      </c>
      <c r="G1059">
        <v>202005</v>
      </c>
      <c r="H1059" t="s">
        <v>75</v>
      </c>
      <c r="I1059" t="s">
        <v>76</v>
      </c>
      <c r="J1059" t="s">
        <v>77</v>
      </c>
      <c r="K1059" t="s">
        <v>78</v>
      </c>
      <c r="L1059" t="s">
        <v>106</v>
      </c>
      <c r="M1059" t="s">
        <v>107</v>
      </c>
      <c r="N1059" t="s">
        <v>421</v>
      </c>
      <c r="O1059" t="s">
        <v>82</v>
      </c>
      <c r="P1059" t="str">
        <f>"2170714139                    "</f>
        <v xml:space="preserve">2170714139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8.58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1.2</v>
      </c>
      <c r="BJ1059">
        <v>1.1000000000000001</v>
      </c>
      <c r="BK1059">
        <v>1.5</v>
      </c>
      <c r="BL1059" s="4">
        <v>50.45</v>
      </c>
      <c r="BM1059" s="4">
        <v>7.57</v>
      </c>
      <c r="BN1059" s="4">
        <v>58.02</v>
      </c>
      <c r="BO1059" s="4">
        <v>58.02</v>
      </c>
      <c r="BQ1059" t="s">
        <v>121</v>
      </c>
      <c r="BR1059" t="s">
        <v>84</v>
      </c>
      <c r="BS1059" s="3">
        <v>43781</v>
      </c>
      <c r="BT1059" s="5">
        <v>0.41388888888888892</v>
      </c>
      <c r="BU1059" t="s">
        <v>1376</v>
      </c>
      <c r="BV1059" t="s">
        <v>86</v>
      </c>
      <c r="BY1059">
        <v>5373.11</v>
      </c>
      <c r="CA1059" t="s">
        <v>111</v>
      </c>
      <c r="CC1059" t="s">
        <v>107</v>
      </c>
      <c r="CD1059">
        <v>6014</v>
      </c>
      <c r="CE1059" t="s">
        <v>88</v>
      </c>
      <c r="CF1059" s="3">
        <v>43782</v>
      </c>
      <c r="CI1059">
        <v>1</v>
      </c>
      <c r="CJ1059">
        <v>1</v>
      </c>
      <c r="CK1059">
        <v>21</v>
      </c>
      <c r="CL1059" t="s">
        <v>89</v>
      </c>
    </row>
    <row r="1060" spans="1:90">
      <c r="A1060" t="s">
        <v>72</v>
      </c>
      <c r="B1060" t="s">
        <v>73</v>
      </c>
      <c r="C1060" t="s">
        <v>74</v>
      </c>
      <c r="E1060" t="str">
        <f>"FES1162722397"</f>
        <v>FES1162722397</v>
      </c>
      <c r="F1060" s="3">
        <v>43780</v>
      </c>
      <c r="G1060">
        <v>202005</v>
      </c>
      <c r="H1060" t="s">
        <v>75</v>
      </c>
      <c r="I1060" t="s">
        <v>76</v>
      </c>
      <c r="J1060" t="s">
        <v>77</v>
      </c>
      <c r="K1060" t="s">
        <v>78</v>
      </c>
      <c r="L1060" t="s">
        <v>79</v>
      </c>
      <c r="M1060" t="s">
        <v>80</v>
      </c>
      <c r="N1060" t="s">
        <v>1447</v>
      </c>
      <c r="O1060" t="s">
        <v>82</v>
      </c>
      <c r="P1060" t="str">
        <f>"2170716599                    "</f>
        <v xml:space="preserve">2170716599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8.58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2</v>
      </c>
      <c r="BJ1060">
        <v>0.1</v>
      </c>
      <c r="BK1060">
        <v>2</v>
      </c>
      <c r="BL1060" s="4">
        <v>50.45</v>
      </c>
      <c r="BM1060" s="4">
        <v>7.57</v>
      </c>
      <c r="BN1060" s="4">
        <v>58.02</v>
      </c>
      <c r="BO1060" s="4">
        <v>58.02</v>
      </c>
      <c r="BQ1060" t="s">
        <v>109</v>
      </c>
      <c r="BR1060" t="s">
        <v>84</v>
      </c>
      <c r="BS1060" s="3">
        <v>43781</v>
      </c>
      <c r="BT1060" s="5">
        <v>0.36805555555555558</v>
      </c>
      <c r="BU1060" t="s">
        <v>85</v>
      </c>
      <c r="BV1060" t="s">
        <v>86</v>
      </c>
      <c r="BY1060">
        <v>675</v>
      </c>
      <c r="CA1060" t="s">
        <v>87</v>
      </c>
      <c r="CC1060" t="s">
        <v>80</v>
      </c>
      <c r="CD1060">
        <v>6230</v>
      </c>
      <c r="CE1060" t="s">
        <v>1598</v>
      </c>
      <c r="CF1060" s="3">
        <v>43782</v>
      </c>
      <c r="CI1060">
        <v>1</v>
      </c>
      <c r="CJ1060">
        <v>1</v>
      </c>
      <c r="CK1060">
        <v>21</v>
      </c>
      <c r="CL1060" t="s">
        <v>89</v>
      </c>
    </row>
    <row r="1061" spans="1:90">
      <c r="A1061" t="s">
        <v>72</v>
      </c>
      <c r="B1061" t="s">
        <v>73</v>
      </c>
      <c r="C1061" t="s">
        <v>74</v>
      </c>
      <c r="E1061" t="str">
        <f>"FES1162722361"</f>
        <v>FES1162722361</v>
      </c>
      <c r="F1061" s="3">
        <v>43780</v>
      </c>
      <c r="G1061">
        <v>202005</v>
      </c>
      <c r="H1061" t="s">
        <v>75</v>
      </c>
      <c r="I1061" t="s">
        <v>76</v>
      </c>
      <c r="J1061" t="s">
        <v>77</v>
      </c>
      <c r="K1061" t="s">
        <v>78</v>
      </c>
      <c r="L1061" t="s">
        <v>101</v>
      </c>
      <c r="M1061" t="s">
        <v>102</v>
      </c>
      <c r="N1061" t="s">
        <v>867</v>
      </c>
      <c r="O1061" t="s">
        <v>82</v>
      </c>
      <c r="P1061" t="str">
        <f>"2170716565                    "</f>
        <v xml:space="preserve">2170716565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8.58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 s="4">
        <v>50.45</v>
      </c>
      <c r="BM1061" s="4">
        <v>7.57</v>
      </c>
      <c r="BN1061" s="4">
        <v>58.02</v>
      </c>
      <c r="BO1061" s="4">
        <v>58.02</v>
      </c>
      <c r="BR1061" t="s">
        <v>84</v>
      </c>
      <c r="BS1061" s="3">
        <v>43781</v>
      </c>
      <c r="BT1061" s="5">
        <v>0.30555555555555552</v>
      </c>
      <c r="BU1061" t="s">
        <v>1599</v>
      </c>
      <c r="BV1061" t="s">
        <v>86</v>
      </c>
      <c r="BY1061">
        <v>1200</v>
      </c>
      <c r="CA1061" t="s">
        <v>343</v>
      </c>
      <c r="CC1061" t="s">
        <v>102</v>
      </c>
      <c r="CD1061">
        <v>1</v>
      </c>
      <c r="CE1061" t="s">
        <v>147</v>
      </c>
      <c r="CF1061" s="3">
        <v>43782</v>
      </c>
      <c r="CI1061">
        <v>1</v>
      </c>
      <c r="CJ1061">
        <v>1</v>
      </c>
      <c r="CK1061">
        <v>21</v>
      </c>
      <c r="CL1061" t="s">
        <v>89</v>
      </c>
    </row>
    <row r="1062" spans="1:90">
      <c r="A1062" t="s">
        <v>72</v>
      </c>
      <c r="B1062" t="s">
        <v>73</v>
      </c>
      <c r="C1062" t="s">
        <v>74</v>
      </c>
      <c r="E1062" t="str">
        <f>"009939478326"</f>
        <v>009939478326</v>
      </c>
      <c r="F1062" s="3">
        <v>43770</v>
      </c>
      <c r="G1062">
        <v>202005</v>
      </c>
      <c r="H1062" t="s">
        <v>192</v>
      </c>
      <c r="I1062" t="s">
        <v>193</v>
      </c>
      <c r="J1062" t="s">
        <v>1600</v>
      </c>
      <c r="K1062" t="s">
        <v>78</v>
      </c>
      <c r="L1062" t="s">
        <v>75</v>
      </c>
      <c r="M1062" t="s">
        <v>76</v>
      </c>
      <c r="N1062" t="s">
        <v>211</v>
      </c>
      <c r="O1062" t="s">
        <v>282</v>
      </c>
      <c r="P1062" t="str">
        <f>"JNB1910310180                 "</f>
        <v xml:space="preserve">JNB1910310180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18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2.5</v>
      </c>
      <c r="BJ1062">
        <v>7.4</v>
      </c>
      <c r="BK1062">
        <v>8</v>
      </c>
      <c r="BL1062" s="4">
        <v>108.71</v>
      </c>
      <c r="BM1062" s="4">
        <v>16.309999999999999</v>
      </c>
      <c r="BN1062" s="4">
        <v>125.02</v>
      </c>
      <c r="BO1062" s="4">
        <v>125.02</v>
      </c>
      <c r="BQ1062" t="s">
        <v>1011</v>
      </c>
      <c r="BR1062" t="s">
        <v>1601</v>
      </c>
      <c r="BS1062" s="3">
        <v>43773</v>
      </c>
      <c r="BT1062" s="5">
        <v>0.375</v>
      </c>
      <c r="BU1062" t="s">
        <v>1016</v>
      </c>
      <c r="BV1062" t="s">
        <v>86</v>
      </c>
      <c r="BY1062">
        <v>36908.800000000003</v>
      </c>
      <c r="CA1062" t="s">
        <v>198</v>
      </c>
      <c r="CC1062" t="s">
        <v>76</v>
      </c>
      <c r="CD1062">
        <v>1600</v>
      </c>
      <c r="CE1062" t="s">
        <v>1598</v>
      </c>
      <c r="CF1062" s="3">
        <v>43774</v>
      </c>
      <c r="CI1062">
        <v>2</v>
      </c>
      <c r="CJ1062">
        <v>1</v>
      </c>
      <c r="CK1062" t="s">
        <v>1002</v>
      </c>
      <c r="CL1062" t="s">
        <v>89</v>
      </c>
    </row>
    <row r="1063" spans="1:90">
      <c r="A1063" t="s">
        <v>72</v>
      </c>
      <c r="B1063" t="s">
        <v>73</v>
      </c>
      <c r="C1063" t="s">
        <v>74</v>
      </c>
      <c r="E1063" t="str">
        <f>"FES1162722354"</f>
        <v>FES1162722354</v>
      </c>
      <c r="F1063" s="3">
        <v>43780</v>
      </c>
      <c r="G1063">
        <v>202005</v>
      </c>
      <c r="H1063" t="s">
        <v>75</v>
      </c>
      <c r="I1063" t="s">
        <v>76</v>
      </c>
      <c r="J1063" t="s">
        <v>77</v>
      </c>
      <c r="K1063" t="s">
        <v>78</v>
      </c>
      <c r="L1063" t="s">
        <v>270</v>
      </c>
      <c r="M1063" t="s">
        <v>271</v>
      </c>
      <c r="N1063" t="s">
        <v>618</v>
      </c>
      <c r="O1063" t="s">
        <v>82</v>
      </c>
      <c r="P1063" t="str">
        <f>"2170715472                    "</f>
        <v xml:space="preserve">2170715472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8.58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 s="4">
        <v>50.45</v>
      </c>
      <c r="BM1063" s="4">
        <v>7.57</v>
      </c>
      <c r="BN1063" s="4">
        <v>58.02</v>
      </c>
      <c r="BO1063" s="4">
        <v>58.02</v>
      </c>
      <c r="BQ1063" t="s">
        <v>121</v>
      </c>
      <c r="BR1063" t="s">
        <v>84</v>
      </c>
      <c r="BS1063" s="3">
        <v>43781</v>
      </c>
      <c r="BT1063" s="5">
        <v>0.40902777777777777</v>
      </c>
      <c r="BU1063" t="s">
        <v>1602</v>
      </c>
      <c r="BV1063" t="s">
        <v>86</v>
      </c>
      <c r="BY1063">
        <v>1200</v>
      </c>
      <c r="CA1063" t="s">
        <v>773</v>
      </c>
      <c r="CC1063" t="s">
        <v>271</v>
      </c>
      <c r="CD1063">
        <v>6220</v>
      </c>
      <c r="CE1063" t="s">
        <v>147</v>
      </c>
      <c r="CF1063" s="3">
        <v>43782</v>
      </c>
      <c r="CI1063">
        <v>1</v>
      </c>
      <c r="CJ1063">
        <v>1</v>
      </c>
      <c r="CK1063">
        <v>21</v>
      </c>
      <c r="CL1063" t="s">
        <v>89</v>
      </c>
    </row>
    <row r="1064" spans="1:90">
      <c r="A1064" t="s">
        <v>72</v>
      </c>
      <c r="B1064" t="s">
        <v>73</v>
      </c>
      <c r="C1064" t="s">
        <v>74</v>
      </c>
      <c r="E1064" t="str">
        <f>"FES1162722372"</f>
        <v>FES1162722372</v>
      </c>
      <c r="F1064" s="3">
        <v>43780</v>
      </c>
      <c r="G1064">
        <v>202005</v>
      </c>
      <c r="H1064" t="s">
        <v>75</v>
      </c>
      <c r="I1064" t="s">
        <v>76</v>
      </c>
      <c r="J1064" t="s">
        <v>77</v>
      </c>
      <c r="K1064" t="s">
        <v>78</v>
      </c>
      <c r="L1064" t="s">
        <v>124</v>
      </c>
      <c r="M1064" t="s">
        <v>125</v>
      </c>
      <c r="N1064" t="s">
        <v>1603</v>
      </c>
      <c r="O1064" t="s">
        <v>82</v>
      </c>
      <c r="P1064" t="str">
        <f>"2170716575                    "</f>
        <v xml:space="preserve">2170716575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7.51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2.2000000000000002</v>
      </c>
      <c r="BJ1064">
        <v>0.9</v>
      </c>
      <c r="BK1064">
        <v>2.5</v>
      </c>
      <c r="BL1064" s="4">
        <v>44.14</v>
      </c>
      <c r="BM1064" s="4">
        <v>6.62</v>
      </c>
      <c r="BN1064" s="4">
        <v>50.76</v>
      </c>
      <c r="BO1064" s="4">
        <v>50.76</v>
      </c>
      <c r="BQ1064" t="s">
        <v>109</v>
      </c>
      <c r="BR1064" t="s">
        <v>84</v>
      </c>
      <c r="BS1064" s="3">
        <v>43781</v>
      </c>
      <c r="BT1064" s="5">
        <v>0.35694444444444445</v>
      </c>
      <c r="BU1064" t="s">
        <v>1604</v>
      </c>
      <c r="BV1064" t="s">
        <v>86</v>
      </c>
      <c r="BY1064">
        <v>4699.55</v>
      </c>
      <c r="CC1064" t="s">
        <v>125</v>
      </c>
      <c r="CD1064">
        <v>1723</v>
      </c>
      <c r="CE1064" t="s">
        <v>88</v>
      </c>
      <c r="CF1064" s="3">
        <v>43782</v>
      </c>
      <c r="CI1064">
        <v>1</v>
      </c>
      <c r="CJ1064">
        <v>1</v>
      </c>
      <c r="CK1064">
        <v>22</v>
      </c>
      <c r="CL1064" t="s">
        <v>89</v>
      </c>
    </row>
    <row r="1065" spans="1:90">
      <c r="A1065" t="s">
        <v>72</v>
      </c>
      <c r="B1065" t="s">
        <v>73</v>
      </c>
      <c r="C1065" t="s">
        <v>74</v>
      </c>
      <c r="E1065" t="str">
        <f>"FES1162722373"</f>
        <v>FES1162722373</v>
      </c>
      <c r="F1065" s="3">
        <v>43780</v>
      </c>
      <c r="G1065">
        <v>202005</v>
      </c>
      <c r="H1065" t="s">
        <v>75</v>
      </c>
      <c r="I1065" t="s">
        <v>76</v>
      </c>
      <c r="J1065" t="s">
        <v>77</v>
      </c>
      <c r="K1065" t="s">
        <v>78</v>
      </c>
      <c r="L1065" t="s">
        <v>202</v>
      </c>
      <c r="M1065" t="s">
        <v>203</v>
      </c>
      <c r="N1065" t="s">
        <v>1170</v>
      </c>
      <c r="O1065" t="s">
        <v>82</v>
      </c>
      <c r="P1065" t="str">
        <f>"2170716577                    "</f>
        <v xml:space="preserve">2170716577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8.31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1.3</v>
      </c>
      <c r="BJ1065">
        <v>2.9</v>
      </c>
      <c r="BK1065">
        <v>3</v>
      </c>
      <c r="BL1065" s="4">
        <v>48.86</v>
      </c>
      <c r="BM1065" s="4">
        <v>7.33</v>
      </c>
      <c r="BN1065" s="4">
        <v>56.19</v>
      </c>
      <c r="BO1065" s="4">
        <v>56.19</v>
      </c>
      <c r="BQ1065" t="s">
        <v>337</v>
      </c>
      <c r="BR1065" t="s">
        <v>84</v>
      </c>
      <c r="BS1065" s="3">
        <v>43781</v>
      </c>
      <c r="BT1065" s="5">
        <v>0.43055555555555558</v>
      </c>
      <c r="BU1065" t="s">
        <v>1605</v>
      </c>
      <c r="BV1065" t="s">
        <v>86</v>
      </c>
      <c r="BY1065">
        <v>14258</v>
      </c>
      <c r="CC1065" t="s">
        <v>203</v>
      </c>
      <c r="CD1065">
        <v>1401</v>
      </c>
      <c r="CE1065" t="s">
        <v>1598</v>
      </c>
      <c r="CF1065" s="3">
        <v>43782</v>
      </c>
      <c r="CI1065">
        <v>1</v>
      </c>
      <c r="CJ1065">
        <v>1</v>
      </c>
      <c r="CK1065">
        <v>22</v>
      </c>
      <c r="CL1065" t="s">
        <v>89</v>
      </c>
    </row>
    <row r="1066" spans="1:90">
      <c r="A1066" t="s">
        <v>72</v>
      </c>
      <c r="B1066" t="s">
        <v>73</v>
      </c>
      <c r="C1066" t="s">
        <v>74</v>
      </c>
      <c r="E1066" t="str">
        <f>"FES1162722331"</f>
        <v>FES1162722331</v>
      </c>
      <c r="F1066" s="3">
        <v>43780</v>
      </c>
      <c r="G1066">
        <v>202005</v>
      </c>
      <c r="H1066" t="s">
        <v>75</v>
      </c>
      <c r="I1066" t="s">
        <v>76</v>
      </c>
      <c r="J1066" t="s">
        <v>77</v>
      </c>
      <c r="K1066" t="s">
        <v>78</v>
      </c>
      <c r="L1066" t="s">
        <v>101</v>
      </c>
      <c r="M1066" t="s">
        <v>102</v>
      </c>
      <c r="N1066" t="s">
        <v>208</v>
      </c>
      <c r="O1066" t="s">
        <v>82</v>
      </c>
      <c r="P1066" t="str">
        <f>"2170716544                    "</f>
        <v xml:space="preserve">2170716544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15.02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2</v>
      </c>
      <c r="BJ1066">
        <v>3.2</v>
      </c>
      <c r="BK1066">
        <v>3.5</v>
      </c>
      <c r="BL1066" s="4">
        <v>88.27</v>
      </c>
      <c r="BM1066" s="4">
        <v>13.24</v>
      </c>
      <c r="BN1066" s="4">
        <v>101.51</v>
      </c>
      <c r="BO1066" s="4">
        <v>101.51</v>
      </c>
      <c r="BQ1066" t="s">
        <v>209</v>
      </c>
      <c r="BR1066" t="s">
        <v>84</v>
      </c>
      <c r="BS1066" s="3">
        <v>43781</v>
      </c>
      <c r="BT1066" s="5">
        <v>0.40625</v>
      </c>
      <c r="BU1066" t="s">
        <v>1606</v>
      </c>
      <c r="BV1066" t="s">
        <v>86</v>
      </c>
      <c r="BY1066">
        <v>15750</v>
      </c>
      <c r="CA1066" t="s">
        <v>183</v>
      </c>
      <c r="CC1066" t="s">
        <v>102</v>
      </c>
      <c r="CD1066">
        <v>200</v>
      </c>
      <c r="CE1066" t="s">
        <v>1598</v>
      </c>
      <c r="CF1066" s="3">
        <v>43782</v>
      </c>
      <c r="CI1066">
        <v>1</v>
      </c>
      <c r="CJ1066">
        <v>1</v>
      </c>
      <c r="CK1066">
        <v>21</v>
      </c>
      <c r="CL1066" t="s">
        <v>89</v>
      </c>
    </row>
    <row r="1067" spans="1:90">
      <c r="A1067" t="s">
        <v>72</v>
      </c>
      <c r="B1067" t="s">
        <v>73</v>
      </c>
      <c r="C1067" t="s">
        <v>74</v>
      </c>
      <c r="E1067" t="str">
        <f>"FES1162722389"</f>
        <v>FES1162722389</v>
      </c>
      <c r="F1067" s="3">
        <v>43780</v>
      </c>
      <c r="G1067">
        <v>202005</v>
      </c>
      <c r="H1067" t="s">
        <v>75</v>
      </c>
      <c r="I1067" t="s">
        <v>76</v>
      </c>
      <c r="J1067" t="s">
        <v>77</v>
      </c>
      <c r="K1067" t="s">
        <v>78</v>
      </c>
      <c r="L1067" t="s">
        <v>482</v>
      </c>
      <c r="M1067" t="s">
        <v>483</v>
      </c>
      <c r="N1067" t="s">
        <v>968</v>
      </c>
      <c r="O1067" t="s">
        <v>82</v>
      </c>
      <c r="P1067" t="str">
        <f>"2170716592                    "</f>
        <v xml:space="preserve">2170716592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7.51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2.4</v>
      </c>
      <c r="BJ1067">
        <v>1.5</v>
      </c>
      <c r="BK1067">
        <v>2.5</v>
      </c>
      <c r="BL1067" s="4">
        <v>44.14</v>
      </c>
      <c r="BM1067" s="4">
        <v>6.62</v>
      </c>
      <c r="BN1067" s="4">
        <v>50.76</v>
      </c>
      <c r="BO1067" s="4">
        <v>50.76</v>
      </c>
      <c r="BQ1067" t="s">
        <v>109</v>
      </c>
      <c r="BR1067" t="s">
        <v>84</v>
      </c>
      <c r="BS1067" s="3">
        <v>43781</v>
      </c>
      <c r="BT1067" s="5">
        <v>0.35625000000000001</v>
      </c>
      <c r="BU1067" t="s">
        <v>1607</v>
      </c>
      <c r="BV1067" t="s">
        <v>86</v>
      </c>
      <c r="BY1067">
        <v>7555.68</v>
      </c>
      <c r="CA1067" t="s">
        <v>486</v>
      </c>
      <c r="CC1067" t="s">
        <v>483</v>
      </c>
      <c r="CD1067">
        <v>1459</v>
      </c>
      <c r="CE1067" t="s">
        <v>88</v>
      </c>
      <c r="CF1067" s="3">
        <v>43782</v>
      </c>
      <c r="CI1067">
        <v>1</v>
      </c>
      <c r="CJ1067">
        <v>1</v>
      </c>
      <c r="CK1067">
        <v>22</v>
      </c>
      <c r="CL1067" t="s">
        <v>89</v>
      </c>
    </row>
    <row r="1068" spans="1:90">
      <c r="A1068" t="s">
        <v>72</v>
      </c>
      <c r="B1068" t="s">
        <v>73</v>
      </c>
      <c r="C1068" t="s">
        <v>74</v>
      </c>
      <c r="E1068" t="str">
        <f>"FES1162722342"</f>
        <v>FES1162722342</v>
      </c>
      <c r="F1068" s="3">
        <v>43780</v>
      </c>
      <c r="G1068">
        <v>202005</v>
      </c>
      <c r="H1068" t="s">
        <v>75</v>
      </c>
      <c r="I1068" t="s">
        <v>76</v>
      </c>
      <c r="J1068" t="s">
        <v>77</v>
      </c>
      <c r="K1068" t="s">
        <v>78</v>
      </c>
      <c r="L1068" t="s">
        <v>172</v>
      </c>
      <c r="M1068" t="s">
        <v>173</v>
      </c>
      <c r="N1068" t="s">
        <v>1608</v>
      </c>
      <c r="O1068" t="s">
        <v>82</v>
      </c>
      <c r="P1068" t="str">
        <f>"2170716307                    "</f>
        <v xml:space="preserve">2170716307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12.07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 s="4">
        <v>70.95</v>
      </c>
      <c r="BM1068" s="4">
        <v>10.64</v>
      </c>
      <c r="BN1068" s="4">
        <v>81.59</v>
      </c>
      <c r="BO1068" s="4">
        <v>81.59</v>
      </c>
      <c r="BQ1068" t="s">
        <v>109</v>
      </c>
      <c r="BR1068" t="s">
        <v>84</v>
      </c>
      <c r="BS1068" s="3">
        <v>43781</v>
      </c>
      <c r="BT1068" s="5">
        <v>0.33333333333333331</v>
      </c>
      <c r="BU1068" t="s">
        <v>1609</v>
      </c>
      <c r="BV1068" t="s">
        <v>86</v>
      </c>
      <c r="BY1068">
        <v>1200</v>
      </c>
      <c r="CC1068" t="s">
        <v>173</v>
      </c>
      <c r="CD1068">
        <v>1739</v>
      </c>
      <c r="CE1068" t="s">
        <v>147</v>
      </c>
      <c r="CF1068" s="3">
        <v>43782</v>
      </c>
      <c r="CI1068">
        <v>1</v>
      </c>
      <c r="CJ1068">
        <v>1</v>
      </c>
      <c r="CK1068">
        <v>24</v>
      </c>
      <c r="CL1068" t="s">
        <v>89</v>
      </c>
    </row>
    <row r="1069" spans="1:90">
      <c r="A1069" t="s">
        <v>72</v>
      </c>
      <c r="B1069" t="s">
        <v>73</v>
      </c>
      <c r="C1069" t="s">
        <v>74</v>
      </c>
      <c r="E1069" t="str">
        <f>"FES1162722355"</f>
        <v>FES1162722355</v>
      </c>
      <c r="F1069" s="3">
        <v>43780</v>
      </c>
      <c r="G1069">
        <v>202005</v>
      </c>
      <c r="H1069" t="s">
        <v>75</v>
      </c>
      <c r="I1069" t="s">
        <v>76</v>
      </c>
      <c r="J1069" t="s">
        <v>77</v>
      </c>
      <c r="K1069" t="s">
        <v>78</v>
      </c>
      <c r="L1069" t="s">
        <v>192</v>
      </c>
      <c r="M1069" t="s">
        <v>193</v>
      </c>
      <c r="N1069" t="s">
        <v>194</v>
      </c>
      <c r="O1069" t="s">
        <v>82</v>
      </c>
      <c r="P1069" t="str">
        <f>"2170715994                    "</f>
        <v xml:space="preserve">2170715994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31.65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4</v>
      </c>
      <c r="BJ1069">
        <v>1.2</v>
      </c>
      <c r="BK1069">
        <v>4</v>
      </c>
      <c r="BL1069" s="4">
        <v>186.05</v>
      </c>
      <c r="BM1069" s="4">
        <v>27.91</v>
      </c>
      <c r="BN1069" s="4">
        <v>213.96</v>
      </c>
      <c r="BO1069" s="4">
        <v>213.96</v>
      </c>
      <c r="BQ1069" t="s">
        <v>109</v>
      </c>
      <c r="BR1069" t="s">
        <v>84</v>
      </c>
      <c r="BS1069" s="3">
        <v>43781</v>
      </c>
      <c r="BT1069" s="5">
        <v>0.48541666666666666</v>
      </c>
      <c r="BU1069" t="s">
        <v>195</v>
      </c>
      <c r="BV1069" t="s">
        <v>86</v>
      </c>
      <c r="BY1069">
        <v>6156</v>
      </c>
      <c r="CA1069" t="s">
        <v>1364</v>
      </c>
      <c r="CC1069" t="s">
        <v>193</v>
      </c>
      <c r="CD1069">
        <v>7130</v>
      </c>
      <c r="CE1069" t="s">
        <v>1598</v>
      </c>
      <c r="CF1069" s="3">
        <v>43782</v>
      </c>
      <c r="CI1069">
        <v>1</v>
      </c>
      <c r="CJ1069">
        <v>1</v>
      </c>
      <c r="CK1069">
        <v>23</v>
      </c>
      <c r="CL1069" t="s">
        <v>89</v>
      </c>
    </row>
    <row r="1070" spans="1:90">
      <c r="A1070" t="s">
        <v>72</v>
      </c>
      <c r="B1070" t="s">
        <v>73</v>
      </c>
      <c r="C1070" t="s">
        <v>74</v>
      </c>
      <c r="E1070" t="str">
        <f>"FES1162722390"</f>
        <v>FES1162722390</v>
      </c>
      <c r="F1070" s="3">
        <v>43780</v>
      </c>
      <c r="G1070">
        <v>202005</v>
      </c>
      <c r="H1070" t="s">
        <v>75</v>
      </c>
      <c r="I1070" t="s">
        <v>76</v>
      </c>
      <c r="J1070" t="s">
        <v>77</v>
      </c>
      <c r="K1070" t="s">
        <v>78</v>
      </c>
      <c r="L1070" t="s">
        <v>90</v>
      </c>
      <c r="M1070" t="s">
        <v>91</v>
      </c>
      <c r="N1070" t="s">
        <v>1610</v>
      </c>
      <c r="O1070" t="s">
        <v>82</v>
      </c>
      <c r="P1070" t="str">
        <f>"2170716595                    "</f>
        <v xml:space="preserve">2170716595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8.58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 s="4">
        <v>50.45</v>
      </c>
      <c r="BM1070" s="4">
        <v>7.57</v>
      </c>
      <c r="BN1070" s="4">
        <v>58.02</v>
      </c>
      <c r="BO1070" s="4">
        <v>58.02</v>
      </c>
      <c r="BQ1070" t="s">
        <v>121</v>
      </c>
      <c r="BR1070" t="s">
        <v>84</v>
      </c>
      <c r="BS1070" s="3">
        <v>43781</v>
      </c>
      <c r="BT1070" s="5">
        <v>0.41666666666666669</v>
      </c>
      <c r="BU1070" t="s">
        <v>1611</v>
      </c>
      <c r="BV1070" t="s">
        <v>86</v>
      </c>
      <c r="BY1070">
        <v>1200</v>
      </c>
      <c r="CC1070" t="s">
        <v>91</v>
      </c>
      <c r="CD1070">
        <v>7975</v>
      </c>
      <c r="CE1070" t="s">
        <v>147</v>
      </c>
      <c r="CF1070" s="3">
        <v>43782</v>
      </c>
      <c r="CI1070">
        <v>1</v>
      </c>
      <c r="CJ1070">
        <v>1</v>
      </c>
      <c r="CK1070">
        <v>21</v>
      </c>
      <c r="CL1070" t="s">
        <v>89</v>
      </c>
    </row>
    <row r="1071" spans="1:90">
      <c r="A1071" t="s">
        <v>72</v>
      </c>
      <c r="B1071" t="s">
        <v>73</v>
      </c>
      <c r="C1071" t="s">
        <v>74</v>
      </c>
      <c r="E1071" t="str">
        <f>"FES1162722350"</f>
        <v>FES1162722350</v>
      </c>
      <c r="F1071" s="3">
        <v>43780</v>
      </c>
      <c r="G1071">
        <v>202005</v>
      </c>
      <c r="H1071" t="s">
        <v>75</v>
      </c>
      <c r="I1071" t="s">
        <v>76</v>
      </c>
      <c r="J1071" t="s">
        <v>77</v>
      </c>
      <c r="K1071" t="s">
        <v>78</v>
      </c>
      <c r="L1071" t="s">
        <v>192</v>
      </c>
      <c r="M1071" t="s">
        <v>193</v>
      </c>
      <c r="N1071" t="s">
        <v>194</v>
      </c>
      <c r="O1071" t="s">
        <v>82</v>
      </c>
      <c r="P1071" t="str">
        <f>"2170713398                    "</f>
        <v xml:space="preserve">2170713398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16.63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 s="4">
        <v>97.75</v>
      </c>
      <c r="BM1071" s="4">
        <v>14.66</v>
      </c>
      <c r="BN1071" s="4">
        <v>112.41</v>
      </c>
      <c r="BO1071" s="4">
        <v>112.41</v>
      </c>
      <c r="BQ1071" t="s">
        <v>109</v>
      </c>
      <c r="BR1071" t="s">
        <v>84</v>
      </c>
      <c r="BS1071" s="3">
        <v>43781</v>
      </c>
      <c r="BT1071" s="5">
        <v>0.48541666666666666</v>
      </c>
      <c r="BU1071" t="s">
        <v>195</v>
      </c>
      <c r="BV1071" t="s">
        <v>86</v>
      </c>
      <c r="BY1071">
        <v>1200</v>
      </c>
      <c r="CA1071" t="s">
        <v>1364</v>
      </c>
      <c r="CC1071" t="s">
        <v>193</v>
      </c>
      <c r="CD1071">
        <v>7130</v>
      </c>
      <c r="CE1071" t="s">
        <v>147</v>
      </c>
      <c r="CF1071" s="3">
        <v>43782</v>
      </c>
      <c r="CI1071">
        <v>0</v>
      </c>
      <c r="CJ1071">
        <v>0</v>
      </c>
      <c r="CK1071">
        <v>23</v>
      </c>
      <c r="CL1071" t="s">
        <v>89</v>
      </c>
    </row>
    <row r="1072" spans="1:90">
      <c r="A1072" t="s">
        <v>72</v>
      </c>
      <c r="B1072" t="s">
        <v>73</v>
      </c>
      <c r="C1072" t="s">
        <v>74</v>
      </c>
      <c r="E1072" t="str">
        <f>"FES1162722318"</f>
        <v>FES1162722318</v>
      </c>
      <c r="F1072" s="3">
        <v>43780</v>
      </c>
      <c r="G1072">
        <v>202005</v>
      </c>
      <c r="H1072" t="s">
        <v>75</v>
      </c>
      <c r="I1072" t="s">
        <v>76</v>
      </c>
      <c r="J1072" t="s">
        <v>77</v>
      </c>
      <c r="K1072" t="s">
        <v>78</v>
      </c>
      <c r="L1072" t="s">
        <v>124</v>
      </c>
      <c r="M1072" t="s">
        <v>125</v>
      </c>
      <c r="N1072" t="s">
        <v>1612</v>
      </c>
      <c r="O1072" t="s">
        <v>82</v>
      </c>
      <c r="P1072" t="str">
        <f>"2170716530                    "</f>
        <v xml:space="preserve">2170716530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17.149999999999999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8.4</v>
      </c>
      <c r="BJ1072">
        <v>2.4</v>
      </c>
      <c r="BK1072">
        <v>8.5</v>
      </c>
      <c r="BL1072" s="4">
        <v>100.82</v>
      </c>
      <c r="BM1072" s="4">
        <v>15.12</v>
      </c>
      <c r="BN1072" s="4">
        <v>115.94</v>
      </c>
      <c r="BO1072" s="4">
        <v>115.94</v>
      </c>
      <c r="BQ1072" t="s">
        <v>1613</v>
      </c>
      <c r="BR1072" t="s">
        <v>84</v>
      </c>
      <c r="BS1072" s="3">
        <v>43781</v>
      </c>
      <c r="BT1072" s="5">
        <v>0.33333333333333331</v>
      </c>
      <c r="BU1072" t="s">
        <v>1614</v>
      </c>
      <c r="BV1072" t="s">
        <v>86</v>
      </c>
      <c r="BY1072">
        <v>12045.35</v>
      </c>
      <c r="CC1072" t="s">
        <v>125</v>
      </c>
      <c r="CD1072">
        <v>2001</v>
      </c>
      <c r="CE1072" t="s">
        <v>1598</v>
      </c>
      <c r="CF1072" s="3">
        <v>43782</v>
      </c>
      <c r="CI1072">
        <v>1</v>
      </c>
      <c r="CJ1072">
        <v>1</v>
      </c>
      <c r="CK1072">
        <v>22</v>
      </c>
      <c r="CL1072" t="s">
        <v>89</v>
      </c>
    </row>
    <row r="1073" spans="1:90">
      <c r="A1073" t="s">
        <v>72</v>
      </c>
      <c r="B1073" t="s">
        <v>73</v>
      </c>
      <c r="C1073" t="s">
        <v>74</v>
      </c>
      <c r="E1073" t="str">
        <f>"FES1162722251"</f>
        <v>FES1162722251</v>
      </c>
      <c r="F1073" s="3">
        <v>43780</v>
      </c>
      <c r="G1073">
        <v>202005</v>
      </c>
      <c r="H1073" t="s">
        <v>75</v>
      </c>
      <c r="I1073" t="s">
        <v>76</v>
      </c>
      <c r="J1073" t="s">
        <v>77</v>
      </c>
      <c r="K1073" t="s">
        <v>78</v>
      </c>
      <c r="L1073" t="s">
        <v>75</v>
      </c>
      <c r="M1073" t="s">
        <v>76</v>
      </c>
      <c r="N1073" t="s">
        <v>1429</v>
      </c>
      <c r="O1073" t="s">
        <v>82</v>
      </c>
      <c r="P1073" t="str">
        <f>"2170714072                    "</f>
        <v xml:space="preserve">2170714072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10.72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3.3</v>
      </c>
      <c r="BJ1073">
        <v>4.5</v>
      </c>
      <c r="BK1073">
        <v>4.5</v>
      </c>
      <c r="BL1073" s="4">
        <v>63.03</v>
      </c>
      <c r="BM1073" s="4">
        <v>9.4499999999999993</v>
      </c>
      <c r="BN1073" s="4">
        <v>72.48</v>
      </c>
      <c r="BO1073" s="4">
        <v>72.48</v>
      </c>
      <c r="BQ1073" t="s">
        <v>109</v>
      </c>
      <c r="BR1073" t="s">
        <v>84</v>
      </c>
      <c r="BS1073" s="3">
        <v>43781</v>
      </c>
      <c r="BT1073" s="5">
        <v>0.34375</v>
      </c>
      <c r="BU1073" t="s">
        <v>1430</v>
      </c>
      <c r="BV1073" t="s">
        <v>86</v>
      </c>
      <c r="BY1073">
        <v>22371.38</v>
      </c>
      <c r="CA1073" t="s">
        <v>238</v>
      </c>
      <c r="CC1073" t="s">
        <v>76</v>
      </c>
      <c r="CD1073">
        <v>1665</v>
      </c>
      <c r="CE1073" t="s">
        <v>88</v>
      </c>
      <c r="CF1073" s="3">
        <v>43782</v>
      </c>
      <c r="CI1073">
        <v>1</v>
      </c>
      <c r="CJ1073">
        <v>1</v>
      </c>
      <c r="CK1073">
        <v>22</v>
      </c>
      <c r="CL1073" t="s">
        <v>89</v>
      </c>
    </row>
    <row r="1074" spans="1:90">
      <c r="A1074" t="s">
        <v>72</v>
      </c>
      <c r="B1074" t="s">
        <v>73</v>
      </c>
      <c r="C1074" t="s">
        <v>74</v>
      </c>
      <c r="E1074" t="str">
        <f>"FES1162722388"</f>
        <v>FES1162722388</v>
      </c>
      <c r="F1074" s="3">
        <v>43780</v>
      </c>
      <c r="G1074">
        <v>202005</v>
      </c>
      <c r="H1074" t="s">
        <v>75</v>
      </c>
      <c r="I1074" t="s">
        <v>76</v>
      </c>
      <c r="J1074" t="s">
        <v>77</v>
      </c>
      <c r="K1074" t="s">
        <v>78</v>
      </c>
      <c r="L1074" t="s">
        <v>106</v>
      </c>
      <c r="M1074" t="s">
        <v>107</v>
      </c>
      <c r="N1074" t="s">
        <v>842</v>
      </c>
      <c r="O1074" t="s">
        <v>82</v>
      </c>
      <c r="P1074" t="str">
        <f>"2170716591                    "</f>
        <v xml:space="preserve">2170716591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8.58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0.7</v>
      </c>
      <c r="BJ1074">
        <v>1.6</v>
      </c>
      <c r="BK1074">
        <v>2</v>
      </c>
      <c r="BL1074" s="4">
        <v>50.45</v>
      </c>
      <c r="BM1074" s="4">
        <v>7.57</v>
      </c>
      <c r="BN1074" s="4">
        <v>58.02</v>
      </c>
      <c r="BO1074" s="4">
        <v>58.02</v>
      </c>
      <c r="BQ1074" t="s">
        <v>1615</v>
      </c>
      <c r="BR1074" t="s">
        <v>84</v>
      </c>
      <c r="BS1074" s="3">
        <v>43781</v>
      </c>
      <c r="BT1074" s="5">
        <v>0.37152777777777773</v>
      </c>
      <c r="BU1074" t="s">
        <v>638</v>
      </c>
      <c r="BV1074" t="s">
        <v>86</v>
      </c>
      <c r="BY1074">
        <v>7788.21</v>
      </c>
      <c r="CA1074" t="s">
        <v>111</v>
      </c>
      <c r="CC1074" t="s">
        <v>107</v>
      </c>
      <c r="CD1074">
        <v>6001</v>
      </c>
      <c r="CE1074" t="s">
        <v>88</v>
      </c>
      <c r="CF1074" s="3">
        <v>43782</v>
      </c>
      <c r="CI1074">
        <v>1</v>
      </c>
      <c r="CJ1074">
        <v>1</v>
      </c>
      <c r="CK1074">
        <v>21</v>
      </c>
      <c r="CL1074" t="s">
        <v>89</v>
      </c>
    </row>
    <row r="1075" spans="1:90">
      <c r="A1075" t="s">
        <v>72</v>
      </c>
      <c r="B1075" t="s">
        <v>73</v>
      </c>
      <c r="C1075" t="s">
        <v>74</v>
      </c>
      <c r="E1075" t="str">
        <f>"FES1162722353"</f>
        <v>FES1162722353</v>
      </c>
      <c r="F1075" s="3">
        <v>43780</v>
      </c>
      <c r="G1075">
        <v>202005</v>
      </c>
      <c r="H1075" t="s">
        <v>75</v>
      </c>
      <c r="I1075" t="s">
        <v>76</v>
      </c>
      <c r="J1075" t="s">
        <v>77</v>
      </c>
      <c r="K1075" t="s">
        <v>78</v>
      </c>
      <c r="L1075" t="s">
        <v>112</v>
      </c>
      <c r="M1075" t="s">
        <v>113</v>
      </c>
      <c r="N1075" t="s">
        <v>1083</v>
      </c>
      <c r="O1075" t="s">
        <v>82</v>
      </c>
      <c r="P1075" t="str">
        <f>"2170715415                    "</f>
        <v xml:space="preserve">2170715415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30.03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7</v>
      </c>
      <c r="BJ1075">
        <v>1.9</v>
      </c>
      <c r="BK1075">
        <v>7</v>
      </c>
      <c r="BL1075" s="4">
        <v>176.5</v>
      </c>
      <c r="BM1075" s="4">
        <v>26.48</v>
      </c>
      <c r="BN1075" s="4">
        <v>202.98</v>
      </c>
      <c r="BO1075" s="4">
        <v>202.98</v>
      </c>
      <c r="BQ1075" t="s">
        <v>121</v>
      </c>
      <c r="BR1075" t="s">
        <v>84</v>
      </c>
      <c r="BS1075" s="3">
        <v>43781</v>
      </c>
      <c r="BT1075" s="5">
        <v>0.3611111111111111</v>
      </c>
      <c r="BU1075" t="s">
        <v>1616</v>
      </c>
      <c r="BV1075" t="s">
        <v>86</v>
      </c>
      <c r="BY1075">
        <v>9380</v>
      </c>
      <c r="CA1075" t="s">
        <v>123</v>
      </c>
      <c r="CC1075" t="s">
        <v>113</v>
      </c>
      <c r="CD1075">
        <v>4001</v>
      </c>
      <c r="CE1075" t="s">
        <v>1598</v>
      </c>
      <c r="CF1075" s="3">
        <v>43782</v>
      </c>
      <c r="CI1075">
        <v>1</v>
      </c>
      <c r="CJ1075">
        <v>1</v>
      </c>
      <c r="CK1075">
        <v>21</v>
      </c>
      <c r="CL1075" t="s">
        <v>89</v>
      </c>
    </row>
    <row r="1076" spans="1:90">
      <c r="A1076" t="s">
        <v>72</v>
      </c>
      <c r="B1076" t="s">
        <v>73</v>
      </c>
      <c r="C1076" t="s">
        <v>74</v>
      </c>
      <c r="E1076" t="str">
        <f>"FES1162722375"</f>
        <v>FES1162722375</v>
      </c>
      <c r="F1076" s="3">
        <v>43780</v>
      </c>
      <c r="G1076">
        <v>202005</v>
      </c>
      <c r="H1076" t="s">
        <v>75</v>
      </c>
      <c r="I1076" t="s">
        <v>76</v>
      </c>
      <c r="J1076" t="s">
        <v>77</v>
      </c>
      <c r="K1076" t="s">
        <v>78</v>
      </c>
      <c r="L1076" t="s">
        <v>90</v>
      </c>
      <c r="M1076" t="s">
        <v>91</v>
      </c>
      <c r="N1076" t="s">
        <v>1617</v>
      </c>
      <c r="O1076" t="s">
        <v>82</v>
      </c>
      <c r="P1076" t="str">
        <f>"2170716580                    "</f>
        <v xml:space="preserve">2170716580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8.58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1.9</v>
      </c>
      <c r="BJ1076">
        <v>0.9</v>
      </c>
      <c r="BK1076">
        <v>2</v>
      </c>
      <c r="BL1076" s="4">
        <v>50.45</v>
      </c>
      <c r="BM1076" s="4">
        <v>7.57</v>
      </c>
      <c r="BN1076" s="4">
        <v>58.02</v>
      </c>
      <c r="BO1076" s="4">
        <v>58.02</v>
      </c>
      <c r="BQ1076" t="s">
        <v>187</v>
      </c>
      <c r="BR1076" t="s">
        <v>84</v>
      </c>
      <c r="BS1076" s="3">
        <v>43781</v>
      </c>
      <c r="BT1076" s="5">
        <v>0.42569444444444443</v>
      </c>
      <c r="BU1076" t="s">
        <v>1618</v>
      </c>
      <c r="BV1076" t="s">
        <v>86</v>
      </c>
      <c r="BY1076">
        <v>4561.4399999999996</v>
      </c>
      <c r="CA1076" t="s">
        <v>1309</v>
      </c>
      <c r="CC1076" t="s">
        <v>91</v>
      </c>
      <c r="CD1076">
        <v>7580</v>
      </c>
      <c r="CE1076" t="s">
        <v>88</v>
      </c>
      <c r="CF1076" s="3">
        <v>43782</v>
      </c>
      <c r="CI1076">
        <v>1</v>
      </c>
      <c r="CJ1076">
        <v>1</v>
      </c>
      <c r="CK1076">
        <v>21</v>
      </c>
      <c r="CL1076" t="s">
        <v>89</v>
      </c>
    </row>
    <row r="1077" spans="1:90">
      <c r="A1077" t="s">
        <v>72</v>
      </c>
      <c r="B1077" t="s">
        <v>73</v>
      </c>
      <c r="C1077" t="s">
        <v>74</v>
      </c>
      <c r="E1077" t="str">
        <f>"FES1162722296"</f>
        <v>FES1162722296</v>
      </c>
      <c r="F1077" s="3">
        <v>43780</v>
      </c>
      <c r="G1077">
        <v>202005</v>
      </c>
      <c r="H1077" t="s">
        <v>75</v>
      </c>
      <c r="I1077" t="s">
        <v>76</v>
      </c>
      <c r="J1077" t="s">
        <v>77</v>
      </c>
      <c r="K1077" t="s">
        <v>78</v>
      </c>
      <c r="L1077" t="s">
        <v>482</v>
      </c>
      <c r="M1077" t="s">
        <v>483</v>
      </c>
      <c r="N1077" t="s">
        <v>1442</v>
      </c>
      <c r="O1077" t="s">
        <v>82</v>
      </c>
      <c r="P1077" t="str">
        <f>"2170716499                    "</f>
        <v xml:space="preserve">2170716499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6.71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 s="4">
        <v>39.42</v>
      </c>
      <c r="BM1077" s="4">
        <v>5.91</v>
      </c>
      <c r="BN1077" s="4">
        <v>45.33</v>
      </c>
      <c r="BO1077" s="4">
        <v>45.33</v>
      </c>
      <c r="BR1077" t="s">
        <v>84</v>
      </c>
      <c r="BS1077" s="3">
        <v>43781</v>
      </c>
      <c r="BT1077" s="5">
        <v>0.26944444444444443</v>
      </c>
      <c r="BU1077" t="s">
        <v>1443</v>
      </c>
      <c r="BV1077" t="s">
        <v>86</v>
      </c>
      <c r="BY1077">
        <v>1200</v>
      </c>
      <c r="CA1077" t="s">
        <v>1336</v>
      </c>
      <c r="CC1077" t="s">
        <v>483</v>
      </c>
      <c r="CD1077">
        <v>1460</v>
      </c>
      <c r="CE1077" t="s">
        <v>147</v>
      </c>
      <c r="CF1077" s="3">
        <v>43782</v>
      </c>
      <c r="CI1077">
        <v>1</v>
      </c>
      <c r="CJ1077">
        <v>1</v>
      </c>
      <c r="CK1077">
        <v>22</v>
      </c>
      <c r="CL1077" t="s">
        <v>89</v>
      </c>
    </row>
    <row r="1078" spans="1:90">
      <c r="A1078" t="s">
        <v>72</v>
      </c>
      <c r="B1078" t="s">
        <v>73</v>
      </c>
      <c r="C1078" t="s">
        <v>74</v>
      </c>
      <c r="E1078" t="str">
        <f>"FES1162722356"</f>
        <v>FES1162722356</v>
      </c>
      <c r="F1078" s="3">
        <v>43780</v>
      </c>
      <c r="G1078">
        <v>202005</v>
      </c>
      <c r="H1078" t="s">
        <v>75</v>
      </c>
      <c r="I1078" t="s">
        <v>76</v>
      </c>
      <c r="J1078" t="s">
        <v>77</v>
      </c>
      <c r="K1078" t="s">
        <v>78</v>
      </c>
      <c r="L1078" t="s">
        <v>176</v>
      </c>
      <c r="M1078" t="s">
        <v>177</v>
      </c>
      <c r="N1078" t="s">
        <v>442</v>
      </c>
      <c r="O1078" t="s">
        <v>82</v>
      </c>
      <c r="P1078" t="str">
        <f>"2170716039                    "</f>
        <v xml:space="preserve">2170716039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15.02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3.1</v>
      </c>
      <c r="BJ1078">
        <v>2.2000000000000002</v>
      </c>
      <c r="BK1078">
        <v>3.5</v>
      </c>
      <c r="BL1078" s="4">
        <v>88.27</v>
      </c>
      <c r="BM1078" s="4">
        <v>13.24</v>
      </c>
      <c r="BN1078" s="4">
        <v>101.51</v>
      </c>
      <c r="BO1078" s="4">
        <v>101.51</v>
      </c>
      <c r="BQ1078" t="s">
        <v>121</v>
      </c>
      <c r="BR1078" t="s">
        <v>84</v>
      </c>
      <c r="BS1078" s="3">
        <v>43781</v>
      </c>
      <c r="BT1078" s="5">
        <v>0.37638888888888888</v>
      </c>
      <c r="BU1078" t="s">
        <v>1619</v>
      </c>
      <c r="BV1078" t="s">
        <v>86</v>
      </c>
      <c r="BY1078">
        <v>10973.04</v>
      </c>
      <c r="CA1078" t="s">
        <v>180</v>
      </c>
      <c r="CC1078" t="s">
        <v>177</v>
      </c>
      <c r="CD1078">
        <v>3610</v>
      </c>
      <c r="CE1078" t="s">
        <v>1598</v>
      </c>
      <c r="CF1078" s="3">
        <v>43782</v>
      </c>
      <c r="CI1078">
        <v>1</v>
      </c>
      <c r="CJ1078">
        <v>1</v>
      </c>
      <c r="CK1078">
        <v>21</v>
      </c>
      <c r="CL1078" t="s">
        <v>89</v>
      </c>
    </row>
    <row r="1079" spans="1:90">
      <c r="A1079" t="s">
        <v>72</v>
      </c>
      <c r="B1079" t="s">
        <v>73</v>
      </c>
      <c r="C1079" t="s">
        <v>74</v>
      </c>
      <c r="E1079" t="str">
        <f>"FES1162722374"</f>
        <v>FES1162722374</v>
      </c>
      <c r="F1079" s="3">
        <v>43780</v>
      </c>
      <c r="G1079">
        <v>202005</v>
      </c>
      <c r="H1079" t="s">
        <v>75</v>
      </c>
      <c r="I1079" t="s">
        <v>76</v>
      </c>
      <c r="J1079" t="s">
        <v>77</v>
      </c>
      <c r="K1079" t="s">
        <v>78</v>
      </c>
      <c r="L1079" t="s">
        <v>482</v>
      </c>
      <c r="M1079" t="s">
        <v>483</v>
      </c>
      <c r="N1079" t="s">
        <v>968</v>
      </c>
      <c r="O1079" t="s">
        <v>82</v>
      </c>
      <c r="P1079" t="str">
        <f>"2170716578                    "</f>
        <v xml:space="preserve">2170716578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6.71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 s="4">
        <v>39.42</v>
      </c>
      <c r="BM1079" s="4">
        <v>5.91</v>
      </c>
      <c r="BN1079" s="4">
        <v>45.33</v>
      </c>
      <c r="BO1079" s="4">
        <v>45.33</v>
      </c>
      <c r="BQ1079" t="s">
        <v>109</v>
      </c>
      <c r="BR1079" t="s">
        <v>84</v>
      </c>
      <c r="BS1079" s="3">
        <v>43781</v>
      </c>
      <c r="BT1079" s="5">
        <v>0.35625000000000001</v>
      </c>
      <c r="BU1079" t="s">
        <v>1607</v>
      </c>
      <c r="BV1079" t="s">
        <v>86</v>
      </c>
      <c r="BY1079">
        <v>1200</v>
      </c>
      <c r="CA1079" t="s">
        <v>486</v>
      </c>
      <c r="CC1079" t="s">
        <v>483</v>
      </c>
      <c r="CD1079">
        <v>1459</v>
      </c>
      <c r="CE1079" t="s">
        <v>147</v>
      </c>
      <c r="CF1079" s="3">
        <v>43782</v>
      </c>
      <c r="CI1079">
        <v>1</v>
      </c>
      <c r="CJ1079">
        <v>1</v>
      </c>
      <c r="CK1079">
        <v>22</v>
      </c>
      <c r="CL1079" t="s">
        <v>89</v>
      </c>
    </row>
    <row r="1080" spans="1:90">
      <c r="A1080" t="s">
        <v>72</v>
      </c>
      <c r="B1080" t="s">
        <v>73</v>
      </c>
      <c r="C1080" t="s">
        <v>74</v>
      </c>
      <c r="E1080" t="str">
        <f>"FES1162722382"</f>
        <v>FES1162722382</v>
      </c>
      <c r="F1080" s="3">
        <v>43780</v>
      </c>
      <c r="G1080">
        <v>202005</v>
      </c>
      <c r="H1080" t="s">
        <v>75</v>
      </c>
      <c r="I1080" t="s">
        <v>76</v>
      </c>
      <c r="J1080" t="s">
        <v>77</v>
      </c>
      <c r="K1080" t="s">
        <v>78</v>
      </c>
      <c r="L1080" t="s">
        <v>482</v>
      </c>
      <c r="M1080" t="s">
        <v>483</v>
      </c>
      <c r="N1080" t="s">
        <v>968</v>
      </c>
      <c r="O1080" t="s">
        <v>82</v>
      </c>
      <c r="P1080" t="str">
        <f>"2170716586                    "</f>
        <v xml:space="preserve">2170716586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6.71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 s="4">
        <v>39.42</v>
      </c>
      <c r="BM1080" s="4">
        <v>5.91</v>
      </c>
      <c r="BN1080" s="4">
        <v>45.33</v>
      </c>
      <c r="BO1080" s="4">
        <v>45.33</v>
      </c>
      <c r="BQ1080" t="s">
        <v>109</v>
      </c>
      <c r="BR1080" t="s">
        <v>84</v>
      </c>
      <c r="BS1080" s="3">
        <v>43781</v>
      </c>
      <c r="BT1080" s="5">
        <v>0.35625000000000001</v>
      </c>
      <c r="BU1080" t="s">
        <v>1607</v>
      </c>
      <c r="BV1080" t="s">
        <v>86</v>
      </c>
      <c r="BY1080">
        <v>1200</v>
      </c>
      <c r="CA1080" t="s">
        <v>486</v>
      </c>
      <c r="CC1080" t="s">
        <v>483</v>
      </c>
      <c r="CD1080">
        <v>1459</v>
      </c>
      <c r="CE1080" t="s">
        <v>147</v>
      </c>
      <c r="CF1080" s="3">
        <v>43782</v>
      </c>
      <c r="CI1080">
        <v>1</v>
      </c>
      <c r="CJ1080">
        <v>1</v>
      </c>
      <c r="CK1080">
        <v>22</v>
      </c>
      <c r="CL1080" t="s">
        <v>89</v>
      </c>
    </row>
    <row r="1081" spans="1:90">
      <c r="A1081" t="s">
        <v>72</v>
      </c>
      <c r="B1081" t="s">
        <v>73</v>
      </c>
      <c r="C1081" t="s">
        <v>74</v>
      </c>
      <c r="E1081" t="str">
        <f>"FES1162722383"</f>
        <v>FES1162722383</v>
      </c>
      <c r="F1081" s="3">
        <v>43780</v>
      </c>
      <c r="G1081">
        <v>202005</v>
      </c>
      <c r="H1081" t="s">
        <v>75</v>
      </c>
      <c r="I1081" t="s">
        <v>76</v>
      </c>
      <c r="J1081" t="s">
        <v>77</v>
      </c>
      <c r="K1081" t="s">
        <v>78</v>
      </c>
      <c r="L1081" t="s">
        <v>482</v>
      </c>
      <c r="M1081" t="s">
        <v>483</v>
      </c>
      <c r="N1081" t="s">
        <v>1054</v>
      </c>
      <c r="O1081" t="s">
        <v>82</v>
      </c>
      <c r="P1081" t="str">
        <f>"2170716587                    "</f>
        <v xml:space="preserve">2170716587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6.71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 s="4">
        <v>39.42</v>
      </c>
      <c r="BM1081" s="4">
        <v>5.91</v>
      </c>
      <c r="BN1081" s="4">
        <v>45.33</v>
      </c>
      <c r="BO1081" s="4">
        <v>45.33</v>
      </c>
      <c r="BQ1081" t="s">
        <v>109</v>
      </c>
      <c r="BR1081" t="s">
        <v>84</v>
      </c>
      <c r="BS1081" s="3">
        <v>43781</v>
      </c>
      <c r="BT1081" s="5">
        <v>0.3444444444444445</v>
      </c>
      <c r="BU1081" t="s">
        <v>1620</v>
      </c>
      <c r="BV1081" t="s">
        <v>86</v>
      </c>
      <c r="BY1081">
        <v>1200</v>
      </c>
      <c r="CA1081" t="s">
        <v>486</v>
      </c>
      <c r="CC1081" t="s">
        <v>483</v>
      </c>
      <c r="CD1081">
        <v>1459</v>
      </c>
      <c r="CE1081" t="s">
        <v>147</v>
      </c>
      <c r="CF1081" s="3">
        <v>43782</v>
      </c>
      <c r="CI1081">
        <v>1</v>
      </c>
      <c r="CJ1081">
        <v>1</v>
      </c>
      <c r="CK1081">
        <v>22</v>
      </c>
      <c r="CL1081" t="s">
        <v>89</v>
      </c>
    </row>
    <row r="1082" spans="1:90">
      <c r="A1082" t="s">
        <v>72</v>
      </c>
      <c r="B1082" t="s">
        <v>73</v>
      </c>
      <c r="C1082" t="s">
        <v>74</v>
      </c>
      <c r="E1082" t="str">
        <f>"FES1162722368"</f>
        <v>FES1162722368</v>
      </c>
      <c r="F1082" s="3">
        <v>43780</v>
      </c>
      <c r="G1082">
        <v>202005</v>
      </c>
      <c r="H1082" t="s">
        <v>75</v>
      </c>
      <c r="I1082" t="s">
        <v>76</v>
      </c>
      <c r="J1082" t="s">
        <v>77</v>
      </c>
      <c r="K1082" t="s">
        <v>78</v>
      </c>
      <c r="L1082" t="s">
        <v>90</v>
      </c>
      <c r="M1082" t="s">
        <v>91</v>
      </c>
      <c r="N1082" t="s">
        <v>190</v>
      </c>
      <c r="O1082" t="s">
        <v>82</v>
      </c>
      <c r="P1082" t="str">
        <f>"2170716574                    "</f>
        <v xml:space="preserve">2170716574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8.58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 s="4">
        <v>50.45</v>
      </c>
      <c r="BM1082" s="4">
        <v>7.57</v>
      </c>
      <c r="BN1082" s="4">
        <v>58.02</v>
      </c>
      <c r="BO1082" s="4">
        <v>58.02</v>
      </c>
      <c r="BQ1082" t="s">
        <v>109</v>
      </c>
      <c r="BR1082" t="s">
        <v>84</v>
      </c>
      <c r="BS1082" s="3">
        <v>43781</v>
      </c>
      <c r="BT1082" s="5">
        <v>0.40138888888888885</v>
      </c>
      <c r="BU1082" t="s">
        <v>1621</v>
      </c>
      <c r="BV1082" t="s">
        <v>86</v>
      </c>
      <c r="BY1082">
        <v>1200</v>
      </c>
      <c r="CA1082" t="s">
        <v>213</v>
      </c>
      <c r="CC1082" t="s">
        <v>91</v>
      </c>
      <c r="CD1082">
        <v>7441</v>
      </c>
      <c r="CE1082" t="s">
        <v>147</v>
      </c>
      <c r="CF1082" s="3">
        <v>43782</v>
      </c>
      <c r="CI1082">
        <v>1</v>
      </c>
      <c r="CJ1082">
        <v>1</v>
      </c>
      <c r="CK1082">
        <v>21</v>
      </c>
      <c r="CL1082" t="s">
        <v>89</v>
      </c>
    </row>
    <row r="1083" spans="1:90">
      <c r="A1083" t="s">
        <v>72</v>
      </c>
      <c r="B1083" t="s">
        <v>73</v>
      </c>
      <c r="C1083" t="s">
        <v>74</v>
      </c>
      <c r="E1083" t="str">
        <f>"FES1162722379"</f>
        <v>FES1162722379</v>
      </c>
      <c r="F1083" s="3">
        <v>43780</v>
      </c>
      <c r="G1083">
        <v>202005</v>
      </c>
      <c r="H1083" t="s">
        <v>75</v>
      </c>
      <c r="I1083" t="s">
        <v>76</v>
      </c>
      <c r="J1083" t="s">
        <v>77</v>
      </c>
      <c r="K1083" t="s">
        <v>78</v>
      </c>
      <c r="L1083" t="s">
        <v>75</v>
      </c>
      <c r="M1083" t="s">
        <v>76</v>
      </c>
      <c r="N1083" t="s">
        <v>989</v>
      </c>
      <c r="O1083" t="s">
        <v>82</v>
      </c>
      <c r="P1083" t="str">
        <f>"2170716583                    "</f>
        <v xml:space="preserve">2170716583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6.71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 s="4">
        <v>39.42</v>
      </c>
      <c r="BM1083" s="4">
        <v>5.91</v>
      </c>
      <c r="BN1083" s="4">
        <v>45.33</v>
      </c>
      <c r="BO1083" s="4">
        <v>45.33</v>
      </c>
      <c r="BQ1083" t="s">
        <v>121</v>
      </c>
      <c r="BR1083" t="s">
        <v>84</v>
      </c>
      <c r="BS1083" s="3">
        <v>43781</v>
      </c>
      <c r="BT1083" s="5">
        <v>0.33611111111111108</v>
      </c>
      <c r="BU1083" t="s">
        <v>1622</v>
      </c>
      <c r="BV1083" t="s">
        <v>86</v>
      </c>
      <c r="BY1083">
        <v>1200</v>
      </c>
      <c r="CA1083" t="s">
        <v>368</v>
      </c>
      <c r="CC1083" t="s">
        <v>76</v>
      </c>
      <c r="CD1083">
        <v>1600</v>
      </c>
      <c r="CE1083" t="s">
        <v>147</v>
      </c>
      <c r="CF1083" s="3">
        <v>43782</v>
      </c>
      <c r="CI1083">
        <v>1</v>
      </c>
      <c r="CJ1083">
        <v>1</v>
      </c>
      <c r="CK1083">
        <v>22</v>
      </c>
      <c r="CL1083" t="s">
        <v>89</v>
      </c>
    </row>
    <row r="1084" spans="1:90">
      <c r="A1084" t="s">
        <v>72</v>
      </c>
      <c r="B1084" t="s">
        <v>73</v>
      </c>
      <c r="C1084" t="s">
        <v>74</v>
      </c>
      <c r="E1084" t="str">
        <f>"FES1162722384"</f>
        <v>FES1162722384</v>
      </c>
      <c r="F1084" s="3">
        <v>43780</v>
      </c>
      <c r="G1084">
        <v>202005</v>
      </c>
      <c r="H1084" t="s">
        <v>75</v>
      </c>
      <c r="I1084" t="s">
        <v>76</v>
      </c>
      <c r="J1084" t="s">
        <v>77</v>
      </c>
      <c r="K1084" t="s">
        <v>78</v>
      </c>
      <c r="L1084" t="s">
        <v>90</v>
      </c>
      <c r="M1084" t="s">
        <v>91</v>
      </c>
      <c r="N1084" t="s">
        <v>1194</v>
      </c>
      <c r="O1084" t="s">
        <v>82</v>
      </c>
      <c r="P1084" t="str">
        <f>"2170716589                    "</f>
        <v xml:space="preserve">2170716589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8.58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 s="4">
        <v>50.45</v>
      </c>
      <c r="BM1084" s="4">
        <v>7.57</v>
      </c>
      <c r="BN1084" s="4">
        <v>58.02</v>
      </c>
      <c r="BO1084" s="4">
        <v>58.02</v>
      </c>
      <c r="BR1084" t="s">
        <v>84</v>
      </c>
      <c r="BS1084" s="3">
        <v>43781</v>
      </c>
      <c r="BT1084" s="5">
        <v>0.42569444444444443</v>
      </c>
      <c r="BU1084" t="s">
        <v>1618</v>
      </c>
      <c r="BV1084" t="s">
        <v>86</v>
      </c>
      <c r="BY1084">
        <v>1200</v>
      </c>
      <c r="CA1084" t="s">
        <v>1309</v>
      </c>
      <c r="CC1084" t="s">
        <v>91</v>
      </c>
      <c r="CD1084">
        <v>7580</v>
      </c>
      <c r="CE1084" t="s">
        <v>147</v>
      </c>
      <c r="CF1084" s="3">
        <v>43782</v>
      </c>
      <c r="CI1084">
        <v>1</v>
      </c>
      <c r="CJ1084">
        <v>1</v>
      </c>
      <c r="CK1084">
        <v>21</v>
      </c>
      <c r="CL1084" t="s">
        <v>89</v>
      </c>
    </row>
    <row r="1085" spans="1:90">
      <c r="A1085" t="s">
        <v>72</v>
      </c>
      <c r="B1085" t="s">
        <v>73</v>
      </c>
      <c r="C1085" t="s">
        <v>74</v>
      </c>
      <c r="E1085" t="str">
        <f>"FES1162722169"</f>
        <v>FES1162722169</v>
      </c>
      <c r="F1085" s="3">
        <v>43780</v>
      </c>
      <c r="G1085">
        <v>202005</v>
      </c>
      <c r="H1085" t="s">
        <v>75</v>
      </c>
      <c r="I1085" t="s">
        <v>76</v>
      </c>
      <c r="J1085" t="s">
        <v>77</v>
      </c>
      <c r="K1085" t="s">
        <v>78</v>
      </c>
      <c r="L1085" t="s">
        <v>79</v>
      </c>
      <c r="M1085" t="s">
        <v>80</v>
      </c>
      <c r="N1085" t="s">
        <v>511</v>
      </c>
      <c r="O1085" t="s">
        <v>82</v>
      </c>
      <c r="P1085" t="str">
        <f>"2170711479                    "</f>
        <v xml:space="preserve">2170711479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8.58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 s="4">
        <v>50.45</v>
      </c>
      <c r="BM1085" s="4">
        <v>7.57</v>
      </c>
      <c r="BN1085" s="4">
        <v>58.02</v>
      </c>
      <c r="BO1085" s="4">
        <v>58.02</v>
      </c>
      <c r="BQ1085" t="s">
        <v>109</v>
      </c>
      <c r="BR1085" t="s">
        <v>84</v>
      </c>
      <c r="BS1085" s="3">
        <v>43781</v>
      </c>
      <c r="BT1085" s="5">
        <v>0.42569444444444443</v>
      </c>
      <c r="BU1085" t="s">
        <v>1623</v>
      </c>
      <c r="BV1085" t="s">
        <v>86</v>
      </c>
      <c r="BY1085">
        <v>1200</v>
      </c>
      <c r="CA1085" t="s">
        <v>854</v>
      </c>
      <c r="CC1085" t="s">
        <v>80</v>
      </c>
      <c r="CD1085">
        <v>6229</v>
      </c>
      <c r="CE1085" t="s">
        <v>147</v>
      </c>
      <c r="CI1085">
        <v>1</v>
      </c>
      <c r="CJ1085">
        <v>1</v>
      </c>
      <c r="CK1085">
        <v>21</v>
      </c>
      <c r="CL1085" t="s">
        <v>89</v>
      </c>
    </row>
    <row r="1086" spans="1:90">
      <c r="A1086" t="s">
        <v>72</v>
      </c>
      <c r="B1086" t="s">
        <v>73</v>
      </c>
      <c r="C1086" t="s">
        <v>74</v>
      </c>
      <c r="E1086" t="str">
        <f>"FES1162722349"</f>
        <v>FES1162722349</v>
      </c>
      <c r="F1086" s="3">
        <v>43780</v>
      </c>
      <c r="G1086">
        <v>202005</v>
      </c>
      <c r="H1086" t="s">
        <v>75</v>
      </c>
      <c r="I1086" t="s">
        <v>76</v>
      </c>
      <c r="J1086" t="s">
        <v>77</v>
      </c>
      <c r="K1086" t="s">
        <v>78</v>
      </c>
      <c r="L1086" t="s">
        <v>106</v>
      </c>
      <c r="M1086" t="s">
        <v>107</v>
      </c>
      <c r="N1086" t="s">
        <v>242</v>
      </c>
      <c r="O1086" t="s">
        <v>82</v>
      </c>
      <c r="P1086" t="str">
        <f>"2170712521                    "</f>
        <v xml:space="preserve">2170712521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17.16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4</v>
      </c>
      <c r="BJ1086">
        <v>1.9</v>
      </c>
      <c r="BK1086">
        <v>4</v>
      </c>
      <c r="BL1086" s="4">
        <v>100.87</v>
      </c>
      <c r="BM1086" s="4">
        <v>15.13</v>
      </c>
      <c r="BN1086" s="4">
        <v>116</v>
      </c>
      <c r="BO1086" s="4">
        <v>116</v>
      </c>
      <c r="BQ1086" t="s">
        <v>109</v>
      </c>
      <c r="BR1086" t="s">
        <v>84</v>
      </c>
      <c r="BS1086" s="3">
        <v>43781</v>
      </c>
      <c r="BT1086" s="5">
        <v>0.38819444444444445</v>
      </c>
      <c r="BU1086" t="s">
        <v>382</v>
      </c>
      <c r="BV1086" t="s">
        <v>86</v>
      </c>
      <c r="BY1086">
        <v>9503.64</v>
      </c>
      <c r="CA1086" t="s">
        <v>244</v>
      </c>
      <c r="CC1086" t="s">
        <v>107</v>
      </c>
      <c r="CD1086">
        <v>6001</v>
      </c>
      <c r="CE1086" t="s">
        <v>1598</v>
      </c>
      <c r="CF1086" s="3">
        <v>43782</v>
      </c>
      <c r="CI1086">
        <v>1</v>
      </c>
      <c r="CJ1086">
        <v>1</v>
      </c>
      <c r="CK1086">
        <v>21</v>
      </c>
      <c r="CL1086" t="s">
        <v>89</v>
      </c>
    </row>
    <row r="1087" spans="1:90">
      <c r="A1087" t="s">
        <v>72</v>
      </c>
      <c r="B1087" t="s">
        <v>73</v>
      </c>
      <c r="C1087" t="s">
        <v>74</v>
      </c>
      <c r="E1087" t="str">
        <f>"FES1162722413"</f>
        <v>FES1162722413</v>
      </c>
      <c r="F1087" s="3">
        <v>43780</v>
      </c>
      <c r="G1087">
        <v>202005</v>
      </c>
      <c r="H1087" t="s">
        <v>75</v>
      </c>
      <c r="I1087" t="s">
        <v>76</v>
      </c>
      <c r="J1087" t="s">
        <v>77</v>
      </c>
      <c r="K1087" t="s">
        <v>78</v>
      </c>
      <c r="L1087" t="s">
        <v>101</v>
      </c>
      <c r="M1087" t="s">
        <v>102</v>
      </c>
      <c r="N1087" t="s">
        <v>923</v>
      </c>
      <c r="O1087" t="s">
        <v>82</v>
      </c>
      <c r="P1087" t="str">
        <f>"2170716622                    "</f>
        <v xml:space="preserve">2170716622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8.58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 s="4">
        <v>50.45</v>
      </c>
      <c r="BM1087" s="4">
        <v>7.57</v>
      </c>
      <c r="BN1087" s="4">
        <v>58.02</v>
      </c>
      <c r="BO1087" s="4">
        <v>58.02</v>
      </c>
      <c r="BQ1087" t="s">
        <v>109</v>
      </c>
      <c r="BR1087" t="s">
        <v>84</v>
      </c>
      <c r="BS1087" s="3">
        <v>43781</v>
      </c>
      <c r="BT1087" s="5">
        <v>0.51041666666666663</v>
      </c>
      <c r="BU1087" t="s">
        <v>1624</v>
      </c>
      <c r="BV1087" t="s">
        <v>89</v>
      </c>
      <c r="BY1087">
        <v>1200</v>
      </c>
      <c r="CC1087" t="s">
        <v>102</v>
      </c>
      <c r="CD1087">
        <v>2</v>
      </c>
      <c r="CE1087" t="s">
        <v>147</v>
      </c>
      <c r="CF1087" s="3">
        <v>43782</v>
      </c>
      <c r="CI1087">
        <v>1</v>
      </c>
      <c r="CJ1087">
        <v>1</v>
      </c>
      <c r="CK1087">
        <v>21</v>
      </c>
      <c r="CL1087" t="s">
        <v>89</v>
      </c>
    </row>
    <row r="1088" spans="1:90">
      <c r="A1088" t="s">
        <v>72</v>
      </c>
      <c r="B1088" t="s">
        <v>73</v>
      </c>
      <c r="C1088" t="s">
        <v>74</v>
      </c>
      <c r="E1088" t="str">
        <f>"FES1162722183"</f>
        <v>FES1162722183</v>
      </c>
      <c r="F1088" s="3">
        <v>43780</v>
      </c>
      <c r="G1088">
        <v>202005</v>
      </c>
      <c r="H1088" t="s">
        <v>75</v>
      </c>
      <c r="I1088" t="s">
        <v>76</v>
      </c>
      <c r="J1088" t="s">
        <v>77</v>
      </c>
      <c r="K1088" t="s">
        <v>78</v>
      </c>
      <c r="L1088" t="s">
        <v>79</v>
      </c>
      <c r="M1088" t="s">
        <v>80</v>
      </c>
      <c r="N1088" t="s">
        <v>1625</v>
      </c>
      <c r="O1088" t="s">
        <v>82</v>
      </c>
      <c r="P1088" t="str">
        <f>"2170716397                    "</f>
        <v xml:space="preserve">2170716397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8.58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 s="4">
        <v>50.45</v>
      </c>
      <c r="BM1088" s="4">
        <v>7.57</v>
      </c>
      <c r="BN1088" s="4">
        <v>58.02</v>
      </c>
      <c r="BO1088" s="4">
        <v>58.02</v>
      </c>
      <c r="BQ1088" t="s">
        <v>121</v>
      </c>
      <c r="BR1088" t="s">
        <v>84</v>
      </c>
      <c r="BS1088" s="3">
        <v>43781</v>
      </c>
      <c r="BT1088" s="5">
        <v>0.3263888888888889</v>
      </c>
      <c r="BU1088" t="s">
        <v>1626</v>
      </c>
      <c r="BV1088" t="s">
        <v>86</v>
      </c>
      <c r="BY1088">
        <v>1200</v>
      </c>
      <c r="CA1088" t="s">
        <v>87</v>
      </c>
      <c r="CC1088" t="s">
        <v>80</v>
      </c>
      <c r="CD1088">
        <v>6229</v>
      </c>
      <c r="CE1088" t="s">
        <v>147</v>
      </c>
      <c r="CF1088" s="3">
        <v>43782</v>
      </c>
      <c r="CI1088">
        <v>1</v>
      </c>
      <c r="CJ1088">
        <v>1</v>
      </c>
      <c r="CK1088">
        <v>21</v>
      </c>
      <c r="CL1088" t="s">
        <v>89</v>
      </c>
    </row>
    <row r="1089" spans="1:90">
      <c r="A1089" t="s">
        <v>72</v>
      </c>
      <c r="B1089" t="s">
        <v>73</v>
      </c>
      <c r="C1089" t="s">
        <v>74</v>
      </c>
      <c r="E1089" t="str">
        <f>"FES1162722193"</f>
        <v>FES1162722193</v>
      </c>
      <c r="F1089" s="3">
        <v>43780</v>
      </c>
      <c r="G1089">
        <v>202005</v>
      </c>
      <c r="H1089" t="s">
        <v>75</v>
      </c>
      <c r="I1089" t="s">
        <v>76</v>
      </c>
      <c r="J1089" t="s">
        <v>77</v>
      </c>
      <c r="K1089" t="s">
        <v>78</v>
      </c>
      <c r="L1089" t="s">
        <v>133</v>
      </c>
      <c r="M1089" t="s">
        <v>134</v>
      </c>
      <c r="N1089" t="s">
        <v>310</v>
      </c>
      <c r="O1089" t="s">
        <v>82</v>
      </c>
      <c r="P1089" t="str">
        <f>"2170716427                    "</f>
        <v xml:space="preserve">2170716427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8.58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 s="4">
        <v>50.45</v>
      </c>
      <c r="BM1089" s="4">
        <v>7.57</v>
      </c>
      <c r="BN1089" s="4">
        <v>58.02</v>
      </c>
      <c r="BO1089" s="4">
        <v>58.02</v>
      </c>
      <c r="BQ1089" t="s">
        <v>121</v>
      </c>
      <c r="BR1089" t="s">
        <v>84</v>
      </c>
      <c r="BS1089" s="3">
        <v>43781</v>
      </c>
      <c r="BT1089" s="5">
        <v>0.43402777777777773</v>
      </c>
      <c r="BU1089" t="s">
        <v>1126</v>
      </c>
      <c r="BV1089" t="s">
        <v>86</v>
      </c>
      <c r="BY1089">
        <v>1200</v>
      </c>
      <c r="CA1089" t="s">
        <v>137</v>
      </c>
      <c r="CC1089" t="s">
        <v>134</v>
      </c>
      <c r="CD1089">
        <v>5201</v>
      </c>
      <c r="CE1089" t="s">
        <v>147</v>
      </c>
      <c r="CF1089" s="3">
        <v>43787</v>
      </c>
      <c r="CI1089">
        <v>1</v>
      </c>
      <c r="CJ1089">
        <v>1</v>
      </c>
      <c r="CK1089">
        <v>21</v>
      </c>
      <c r="CL1089" t="s">
        <v>89</v>
      </c>
    </row>
    <row r="1090" spans="1:90">
      <c r="A1090" t="s">
        <v>72</v>
      </c>
      <c r="B1090" t="s">
        <v>73</v>
      </c>
      <c r="C1090" t="s">
        <v>74</v>
      </c>
      <c r="E1090" t="str">
        <f>"FES1162722419"</f>
        <v>FES1162722419</v>
      </c>
      <c r="F1090" s="3">
        <v>43780</v>
      </c>
      <c r="G1090">
        <v>202005</v>
      </c>
      <c r="H1090" t="s">
        <v>75</v>
      </c>
      <c r="I1090" t="s">
        <v>76</v>
      </c>
      <c r="J1090" t="s">
        <v>77</v>
      </c>
      <c r="K1090" t="s">
        <v>78</v>
      </c>
      <c r="L1090" t="s">
        <v>90</v>
      </c>
      <c r="M1090" t="s">
        <v>91</v>
      </c>
      <c r="N1090" t="s">
        <v>533</v>
      </c>
      <c r="O1090" t="s">
        <v>82</v>
      </c>
      <c r="P1090" t="str">
        <f>"2170716629                    "</f>
        <v xml:space="preserve">2170716629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8.58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 s="4">
        <v>50.45</v>
      </c>
      <c r="BM1090" s="4">
        <v>7.57</v>
      </c>
      <c r="BN1090" s="4">
        <v>58.02</v>
      </c>
      <c r="BO1090" s="4">
        <v>58.02</v>
      </c>
      <c r="BQ1090" t="s">
        <v>161</v>
      </c>
      <c r="BR1090" t="s">
        <v>84</v>
      </c>
      <c r="BS1090" s="3">
        <v>43781</v>
      </c>
      <c r="BT1090" s="5">
        <v>0.37222222222222223</v>
      </c>
      <c r="BU1090" t="s">
        <v>534</v>
      </c>
      <c r="BV1090" t="s">
        <v>86</v>
      </c>
      <c r="BY1090">
        <v>1200</v>
      </c>
      <c r="CA1090" t="s">
        <v>323</v>
      </c>
      <c r="CC1090" t="s">
        <v>91</v>
      </c>
      <c r="CD1090">
        <v>7460</v>
      </c>
      <c r="CE1090" t="s">
        <v>147</v>
      </c>
      <c r="CF1090" s="3">
        <v>43782</v>
      </c>
      <c r="CI1090">
        <v>1</v>
      </c>
      <c r="CJ1090">
        <v>1</v>
      </c>
      <c r="CK1090">
        <v>21</v>
      </c>
      <c r="CL1090" t="s">
        <v>89</v>
      </c>
    </row>
    <row r="1091" spans="1:90">
      <c r="A1091" t="s">
        <v>72</v>
      </c>
      <c r="B1091" t="s">
        <v>73</v>
      </c>
      <c r="C1091" t="s">
        <v>74</v>
      </c>
      <c r="E1091" t="str">
        <f>"FES1162722161"</f>
        <v>FES1162722161</v>
      </c>
      <c r="F1091" s="3">
        <v>43780</v>
      </c>
      <c r="G1091">
        <v>202005</v>
      </c>
      <c r="H1091" t="s">
        <v>75</v>
      </c>
      <c r="I1091" t="s">
        <v>76</v>
      </c>
      <c r="J1091" t="s">
        <v>77</v>
      </c>
      <c r="K1091" t="s">
        <v>78</v>
      </c>
      <c r="L1091" t="s">
        <v>95</v>
      </c>
      <c r="M1091" t="s">
        <v>96</v>
      </c>
      <c r="N1091" t="s">
        <v>1627</v>
      </c>
      <c r="O1091" t="s">
        <v>82</v>
      </c>
      <c r="P1091" t="str">
        <f>"2170716383                    "</f>
        <v xml:space="preserve">2170716383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9.1199999999999992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2.2000000000000002</v>
      </c>
      <c r="BJ1091">
        <v>3.1</v>
      </c>
      <c r="BK1091">
        <v>3.5</v>
      </c>
      <c r="BL1091" s="4">
        <v>53.59</v>
      </c>
      <c r="BM1091" s="4">
        <v>8.0399999999999991</v>
      </c>
      <c r="BN1091" s="4">
        <v>61.63</v>
      </c>
      <c r="BO1091" s="4">
        <v>61.63</v>
      </c>
      <c r="BR1091" t="s">
        <v>84</v>
      </c>
      <c r="BS1091" s="3">
        <v>43781</v>
      </c>
      <c r="BT1091" s="5">
        <v>0.3263888888888889</v>
      </c>
      <c r="BU1091" t="s">
        <v>1541</v>
      </c>
      <c r="BV1091" t="s">
        <v>86</v>
      </c>
      <c r="BY1091">
        <v>15411.89</v>
      </c>
      <c r="CA1091" t="s">
        <v>100</v>
      </c>
      <c r="CC1091" t="s">
        <v>96</v>
      </c>
      <c r="CD1091">
        <v>1456</v>
      </c>
      <c r="CE1091" t="s">
        <v>88</v>
      </c>
      <c r="CF1091" s="3">
        <v>43782</v>
      </c>
      <c r="CI1091">
        <v>1</v>
      </c>
      <c r="CJ1091">
        <v>1</v>
      </c>
      <c r="CK1091">
        <v>22</v>
      </c>
      <c r="CL1091" t="s">
        <v>89</v>
      </c>
    </row>
    <row r="1092" spans="1:90">
      <c r="A1092" t="s">
        <v>72</v>
      </c>
      <c r="B1092" t="s">
        <v>73</v>
      </c>
      <c r="C1092" t="s">
        <v>74</v>
      </c>
      <c r="E1092" t="str">
        <f>"FES1162722177"</f>
        <v>FES1162722177</v>
      </c>
      <c r="F1092" s="3">
        <v>43780</v>
      </c>
      <c r="G1092">
        <v>202005</v>
      </c>
      <c r="H1092" t="s">
        <v>75</v>
      </c>
      <c r="I1092" t="s">
        <v>76</v>
      </c>
      <c r="J1092" t="s">
        <v>77</v>
      </c>
      <c r="K1092" t="s">
        <v>78</v>
      </c>
      <c r="L1092" t="s">
        <v>133</v>
      </c>
      <c r="M1092" t="s">
        <v>134</v>
      </c>
      <c r="N1092" t="s">
        <v>1628</v>
      </c>
      <c r="O1092" t="s">
        <v>82</v>
      </c>
      <c r="P1092" t="str">
        <f>"2170716047                    "</f>
        <v xml:space="preserve">2170716047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10.73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2.2999999999999998</v>
      </c>
      <c r="BJ1092">
        <v>1.6</v>
      </c>
      <c r="BK1092">
        <v>2.5</v>
      </c>
      <c r="BL1092" s="4">
        <v>63.06</v>
      </c>
      <c r="BM1092" s="4">
        <v>9.4600000000000009</v>
      </c>
      <c r="BN1092" s="4">
        <v>72.52</v>
      </c>
      <c r="BO1092" s="4">
        <v>72.52</v>
      </c>
      <c r="BQ1092" t="s">
        <v>187</v>
      </c>
      <c r="BR1092" t="s">
        <v>84</v>
      </c>
      <c r="BS1092" s="3">
        <v>43781</v>
      </c>
      <c r="BT1092" s="5">
        <v>0.42291666666666666</v>
      </c>
      <c r="BU1092" t="s">
        <v>1629</v>
      </c>
      <c r="BV1092" t="s">
        <v>86</v>
      </c>
      <c r="BY1092">
        <v>7755.02</v>
      </c>
      <c r="CA1092" t="s">
        <v>698</v>
      </c>
      <c r="CC1092" t="s">
        <v>134</v>
      </c>
      <c r="CD1092">
        <v>5201</v>
      </c>
      <c r="CE1092" t="s">
        <v>88</v>
      </c>
      <c r="CF1092" s="3">
        <v>43787</v>
      </c>
      <c r="CI1092">
        <v>1</v>
      </c>
      <c r="CJ1092">
        <v>1</v>
      </c>
      <c r="CK1092">
        <v>21</v>
      </c>
      <c r="CL1092" t="s">
        <v>89</v>
      </c>
    </row>
    <row r="1093" spans="1:90">
      <c r="A1093" t="s">
        <v>72</v>
      </c>
      <c r="B1093" t="s">
        <v>73</v>
      </c>
      <c r="C1093" t="s">
        <v>74</v>
      </c>
      <c r="E1093" t="str">
        <f>"009935723059"</f>
        <v>009935723059</v>
      </c>
      <c r="F1093" s="3">
        <v>43780</v>
      </c>
      <c r="G1093">
        <v>202005</v>
      </c>
      <c r="H1093" t="s">
        <v>75</v>
      </c>
      <c r="I1093" t="s">
        <v>76</v>
      </c>
      <c r="J1093" t="s">
        <v>77</v>
      </c>
      <c r="K1093" t="s">
        <v>78</v>
      </c>
      <c r="L1093" t="s">
        <v>90</v>
      </c>
      <c r="M1093" t="s">
        <v>91</v>
      </c>
      <c r="N1093" t="s">
        <v>393</v>
      </c>
      <c r="O1093" t="s">
        <v>82</v>
      </c>
      <c r="P1093" t="str">
        <f>"2170741111                    "</f>
        <v xml:space="preserve">2170741111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38.6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2.8</v>
      </c>
      <c r="BJ1093">
        <v>8.6999999999999993</v>
      </c>
      <c r="BK1093">
        <v>9</v>
      </c>
      <c r="BL1093" s="4">
        <v>226.91</v>
      </c>
      <c r="BM1093" s="4">
        <v>34.04</v>
      </c>
      <c r="BN1093" s="4">
        <v>260.95</v>
      </c>
      <c r="BO1093" s="4">
        <v>260.95</v>
      </c>
      <c r="BQ1093" t="s">
        <v>1630</v>
      </c>
      <c r="BR1093" t="s">
        <v>84</v>
      </c>
      <c r="BS1093" s="3">
        <v>43781</v>
      </c>
      <c r="BT1093" s="5">
        <v>0.42777777777777781</v>
      </c>
      <c r="BU1093" t="s">
        <v>1631</v>
      </c>
      <c r="BV1093" t="s">
        <v>86</v>
      </c>
      <c r="BY1093">
        <v>43692.21</v>
      </c>
      <c r="CA1093" t="s">
        <v>221</v>
      </c>
      <c r="CC1093" t="s">
        <v>91</v>
      </c>
      <c r="CD1093">
        <v>7405</v>
      </c>
      <c r="CE1093" t="s">
        <v>147</v>
      </c>
      <c r="CF1093" s="3">
        <v>43782</v>
      </c>
      <c r="CI1093">
        <v>1</v>
      </c>
      <c r="CJ1093">
        <v>1</v>
      </c>
      <c r="CK1093">
        <v>21</v>
      </c>
      <c r="CL1093" t="s">
        <v>89</v>
      </c>
    </row>
    <row r="1094" spans="1:90">
      <c r="A1094" t="s">
        <v>72</v>
      </c>
      <c r="B1094" t="s">
        <v>73</v>
      </c>
      <c r="C1094" t="s">
        <v>74</v>
      </c>
      <c r="E1094" t="str">
        <f>"FES1162722400"</f>
        <v>FES1162722400</v>
      </c>
      <c r="F1094" s="3">
        <v>43780</v>
      </c>
      <c r="G1094">
        <v>202005</v>
      </c>
      <c r="H1094" t="s">
        <v>75</v>
      </c>
      <c r="I1094" t="s">
        <v>76</v>
      </c>
      <c r="J1094" t="s">
        <v>77</v>
      </c>
      <c r="K1094" t="s">
        <v>78</v>
      </c>
      <c r="L1094" t="s">
        <v>90</v>
      </c>
      <c r="M1094" t="s">
        <v>91</v>
      </c>
      <c r="N1094" t="s">
        <v>1632</v>
      </c>
      <c r="O1094" t="s">
        <v>82</v>
      </c>
      <c r="P1094" t="str">
        <f>"2170716612                    "</f>
        <v xml:space="preserve">2170716612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10.73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2.1</v>
      </c>
      <c r="BJ1094">
        <v>1.5</v>
      </c>
      <c r="BK1094">
        <v>2.5</v>
      </c>
      <c r="BL1094" s="4">
        <v>63.06</v>
      </c>
      <c r="BM1094" s="4">
        <v>9.4600000000000009</v>
      </c>
      <c r="BN1094" s="4">
        <v>72.52</v>
      </c>
      <c r="BO1094" s="4">
        <v>72.52</v>
      </c>
      <c r="BQ1094" t="s">
        <v>109</v>
      </c>
      <c r="BR1094" t="s">
        <v>84</v>
      </c>
      <c r="BS1094" s="3">
        <v>43781</v>
      </c>
      <c r="BT1094" s="5">
        <v>0.39583333333333331</v>
      </c>
      <c r="BU1094" t="s">
        <v>1633</v>
      </c>
      <c r="BV1094" t="s">
        <v>86</v>
      </c>
      <c r="BY1094">
        <v>7573.5</v>
      </c>
      <c r="CA1094" t="s">
        <v>323</v>
      </c>
      <c r="CC1094" t="s">
        <v>91</v>
      </c>
      <c r="CD1094">
        <v>7460</v>
      </c>
      <c r="CE1094" t="s">
        <v>88</v>
      </c>
      <c r="CF1094" s="3">
        <v>43782</v>
      </c>
      <c r="CI1094">
        <v>1</v>
      </c>
      <c r="CJ1094">
        <v>1</v>
      </c>
      <c r="CK1094">
        <v>21</v>
      </c>
      <c r="CL1094" t="s">
        <v>89</v>
      </c>
    </row>
    <row r="1095" spans="1:90">
      <c r="A1095" t="s">
        <v>72</v>
      </c>
      <c r="B1095" t="s">
        <v>73</v>
      </c>
      <c r="C1095" t="s">
        <v>74</v>
      </c>
      <c r="E1095" t="str">
        <f>"FES1162722328"</f>
        <v>FES1162722328</v>
      </c>
      <c r="F1095" s="3">
        <v>43780</v>
      </c>
      <c r="G1095">
        <v>202005</v>
      </c>
      <c r="H1095" t="s">
        <v>75</v>
      </c>
      <c r="I1095" t="s">
        <v>76</v>
      </c>
      <c r="J1095" t="s">
        <v>77</v>
      </c>
      <c r="K1095" t="s">
        <v>78</v>
      </c>
      <c r="L1095" t="s">
        <v>133</v>
      </c>
      <c r="M1095" t="s">
        <v>134</v>
      </c>
      <c r="N1095" t="s">
        <v>310</v>
      </c>
      <c r="O1095" t="s">
        <v>82</v>
      </c>
      <c r="P1095" t="str">
        <f>"2170715904                    "</f>
        <v xml:space="preserve">2170715904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25.74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6</v>
      </c>
      <c r="BJ1095">
        <v>0.5</v>
      </c>
      <c r="BK1095">
        <v>6</v>
      </c>
      <c r="BL1095" s="4">
        <v>151.29</v>
      </c>
      <c r="BM1095" s="4">
        <v>22.69</v>
      </c>
      <c r="BN1095" s="4">
        <v>173.98</v>
      </c>
      <c r="BO1095" s="4">
        <v>173.98</v>
      </c>
      <c r="BQ1095" t="s">
        <v>121</v>
      </c>
      <c r="BR1095" t="s">
        <v>84</v>
      </c>
      <c r="BS1095" s="3">
        <v>43781</v>
      </c>
      <c r="BT1095" s="5">
        <v>0.43402777777777773</v>
      </c>
      <c r="BU1095" t="s">
        <v>1126</v>
      </c>
      <c r="BV1095" t="s">
        <v>86</v>
      </c>
      <c r="BY1095">
        <v>2303</v>
      </c>
      <c r="CA1095" t="s">
        <v>137</v>
      </c>
      <c r="CC1095" t="s">
        <v>134</v>
      </c>
      <c r="CD1095">
        <v>5201</v>
      </c>
      <c r="CE1095" t="s">
        <v>1598</v>
      </c>
      <c r="CF1095" s="3">
        <v>43787</v>
      </c>
      <c r="CI1095">
        <v>1</v>
      </c>
      <c r="CJ1095">
        <v>1</v>
      </c>
      <c r="CK1095">
        <v>21</v>
      </c>
      <c r="CL1095" t="s">
        <v>89</v>
      </c>
    </row>
    <row r="1096" spans="1:90">
      <c r="A1096" t="s">
        <v>72</v>
      </c>
      <c r="B1096" t="s">
        <v>73</v>
      </c>
      <c r="C1096" t="s">
        <v>74</v>
      </c>
      <c r="E1096" t="str">
        <f>"FES1162722247"</f>
        <v>FES1162722247</v>
      </c>
      <c r="F1096" s="3">
        <v>43780</v>
      </c>
      <c r="G1096">
        <v>202005</v>
      </c>
      <c r="H1096" t="s">
        <v>75</v>
      </c>
      <c r="I1096" t="s">
        <v>76</v>
      </c>
      <c r="J1096" t="s">
        <v>77</v>
      </c>
      <c r="K1096" t="s">
        <v>78</v>
      </c>
      <c r="L1096" t="s">
        <v>106</v>
      </c>
      <c r="M1096" t="s">
        <v>107</v>
      </c>
      <c r="N1096" t="s">
        <v>1311</v>
      </c>
      <c r="O1096" t="s">
        <v>82</v>
      </c>
      <c r="P1096" t="str">
        <f>"2170713381                    "</f>
        <v xml:space="preserve">2170713381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23.59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5.4</v>
      </c>
      <c r="BJ1096">
        <v>5</v>
      </c>
      <c r="BK1096">
        <v>5.5</v>
      </c>
      <c r="BL1096" s="4">
        <v>138.68</v>
      </c>
      <c r="BM1096" s="4">
        <v>20.8</v>
      </c>
      <c r="BN1096" s="4">
        <v>159.47999999999999</v>
      </c>
      <c r="BO1096" s="4">
        <v>159.47999999999999</v>
      </c>
      <c r="BQ1096" t="s">
        <v>109</v>
      </c>
      <c r="BR1096" t="s">
        <v>84</v>
      </c>
      <c r="BS1096" s="3">
        <v>43781</v>
      </c>
      <c r="BT1096" s="5">
        <v>0.37361111111111112</v>
      </c>
      <c r="BU1096" t="s">
        <v>1634</v>
      </c>
      <c r="BV1096" t="s">
        <v>86</v>
      </c>
      <c r="BY1096">
        <v>25137.68</v>
      </c>
      <c r="CA1096" t="s">
        <v>773</v>
      </c>
      <c r="CC1096" t="s">
        <v>107</v>
      </c>
      <c r="CD1096">
        <v>6001</v>
      </c>
      <c r="CE1096" t="s">
        <v>88</v>
      </c>
      <c r="CF1096" s="3">
        <v>43782</v>
      </c>
      <c r="CI1096">
        <v>1</v>
      </c>
      <c r="CJ1096">
        <v>1</v>
      </c>
      <c r="CK1096">
        <v>21</v>
      </c>
      <c r="CL1096" t="s">
        <v>89</v>
      </c>
    </row>
    <row r="1097" spans="1:90">
      <c r="A1097" t="s">
        <v>72</v>
      </c>
      <c r="B1097" t="s">
        <v>73</v>
      </c>
      <c r="C1097" t="s">
        <v>74</v>
      </c>
      <c r="E1097" t="str">
        <f>"FES1162722239"</f>
        <v>FES1162722239</v>
      </c>
      <c r="F1097" s="3">
        <v>43780</v>
      </c>
      <c r="G1097">
        <v>202005</v>
      </c>
      <c r="H1097" t="s">
        <v>75</v>
      </c>
      <c r="I1097" t="s">
        <v>76</v>
      </c>
      <c r="J1097" t="s">
        <v>77</v>
      </c>
      <c r="K1097" t="s">
        <v>78</v>
      </c>
      <c r="L1097" t="s">
        <v>133</v>
      </c>
      <c r="M1097" t="s">
        <v>134</v>
      </c>
      <c r="N1097" t="s">
        <v>1635</v>
      </c>
      <c r="O1097" t="s">
        <v>82</v>
      </c>
      <c r="P1097" t="str">
        <f>"217071156                     "</f>
        <v xml:space="preserve">217071156 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8.58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1.6</v>
      </c>
      <c r="BJ1097">
        <v>1.1000000000000001</v>
      </c>
      <c r="BK1097">
        <v>2</v>
      </c>
      <c r="BL1097" s="4">
        <v>50.45</v>
      </c>
      <c r="BM1097" s="4">
        <v>7.57</v>
      </c>
      <c r="BN1097" s="4">
        <v>58.02</v>
      </c>
      <c r="BO1097" s="4">
        <v>58.02</v>
      </c>
      <c r="BQ1097" t="s">
        <v>121</v>
      </c>
      <c r="BR1097" t="s">
        <v>84</v>
      </c>
      <c r="BS1097" s="3">
        <v>43781</v>
      </c>
      <c r="BT1097" s="5">
        <v>0.43402777777777773</v>
      </c>
      <c r="BU1097" t="s">
        <v>1636</v>
      </c>
      <c r="BV1097" t="s">
        <v>86</v>
      </c>
      <c r="BY1097">
        <v>5476.19</v>
      </c>
      <c r="CA1097" t="s">
        <v>698</v>
      </c>
      <c r="CC1097" t="s">
        <v>134</v>
      </c>
      <c r="CD1097">
        <v>5201</v>
      </c>
      <c r="CE1097" t="s">
        <v>88</v>
      </c>
      <c r="CF1097" s="3">
        <v>43787</v>
      </c>
      <c r="CI1097">
        <v>1</v>
      </c>
      <c r="CJ1097">
        <v>1</v>
      </c>
      <c r="CK1097">
        <v>21</v>
      </c>
      <c r="CL1097" t="s">
        <v>89</v>
      </c>
    </row>
    <row r="1098" spans="1:90">
      <c r="A1098" t="s">
        <v>72</v>
      </c>
      <c r="B1098" t="s">
        <v>73</v>
      </c>
      <c r="C1098" t="s">
        <v>74</v>
      </c>
      <c r="E1098" t="str">
        <f>"FES1162722243"</f>
        <v>FES1162722243</v>
      </c>
      <c r="F1098" s="3">
        <v>43780</v>
      </c>
      <c r="G1098">
        <v>202005</v>
      </c>
      <c r="H1098" t="s">
        <v>75</v>
      </c>
      <c r="I1098" t="s">
        <v>76</v>
      </c>
      <c r="J1098" t="s">
        <v>77</v>
      </c>
      <c r="K1098" t="s">
        <v>78</v>
      </c>
      <c r="L1098" t="s">
        <v>106</v>
      </c>
      <c r="M1098" t="s">
        <v>107</v>
      </c>
      <c r="N1098" t="s">
        <v>1637</v>
      </c>
      <c r="O1098" t="s">
        <v>82</v>
      </c>
      <c r="P1098" t="str">
        <f>"2170712554                    "</f>
        <v xml:space="preserve">2170712554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8.58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1.2</v>
      </c>
      <c r="BJ1098">
        <v>1.2</v>
      </c>
      <c r="BK1098">
        <v>1.5</v>
      </c>
      <c r="BL1098" s="4">
        <v>50.45</v>
      </c>
      <c r="BM1098" s="4">
        <v>7.57</v>
      </c>
      <c r="BN1098" s="4">
        <v>58.02</v>
      </c>
      <c r="BO1098" s="4">
        <v>58.02</v>
      </c>
      <c r="BR1098" t="s">
        <v>84</v>
      </c>
      <c r="BS1098" s="3">
        <v>43781</v>
      </c>
      <c r="BT1098" s="5">
        <v>0.42291666666666666</v>
      </c>
      <c r="BU1098" t="s">
        <v>1638</v>
      </c>
      <c r="BV1098" t="s">
        <v>86</v>
      </c>
      <c r="BY1098">
        <v>5823.68</v>
      </c>
      <c r="CA1098" t="s">
        <v>773</v>
      </c>
      <c r="CC1098" t="s">
        <v>107</v>
      </c>
      <c r="CD1098">
        <v>6210</v>
      </c>
      <c r="CE1098" t="s">
        <v>88</v>
      </c>
      <c r="CF1098" s="3">
        <v>43782</v>
      </c>
      <c r="CI1098">
        <v>1</v>
      </c>
      <c r="CJ1098">
        <v>1</v>
      </c>
      <c r="CK1098">
        <v>21</v>
      </c>
      <c r="CL1098" t="s">
        <v>89</v>
      </c>
    </row>
    <row r="1099" spans="1:90">
      <c r="A1099" t="s">
        <v>72</v>
      </c>
      <c r="B1099" t="s">
        <v>73</v>
      </c>
      <c r="C1099" t="s">
        <v>74</v>
      </c>
      <c r="E1099" t="str">
        <f>"FES1162722396"</f>
        <v>FES1162722396</v>
      </c>
      <c r="F1099" s="3">
        <v>43780</v>
      </c>
      <c r="G1099">
        <v>202005</v>
      </c>
      <c r="H1099" t="s">
        <v>75</v>
      </c>
      <c r="I1099" t="s">
        <v>76</v>
      </c>
      <c r="J1099" t="s">
        <v>77</v>
      </c>
      <c r="K1099" t="s">
        <v>78</v>
      </c>
      <c r="L1099" t="s">
        <v>349</v>
      </c>
      <c r="M1099" t="s">
        <v>350</v>
      </c>
      <c r="N1099" t="s">
        <v>351</v>
      </c>
      <c r="O1099" t="s">
        <v>82</v>
      </c>
      <c r="P1099" t="str">
        <f>"2170716597                    "</f>
        <v xml:space="preserve">2170716597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27.88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3</v>
      </c>
      <c r="BJ1099">
        <v>6.3</v>
      </c>
      <c r="BK1099">
        <v>6.5</v>
      </c>
      <c r="BL1099" s="4">
        <v>163.89</v>
      </c>
      <c r="BM1099" s="4">
        <v>24.58</v>
      </c>
      <c r="BN1099" s="4">
        <v>188.47</v>
      </c>
      <c r="BO1099" s="4">
        <v>188.47</v>
      </c>
      <c r="BQ1099" t="s">
        <v>109</v>
      </c>
      <c r="BR1099" t="s">
        <v>84</v>
      </c>
      <c r="BS1099" s="3">
        <v>43781</v>
      </c>
      <c r="BT1099" s="5">
        <v>0.41041666666666665</v>
      </c>
      <c r="BU1099" t="s">
        <v>352</v>
      </c>
      <c r="BV1099" t="s">
        <v>86</v>
      </c>
      <c r="BY1099">
        <v>31286.41</v>
      </c>
      <c r="CC1099" t="s">
        <v>350</v>
      </c>
      <c r="CD1099">
        <v>6536</v>
      </c>
      <c r="CE1099" t="s">
        <v>1598</v>
      </c>
      <c r="CF1099" s="3">
        <v>43783</v>
      </c>
      <c r="CI1099">
        <v>1</v>
      </c>
      <c r="CJ1099">
        <v>1</v>
      </c>
      <c r="CK1099">
        <v>21</v>
      </c>
      <c r="CL1099" t="s">
        <v>89</v>
      </c>
    </row>
    <row r="1100" spans="1:90">
      <c r="A1100" t="s">
        <v>72</v>
      </c>
      <c r="B1100" t="s">
        <v>73</v>
      </c>
      <c r="C1100" t="s">
        <v>74</v>
      </c>
      <c r="E1100" t="str">
        <f>"FES1162722274"</f>
        <v>FES1162722274</v>
      </c>
      <c r="F1100" s="3">
        <v>43780</v>
      </c>
      <c r="G1100">
        <v>202005</v>
      </c>
      <c r="H1100" t="s">
        <v>75</v>
      </c>
      <c r="I1100" t="s">
        <v>76</v>
      </c>
      <c r="J1100" t="s">
        <v>77</v>
      </c>
      <c r="K1100" t="s">
        <v>78</v>
      </c>
      <c r="L1100" t="s">
        <v>106</v>
      </c>
      <c r="M1100" t="s">
        <v>107</v>
      </c>
      <c r="N1100" t="s">
        <v>580</v>
      </c>
      <c r="O1100" t="s">
        <v>82</v>
      </c>
      <c r="P1100" t="str">
        <f>"2170716477                    "</f>
        <v xml:space="preserve">2170716477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8.58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1.1000000000000001</v>
      </c>
      <c r="BJ1100">
        <v>1.6</v>
      </c>
      <c r="BK1100">
        <v>2</v>
      </c>
      <c r="BL1100" s="4">
        <v>50.45</v>
      </c>
      <c r="BM1100" s="4">
        <v>7.57</v>
      </c>
      <c r="BN1100" s="4">
        <v>58.02</v>
      </c>
      <c r="BO1100" s="4">
        <v>58.02</v>
      </c>
      <c r="BQ1100" t="s">
        <v>109</v>
      </c>
      <c r="BR1100" t="s">
        <v>84</v>
      </c>
      <c r="BS1100" s="3">
        <v>43781</v>
      </c>
      <c r="BT1100" s="5">
        <v>0.34583333333333338</v>
      </c>
      <c r="BU1100" t="s">
        <v>1639</v>
      </c>
      <c r="BV1100" t="s">
        <v>86</v>
      </c>
      <c r="BY1100">
        <v>8060.93</v>
      </c>
      <c r="CA1100" t="s">
        <v>773</v>
      </c>
      <c r="CC1100" t="s">
        <v>107</v>
      </c>
      <c r="CD1100">
        <v>6001</v>
      </c>
      <c r="CE1100" t="s">
        <v>88</v>
      </c>
      <c r="CF1100" s="3">
        <v>43782</v>
      </c>
      <c r="CI1100">
        <v>1</v>
      </c>
      <c r="CJ1100">
        <v>1</v>
      </c>
      <c r="CK1100">
        <v>21</v>
      </c>
      <c r="CL1100" t="s">
        <v>89</v>
      </c>
    </row>
    <row r="1101" spans="1:90">
      <c r="A1101" t="s">
        <v>72</v>
      </c>
      <c r="B1101" t="s">
        <v>73</v>
      </c>
      <c r="C1101" t="s">
        <v>74</v>
      </c>
      <c r="E1101" t="str">
        <f>"FES1162722281"</f>
        <v>FES1162722281</v>
      </c>
      <c r="F1101" s="3">
        <v>43780</v>
      </c>
      <c r="G1101">
        <v>202005</v>
      </c>
      <c r="H1101" t="s">
        <v>75</v>
      </c>
      <c r="I1101" t="s">
        <v>76</v>
      </c>
      <c r="J1101" t="s">
        <v>77</v>
      </c>
      <c r="K1101" t="s">
        <v>78</v>
      </c>
      <c r="L1101" t="s">
        <v>106</v>
      </c>
      <c r="M1101" t="s">
        <v>107</v>
      </c>
      <c r="N1101" t="s">
        <v>1311</v>
      </c>
      <c r="O1101" t="s">
        <v>82</v>
      </c>
      <c r="P1101" t="str">
        <f>"2170713396                    "</f>
        <v xml:space="preserve">2170713396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38.6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8.6999999999999993</v>
      </c>
      <c r="BJ1101">
        <v>6.8</v>
      </c>
      <c r="BK1101">
        <v>9</v>
      </c>
      <c r="BL1101" s="4">
        <v>226.91</v>
      </c>
      <c r="BM1101" s="4">
        <v>34.04</v>
      </c>
      <c r="BN1101" s="4">
        <v>260.95</v>
      </c>
      <c r="BO1101" s="4">
        <v>260.95</v>
      </c>
      <c r="BQ1101" t="s">
        <v>109</v>
      </c>
      <c r="BR1101" t="s">
        <v>84</v>
      </c>
      <c r="BS1101" s="3">
        <v>43781</v>
      </c>
      <c r="BT1101" s="5">
        <v>0.37361111111111112</v>
      </c>
      <c r="BU1101" t="s">
        <v>1640</v>
      </c>
      <c r="BV1101" t="s">
        <v>86</v>
      </c>
      <c r="BY1101">
        <v>33969.83</v>
      </c>
      <c r="CA1101" t="s">
        <v>773</v>
      </c>
      <c r="CC1101" t="s">
        <v>107</v>
      </c>
      <c r="CD1101">
        <v>6001</v>
      </c>
      <c r="CE1101" t="s">
        <v>88</v>
      </c>
      <c r="CF1101" s="3">
        <v>43782</v>
      </c>
      <c r="CI1101">
        <v>1</v>
      </c>
      <c r="CJ1101">
        <v>1</v>
      </c>
      <c r="CK1101">
        <v>21</v>
      </c>
      <c r="CL1101" t="s">
        <v>89</v>
      </c>
    </row>
    <row r="1102" spans="1:90">
      <c r="A1102" t="s">
        <v>72</v>
      </c>
      <c r="B1102" t="s">
        <v>73</v>
      </c>
      <c r="C1102" t="s">
        <v>74</v>
      </c>
      <c r="E1102" t="str">
        <f>"FES1162722240"</f>
        <v>FES1162722240</v>
      </c>
      <c r="F1102" s="3">
        <v>43780</v>
      </c>
      <c r="G1102">
        <v>202005</v>
      </c>
      <c r="H1102" t="s">
        <v>75</v>
      </c>
      <c r="I1102" t="s">
        <v>76</v>
      </c>
      <c r="J1102" t="s">
        <v>77</v>
      </c>
      <c r="K1102" t="s">
        <v>78</v>
      </c>
      <c r="L1102" t="s">
        <v>106</v>
      </c>
      <c r="M1102" t="s">
        <v>107</v>
      </c>
      <c r="N1102" t="s">
        <v>150</v>
      </c>
      <c r="O1102" t="s">
        <v>82</v>
      </c>
      <c r="P1102" t="str">
        <f>"21707172074                   "</f>
        <v xml:space="preserve">21707172074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10.73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2.2999999999999998</v>
      </c>
      <c r="BJ1102">
        <v>1.5</v>
      </c>
      <c r="BK1102">
        <v>2.5</v>
      </c>
      <c r="BL1102" s="4">
        <v>63.06</v>
      </c>
      <c r="BM1102" s="4">
        <v>9.4600000000000009</v>
      </c>
      <c r="BN1102" s="4">
        <v>72.52</v>
      </c>
      <c r="BO1102" s="4">
        <v>72.52</v>
      </c>
      <c r="BQ1102" t="s">
        <v>109</v>
      </c>
      <c r="BR1102" t="s">
        <v>84</v>
      </c>
      <c r="BS1102" s="3">
        <v>43781</v>
      </c>
      <c r="BT1102" s="5">
        <v>0.35416666666666669</v>
      </c>
      <c r="BU1102" t="s">
        <v>418</v>
      </c>
      <c r="BV1102" t="s">
        <v>86</v>
      </c>
      <c r="BY1102">
        <v>7303.17</v>
      </c>
      <c r="CA1102" t="s">
        <v>111</v>
      </c>
      <c r="CC1102" t="s">
        <v>107</v>
      </c>
      <c r="CD1102">
        <v>6001</v>
      </c>
      <c r="CE1102" t="s">
        <v>88</v>
      </c>
      <c r="CF1102" s="3">
        <v>43782</v>
      </c>
      <c r="CI1102">
        <v>1</v>
      </c>
      <c r="CJ1102">
        <v>1</v>
      </c>
      <c r="CK1102">
        <v>21</v>
      </c>
      <c r="CL1102" t="s">
        <v>89</v>
      </c>
    </row>
    <row r="1103" spans="1:90">
      <c r="A1103" t="s">
        <v>72</v>
      </c>
      <c r="B1103" t="s">
        <v>73</v>
      </c>
      <c r="C1103" t="s">
        <v>74</v>
      </c>
      <c r="E1103" t="str">
        <f>"FES1162722221"</f>
        <v>FES1162722221</v>
      </c>
      <c r="F1103" s="3">
        <v>43780</v>
      </c>
      <c r="G1103">
        <v>202005</v>
      </c>
      <c r="H1103" t="s">
        <v>75</v>
      </c>
      <c r="I1103" t="s">
        <v>76</v>
      </c>
      <c r="J1103" t="s">
        <v>77</v>
      </c>
      <c r="K1103" t="s">
        <v>78</v>
      </c>
      <c r="L1103" t="s">
        <v>90</v>
      </c>
      <c r="M1103" t="s">
        <v>91</v>
      </c>
      <c r="N1103" t="s">
        <v>218</v>
      </c>
      <c r="O1103" t="s">
        <v>82</v>
      </c>
      <c r="P1103" t="str">
        <f>"2170716451                    "</f>
        <v xml:space="preserve">2170716451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8.58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1.6</v>
      </c>
      <c r="BJ1103">
        <v>0.9</v>
      </c>
      <c r="BK1103">
        <v>2</v>
      </c>
      <c r="BL1103" s="4">
        <v>50.45</v>
      </c>
      <c r="BM1103" s="4">
        <v>7.57</v>
      </c>
      <c r="BN1103" s="4">
        <v>58.02</v>
      </c>
      <c r="BO1103" s="4">
        <v>58.02</v>
      </c>
      <c r="BR1103" t="s">
        <v>84</v>
      </c>
      <c r="BS1103" s="3">
        <v>43781</v>
      </c>
      <c r="BT1103" s="5">
        <v>0.30624999999999997</v>
      </c>
      <c r="BU1103" t="s">
        <v>1641</v>
      </c>
      <c r="BV1103" t="s">
        <v>86</v>
      </c>
      <c r="BY1103">
        <v>4477.3900000000003</v>
      </c>
      <c r="CA1103" t="s">
        <v>221</v>
      </c>
      <c r="CC1103" t="s">
        <v>91</v>
      </c>
      <c r="CD1103">
        <v>8001</v>
      </c>
      <c r="CE1103" t="s">
        <v>88</v>
      </c>
      <c r="CF1103" s="3">
        <v>43782</v>
      </c>
      <c r="CI1103">
        <v>1</v>
      </c>
      <c r="CJ1103">
        <v>1</v>
      </c>
      <c r="CK1103">
        <v>21</v>
      </c>
      <c r="CL1103" t="s">
        <v>89</v>
      </c>
    </row>
    <row r="1104" spans="1:90">
      <c r="A1104" t="s">
        <v>72</v>
      </c>
      <c r="B1104" t="s">
        <v>73</v>
      </c>
      <c r="C1104" t="s">
        <v>74</v>
      </c>
      <c r="E1104" t="str">
        <f>"FES1162722268"</f>
        <v>FES1162722268</v>
      </c>
      <c r="F1104" s="3">
        <v>43780</v>
      </c>
      <c r="G1104">
        <v>202005</v>
      </c>
      <c r="H1104" t="s">
        <v>75</v>
      </c>
      <c r="I1104" t="s">
        <v>76</v>
      </c>
      <c r="J1104" t="s">
        <v>77</v>
      </c>
      <c r="K1104" t="s">
        <v>78</v>
      </c>
      <c r="L1104" t="s">
        <v>214</v>
      </c>
      <c r="M1104" t="s">
        <v>214</v>
      </c>
      <c r="N1104" t="s">
        <v>705</v>
      </c>
      <c r="O1104" t="s">
        <v>82</v>
      </c>
      <c r="P1104" t="str">
        <f>"2170711519                    "</f>
        <v xml:space="preserve">2170711519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57.94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4</v>
      </c>
      <c r="BJ1104">
        <v>7.4</v>
      </c>
      <c r="BK1104">
        <v>7.5</v>
      </c>
      <c r="BL1104" s="4">
        <v>340.58</v>
      </c>
      <c r="BM1104" s="4">
        <v>51.09</v>
      </c>
      <c r="BN1104" s="4">
        <v>391.67</v>
      </c>
      <c r="BO1104" s="4">
        <v>391.67</v>
      </c>
      <c r="BQ1104" t="s">
        <v>142</v>
      </c>
      <c r="BR1104" t="s">
        <v>84</v>
      </c>
      <c r="BS1104" s="3">
        <v>43781</v>
      </c>
      <c r="BT1104" s="5">
        <v>0.50208333333333333</v>
      </c>
      <c r="BU1104" t="s">
        <v>1642</v>
      </c>
      <c r="BV1104" t="s">
        <v>86</v>
      </c>
      <c r="BY1104">
        <v>37150.160000000003</v>
      </c>
      <c r="CA1104" t="s">
        <v>1643</v>
      </c>
      <c r="CC1104" t="s">
        <v>214</v>
      </c>
      <c r="CD1104">
        <v>7620</v>
      </c>
      <c r="CE1104" t="s">
        <v>1598</v>
      </c>
      <c r="CF1104" s="3">
        <v>43782</v>
      </c>
      <c r="CI1104">
        <v>1</v>
      </c>
      <c r="CJ1104">
        <v>1</v>
      </c>
      <c r="CK1104">
        <v>23</v>
      </c>
      <c r="CL1104" t="s">
        <v>89</v>
      </c>
    </row>
    <row r="1105" spans="1:90">
      <c r="A1105" t="s">
        <v>72</v>
      </c>
      <c r="B1105" t="s">
        <v>73</v>
      </c>
      <c r="C1105" t="s">
        <v>74</v>
      </c>
      <c r="E1105" t="str">
        <f>"FES1162722256"</f>
        <v>FES1162722256</v>
      </c>
      <c r="F1105" s="3">
        <v>43780</v>
      </c>
      <c r="G1105">
        <v>202005</v>
      </c>
      <c r="H1105" t="s">
        <v>75</v>
      </c>
      <c r="I1105" t="s">
        <v>76</v>
      </c>
      <c r="J1105" t="s">
        <v>77</v>
      </c>
      <c r="K1105" t="s">
        <v>78</v>
      </c>
      <c r="L1105" t="s">
        <v>296</v>
      </c>
      <c r="M1105" t="s">
        <v>297</v>
      </c>
      <c r="N1105" t="s">
        <v>672</v>
      </c>
      <c r="O1105" t="s">
        <v>82</v>
      </c>
      <c r="P1105" t="str">
        <f>"2170714298                    "</f>
        <v xml:space="preserve">2170714298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54.19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6.7</v>
      </c>
      <c r="BJ1105">
        <v>2.5</v>
      </c>
      <c r="BK1105">
        <v>7</v>
      </c>
      <c r="BL1105" s="4">
        <v>318.51</v>
      </c>
      <c r="BM1105" s="4">
        <v>47.78</v>
      </c>
      <c r="BN1105" s="4">
        <v>366.29</v>
      </c>
      <c r="BO1105" s="4">
        <v>366.29</v>
      </c>
      <c r="BQ1105" t="s">
        <v>142</v>
      </c>
      <c r="BR1105" t="s">
        <v>84</v>
      </c>
      <c r="BS1105" s="3">
        <v>43782</v>
      </c>
      <c r="BT1105" s="5">
        <v>0.36736111111111108</v>
      </c>
      <c r="BU1105" t="s">
        <v>1260</v>
      </c>
      <c r="BV1105" t="s">
        <v>86</v>
      </c>
      <c r="BY1105">
        <v>12366.72</v>
      </c>
      <c r="CA1105" t="s">
        <v>300</v>
      </c>
      <c r="CC1105" t="s">
        <v>297</v>
      </c>
      <c r="CD1105">
        <v>6850</v>
      </c>
      <c r="CE1105" t="s">
        <v>1598</v>
      </c>
      <c r="CF1105" s="3">
        <v>43783</v>
      </c>
      <c r="CI1105">
        <v>3</v>
      </c>
      <c r="CJ1105">
        <v>2</v>
      </c>
      <c r="CK1105">
        <v>23</v>
      </c>
      <c r="CL1105" t="s">
        <v>89</v>
      </c>
    </row>
    <row r="1106" spans="1:90">
      <c r="A1106" t="s">
        <v>72</v>
      </c>
      <c r="B1106" t="s">
        <v>73</v>
      </c>
      <c r="C1106" t="s">
        <v>74</v>
      </c>
      <c r="E1106" t="str">
        <f>"FES1162722244"</f>
        <v>FES1162722244</v>
      </c>
      <c r="F1106" s="3">
        <v>43780</v>
      </c>
      <c r="G1106">
        <v>202005</v>
      </c>
      <c r="H1106" t="s">
        <v>75</v>
      </c>
      <c r="I1106" t="s">
        <v>76</v>
      </c>
      <c r="J1106" t="s">
        <v>77</v>
      </c>
      <c r="K1106" t="s">
        <v>78</v>
      </c>
      <c r="L1106" t="s">
        <v>1025</v>
      </c>
      <c r="M1106" t="s">
        <v>1026</v>
      </c>
      <c r="N1106" t="s">
        <v>1027</v>
      </c>
      <c r="O1106" t="s">
        <v>82</v>
      </c>
      <c r="P1106" t="str">
        <f>"2170712713                    "</f>
        <v xml:space="preserve">2170712713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42.92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5.4</v>
      </c>
      <c r="BJ1106">
        <v>2.2999999999999998</v>
      </c>
      <c r="BK1106">
        <v>5.5</v>
      </c>
      <c r="BL1106" s="4">
        <v>252.28</v>
      </c>
      <c r="BM1106" s="4">
        <v>37.840000000000003</v>
      </c>
      <c r="BN1106" s="4">
        <v>290.12</v>
      </c>
      <c r="BO1106" s="4">
        <v>290.12</v>
      </c>
      <c r="BQ1106" t="s">
        <v>142</v>
      </c>
      <c r="BR1106" t="s">
        <v>84</v>
      </c>
      <c r="BS1106" s="3">
        <v>43782</v>
      </c>
      <c r="BT1106" s="5">
        <v>0.48541666666666666</v>
      </c>
      <c r="BU1106" t="s">
        <v>1028</v>
      </c>
      <c r="BV1106" t="s">
        <v>86</v>
      </c>
      <c r="BY1106">
        <v>11729.48</v>
      </c>
      <c r="CA1106" t="s">
        <v>1029</v>
      </c>
      <c r="CC1106" t="s">
        <v>1026</v>
      </c>
      <c r="CD1106">
        <v>7380</v>
      </c>
      <c r="CE1106" t="s">
        <v>1598</v>
      </c>
      <c r="CF1106" s="3">
        <v>43784</v>
      </c>
      <c r="CI1106">
        <v>3</v>
      </c>
      <c r="CJ1106">
        <v>2</v>
      </c>
      <c r="CK1106">
        <v>23</v>
      </c>
      <c r="CL1106" t="s">
        <v>89</v>
      </c>
    </row>
    <row r="1107" spans="1:90">
      <c r="A1107" t="s">
        <v>72</v>
      </c>
      <c r="B1107" t="s">
        <v>73</v>
      </c>
      <c r="C1107" t="s">
        <v>74</v>
      </c>
      <c r="E1107" t="str">
        <f>"FES1162722237"</f>
        <v>FES1162722237</v>
      </c>
      <c r="F1107" s="3">
        <v>43780</v>
      </c>
      <c r="G1107">
        <v>202005</v>
      </c>
      <c r="H1107" t="s">
        <v>75</v>
      </c>
      <c r="I1107" t="s">
        <v>76</v>
      </c>
      <c r="J1107" t="s">
        <v>77</v>
      </c>
      <c r="K1107" t="s">
        <v>78</v>
      </c>
      <c r="L1107" t="s">
        <v>214</v>
      </c>
      <c r="M1107" t="s">
        <v>214</v>
      </c>
      <c r="N1107" t="s">
        <v>705</v>
      </c>
      <c r="O1107" t="s">
        <v>82</v>
      </c>
      <c r="P1107" t="str">
        <f>"217071014                     "</f>
        <v xml:space="preserve">217071014 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31.65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3.7</v>
      </c>
      <c r="BJ1107">
        <v>3.7</v>
      </c>
      <c r="BK1107">
        <v>4</v>
      </c>
      <c r="BL1107" s="4">
        <v>186.05</v>
      </c>
      <c r="BM1107" s="4">
        <v>27.91</v>
      </c>
      <c r="BN1107" s="4">
        <v>213.96</v>
      </c>
      <c r="BO1107" s="4">
        <v>213.96</v>
      </c>
      <c r="BQ1107" t="s">
        <v>142</v>
      </c>
      <c r="BR1107" t="s">
        <v>84</v>
      </c>
      <c r="BS1107" s="3">
        <v>43781</v>
      </c>
      <c r="BT1107" s="5">
        <v>0.50208333333333333</v>
      </c>
      <c r="BU1107" t="s">
        <v>1642</v>
      </c>
      <c r="BV1107" t="s">
        <v>86</v>
      </c>
      <c r="BY1107">
        <v>18518.38</v>
      </c>
      <c r="CA1107" t="s">
        <v>1643</v>
      </c>
      <c r="CC1107" t="s">
        <v>214</v>
      </c>
      <c r="CD1107">
        <v>7620</v>
      </c>
      <c r="CE1107" t="s">
        <v>1598</v>
      </c>
      <c r="CF1107" s="3">
        <v>43782</v>
      </c>
      <c r="CI1107">
        <v>1</v>
      </c>
      <c r="CJ1107">
        <v>1</v>
      </c>
      <c r="CK1107">
        <v>23</v>
      </c>
      <c r="CL1107" t="s">
        <v>89</v>
      </c>
    </row>
    <row r="1108" spans="1:90">
      <c r="A1108" t="s">
        <v>72</v>
      </c>
      <c r="B1108" t="s">
        <v>73</v>
      </c>
      <c r="C1108" t="s">
        <v>74</v>
      </c>
      <c r="E1108" t="str">
        <f>"FES1162722270"</f>
        <v>FES1162722270</v>
      </c>
      <c r="F1108" s="3">
        <v>43780</v>
      </c>
      <c r="G1108">
        <v>202005</v>
      </c>
      <c r="H1108" t="s">
        <v>75</v>
      </c>
      <c r="I1108" t="s">
        <v>76</v>
      </c>
      <c r="J1108" t="s">
        <v>77</v>
      </c>
      <c r="K1108" t="s">
        <v>78</v>
      </c>
      <c r="L1108" t="s">
        <v>75</v>
      </c>
      <c r="M1108" t="s">
        <v>76</v>
      </c>
      <c r="N1108" t="s">
        <v>360</v>
      </c>
      <c r="O1108" t="s">
        <v>82</v>
      </c>
      <c r="P1108" t="str">
        <f>"2170716473                    "</f>
        <v xml:space="preserve">2170716473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8.31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2.2000000000000002</v>
      </c>
      <c r="BJ1108">
        <v>3</v>
      </c>
      <c r="BK1108">
        <v>3</v>
      </c>
      <c r="BL1108" s="4">
        <v>48.86</v>
      </c>
      <c r="BM1108" s="4">
        <v>7.33</v>
      </c>
      <c r="BN1108" s="4">
        <v>56.19</v>
      </c>
      <c r="BO1108" s="4">
        <v>56.19</v>
      </c>
      <c r="BQ1108" t="s">
        <v>109</v>
      </c>
      <c r="BR1108" t="s">
        <v>84</v>
      </c>
      <c r="BS1108" s="3">
        <v>43781</v>
      </c>
      <c r="BT1108" s="5">
        <v>0.32291666666666669</v>
      </c>
      <c r="BU1108" t="s">
        <v>1075</v>
      </c>
      <c r="BV1108" t="s">
        <v>86</v>
      </c>
      <c r="BY1108">
        <v>15214.59</v>
      </c>
      <c r="CA1108" t="s">
        <v>797</v>
      </c>
      <c r="CC1108" t="s">
        <v>76</v>
      </c>
      <c r="CD1108">
        <v>1645</v>
      </c>
      <c r="CE1108" t="s">
        <v>88</v>
      </c>
      <c r="CF1108" s="3">
        <v>43782</v>
      </c>
      <c r="CI1108">
        <v>1</v>
      </c>
      <c r="CJ1108">
        <v>1</v>
      </c>
      <c r="CK1108">
        <v>22</v>
      </c>
      <c r="CL1108" t="s">
        <v>89</v>
      </c>
    </row>
    <row r="1109" spans="1:90">
      <c r="A1109" t="s">
        <v>72</v>
      </c>
      <c r="B1109" t="s">
        <v>73</v>
      </c>
      <c r="C1109" t="s">
        <v>74</v>
      </c>
      <c r="E1109" t="str">
        <f>"FES1162722227"</f>
        <v>FES1162722227</v>
      </c>
      <c r="F1109" s="3">
        <v>43780</v>
      </c>
      <c r="G1109">
        <v>202005</v>
      </c>
      <c r="H1109" t="s">
        <v>75</v>
      </c>
      <c r="I1109" t="s">
        <v>76</v>
      </c>
      <c r="J1109" t="s">
        <v>77</v>
      </c>
      <c r="K1109" t="s">
        <v>78</v>
      </c>
      <c r="L1109" t="s">
        <v>124</v>
      </c>
      <c r="M1109" t="s">
        <v>125</v>
      </c>
      <c r="N1109" t="s">
        <v>218</v>
      </c>
      <c r="O1109" t="s">
        <v>82</v>
      </c>
      <c r="P1109" t="str">
        <f>"217071645+6                   "</f>
        <v xml:space="preserve">217071645+6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12.33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2.8</v>
      </c>
      <c r="BJ1109">
        <v>5.4</v>
      </c>
      <c r="BK1109">
        <v>5.5</v>
      </c>
      <c r="BL1109" s="4">
        <v>72.48</v>
      </c>
      <c r="BM1109" s="4">
        <v>10.87</v>
      </c>
      <c r="BN1109" s="4">
        <v>83.35</v>
      </c>
      <c r="BO1109" s="4">
        <v>83.35</v>
      </c>
      <c r="BQ1109" t="s">
        <v>121</v>
      </c>
      <c r="BR1109" t="s">
        <v>84</v>
      </c>
      <c r="BS1109" s="3">
        <v>43781</v>
      </c>
      <c r="BT1109" s="5">
        <v>0.3576388888888889</v>
      </c>
      <c r="BU1109" t="s">
        <v>753</v>
      </c>
      <c r="BV1109" t="s">
        <v>86</v>
      </c>
      <c r="BY1109">
        <v>27188.03</v>
      </c>
      <c r="CA1109" t="s">
        <v>123</v>
      </c>
      <c r="CC1109" t="s">
        <v>125</v>
      </c>
      <c r="CD1109">
        <v>2094</v>
      </c>
      <c r="CE1109" t="s">
        <v>1598</v>
      </c>
      <c r="CF1109" s="3">
        <v>43782</v>
      </c>
      <c r="CI1109">
        <v>1</v>
      </c>
      <c r="CJ1109">
        <v>1</v>
      </c>
      <c r="CK1109">
        <v>22</v>
      </c>
      <c r="CL1109" t="s">
        <v>89</v>
      </c>
    </row>
    <row r="1110" spans="1:90">
      <c r="A1110" t="s">
        <v>72</v>
      </c>
      <c r="B1110" t="s">
        <v>73</v>
      </c>
      <c r="C1110" t="s">
        <v>74</v>
      </c>
      <c r="E1110" t="str">
        <f>"FES1162722201"</f>
        <v>FES1162722201</v>
      </c>
      <c r="F1110" s="3">
        <v>43780</v>
      </c>
      <c r="G1110">
        <v>202005</v>
      </c>
      <c r="H1110" t="s">
        <v>75</v>
      </c>
      <c r="I1110" t="s">
        <v>76</v>
      </c>
      <c r="J1110" t="s">
        <v>77</v>
      </c>
      <c r="K1110" t="s">
        <v>78</v>
      </c>
      <c r="L1110" t="s">
        <v>344</v>
      </c>
      <c r="M1110" t="s">
        <v>345</v>
      </c>
      <c r="N1110" t="s">
        <v>1644</v>
      </c>
      <c r="O1110" t="s">
        <v>82</v>
      </c>
      <c r="P1110" t="str">
        <f>"2170716392                    "</f>
        <v xml:space="preserve">2170716392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9.1199999999999992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1.5</v>
      </c>
      <c r="BJ1110">
        <v>3.2</v>
      </c>
      <c r="BK1110">
        <v>3.5</v>
      </c>
      <c r="BL1110" s="4">
        <v>53.59</v>
      </c>
      <c r="BM1110" s="4">
        <v>8.0399999999999991</v>
      </c>
      <c r="BN1110" s="4">
        <v>61.63</v>
      </c>
      <c r="BO1110" s="4">
        <v>61.63</v>
      </c>
      <c r="BR1110" t="s">
        <v>84</v>
      </c>
      <c r="BS1110" s="3">
        <v>43781</v>
      </c>
      <c r="BT1110" s="5">
        <v>0.36805555555555558</v>
      </c>
      <c r="BU1110" t="s">
        <v>1645</v>
      </c>
      <c r="BV1110" t="s">
        <v>86</v>
      </c>
      <c r="BY1110">
        <v>16165.3</v>
      </c>
      <c r="CA1110" t="s">
        <v>348</v>
      </c>
      <c r="CC1110" t="s">
        <v>345</v>
      </c>
      <c r="CD1110">
        <v>2163</v>
      </c>
      <c r="CE1110" t="s">
        <v>1598</v>
      </c>
      <c r="CF1110" s="3">
        <v>43782</v>
      </c>
      <c r="CI1110">
        <v>1</v>
      </c>
      <c r="CJ1110">
        <v>1</v>
      </c>
      <c r="CK1110">
        <v>22</v>
      </c>
      <c r="CL1110" t="s">
        <v>89</v>
      </c>
    </row>
    <row r="1111" spans="1:90">
      <c r="A1111" t="s">
        <v>72</v>
      </c>
      <c r="B1111" t="s">
        <v>73</v>
      </c>
      <c r="C1111" t="s">
        <v>74</v>
      </c>
      <c r="E1111" t="str">
        <f>"FES1162722178"</f>
        <v>FES1162722178</v>
      </c>
      <c r="F1111" s="3">
        <v>43780</v>
      </c>
      <c r="G1111">
        <v>202005</v>
      </c>
      <c r="H1111" t="s">
        <v>75</v>
      </c>
      <c r="I1111" t="s">
        <v>76</v>
      </c>
      <c r="J1111" t="s">
        <v>77</v>
      </c>
      <c r="K1111" t="s">
        <v>78</v>
      </c>
      <c r="L1111" t="s">
        <v>124</v>
      </c>
      <c r="M1111" t="s">
        <v>125</v>
      </c>
      <c r="N1111" t="s">
        <v>1646</v>
      </c>
      <c r="O1111" t="s">
        <v>82</v>
      </c>
      <c r="P1111" t="str">
        <f>"2170716183                    "</f>
        <v xml:space="preserve">2170716183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6.71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1.6</v>
      </c>
      <c r="BK1111">
        <v>2</v>
      </c>
      <c r="BL1111" s="4">
        <v>39.42</v>
      </c>
      <c r="BM1111" s="4">
        <v>5.91</v>
      </c>
      <c r="BN1111" s="4">
        <v>45.33</v>
      </c>
      <c r="BO1111" s="4">
        <v>45.33</v>
      </c>
      <c r="BQ1111" t="s">
        <v>1647</v>
      </c>
      <c r="BR1111" t="s">
        <v>84</v>
      </c>
      <c r="BS1111" s="3">
        <v>43781</v>
      </c>
      <c r="BT1111" s="5">
        <v>0.40069444444444446</v>
      </c>
      <c r="BU1111" t="s">
        <v>1648</v>
      </c>
      <c r="BV1111" t="s">
        <v>86</v>
      </c>
      <c r="BY1111">
        <v>7827.62</v>
      </c>
      <c r="CA1111" t="s">
        <v>123</v>
      </c>
      <c r="CC1111" t="s">
        <v>125</v>
      </c>
      <c r="CD1111">
        <v>2049</v>
      </c>
      <c r="CE1111" t="s">
        <v>88</v>
      </c>
      <c r="CF1111" s="3">
        <v>43782</v>
      </c>
      <c r="CI1111">
        <v>1</v>
      </c>
      <c r="CJ1111">
        <v>1</v>
      </c>
      <c r="CK1111">
        <v>22</v>
      </c>
      <c r="CL1111" t="s">
        <v>89</v>
      </c>
    </row>
    <row r="1112" spans="1:90">
      <c r="A1112" t="s">
        <v>72</v>
      </c>
      <c r="B1112" t="s">
        <v>73</v>
      </c>
      <c r="C1112" t="s">
        <v>74</v>
      </c>
      <c r="E1112" t="str">
        <f>"FES1162722338"</f>
        <v>FES1162722338</v>
      </c>
      <c r="F1112" s="3">
        <v>43780</v>
      </c>
      <c r="G1112">
        <v>202005</v>
      </c>
      <c r="H1112" t="s">
        <v>75</v>
      </c>
      <c r="I1112" t="s">
        <v>76</v>
      </c>
      <c r="J1112" t="s">
        <v>77</v>
      </c>
      <c r="K1112" t="s">
        <v>78</v>
      </c>
      <c r="L1112" t="s">
        <v>482</v>
      </c>
      <c r="M1112" t="s">
        <v>483</v>
      </c>
      <c r="N1112" t="s">
        <v>1442</v>
      </c>
      <c r="O1112" t="s">
        <v>82</v>
      </c>
      <c r="P1112" t="str">
        <f>"2170716482                    "</f>
        <v xml:space="preserve">2170716482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10.72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4.0999999999999996</v>
      </c>
      <c r="BJ1112">
        <v>1.2</v>
      </c>
      <c r="BK1112">
        <v>4.5</v>
      </c>
      <c r="BL1112" s="4">
        <v>63.03</v>
      </c>
      <c r="BM1112" s="4">
        <v>9.4499999999999993</v>
      </c>
      <c r="BN1112" s="4">
        <v>72.48</v>
      </c>
      <c r="BO1112" s="4">
        <v>72.48</v>
      </c>
      <c r="BR1112" t="s">
        <v>84</v>
      </c>
      <c r="BS1112" s="3">
        <v>43781</v>
      </c>
      <c r="BT1112" s="5">
        <v>0.26874999999999999</v>
      </c>
      <c r="BU1112" t="s">
        <v>1443</v>
      </c>
      <c r="BV1112" t="s">
        <v>86</v>
      </c>
      <c r="BY1112">
        <v>6093.28</v>
      </c>
      <c r="CA1112" t="s">
        <v>1336</v>
      </c>
      <c r="CC1112" t="s">
        <v>483</v>
      </c>
      <c r="CD1112">
        <v>1460</v>
      </c>
      <c r="CE1112" t="s">
        <v>88</v>
      </c>
      <c r="CF1112" s="3">
        <v>43782</v>
      </c>
      <c r="CI1112">
        <v>1</v>
      </c>
      <c r="CJ1112">
        <v>1</v>
      </c>
      <c r="CK1112">
        <v>22</v>
      </c>
      <c r="CL1112" t="s">
        <v>89</v>
      </c>
    </row>
    <row r="1113" spans="1:90">
      <c r="A1113" t="s">
        <v>72</v>
      </c>
      <c r="B1113" t="s">
        <v>73</v>
      </c>
      <c r="C1113" t="s">
        <v>74</v>
      </c>
      <c r="E1113" t="str">
        <f>"FES1162722215"</f>
        <v>FES1162722215</v>
      </c>
      <c r="F1113" s="3">
        <v>43780</v>
      </c>
      <c r="G1113">
        <v>202005</v>
      </c>
      <c r="H1113" t="s">
        <v>75</v>
      </c>
      <c r="I1113" t="s">
        <v>76</v>
      </c>
      <c r="J1113" t="s">
        <v>77</v>
      </c>
      <c r="K1113" t="s">
        <v>78</v>
      </c>
      <c r="L1113" t="s">
        <v>482</v>
      </c>
      <c r="M1113" t="s">
        <v>483</v>
      </c>
      <c r="N1113" t="s">
        <v>1054</v>
      </c>
      <c r="O1113" t="s">
        <v>82</v>
      </c>
      <c r="P1113" t="str">
        <f>"2170716439                    "</f>
        <v xml:space="preserve">2170716439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6.71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 s="4">
        <v>39.42</v>
      </c>
      <c r="BM1113" s="4">
        <v>5.91</v>
      </c>
      <c r="BN1113" s="4">
        <v>45.33</v>
      </c>
      <c r="BO1113" s="4">
        <v>45.33</v>
      </c>
      <c r="BQ1113" t="s">
        <v>109</v>
      </c>
      <c r="BR1113" t="s">
        <v>84</v>
      </c>
      <c r="BS1113" s="3">
        <v>43781</v>
      </c>
      <c r="BT1113" s="5">
        <v>0.3444444444444445</v>
      </c>
      <c r="BU1113" t="s">
        <v>1620</v>
      </c>
      <c r="BV1113" t="s">
        <v>86</v>
      </c>
      <c r="BY1113">
        <v>1200</v>
      </c>
      <c r="CA1113" t="s">
        <v>486</v>
      </c>
      <c r="CC1113" t="s">
        <v>483</v>
      </c>
      <c r="CD1113">
        <v>1459</v>
      </c>
      <c r="CE1113" t="s">
        <v>147</v>
      </c>
      <c r="CF1113" s="3">
        <v>43782</v>
      </c>
      <c r="CI1113">
        <v>1</v>
      </c>
      <c r="CJ1113">
        <v>1</v>
      </c>
      <c r="CK1113">
        <v>22</v>
      </c>
      <c r="CL1113" t="s">
        <v>89</v>
      </c>
    </row>
    <row r="1114" spans="1:90">
      <c r="A1114" t="s">
        <v>72</v>
      </c>
      <c r="B1114" t="s">
        <v>73</v>
      </c>
      <c r="C1114" t="s">
        <v>74</v>
      </c>
      <c r="E1114" t="str">
        <f>"FES1162722198"</f>
        <v>FES1162722198</v>
      </c>
      <c r="F1114" s="3">
        <v>43780</v>
      </c>
      <c r="G1114">
        <v>202005</v>
      </c>
      <c r="H1114" t="s">
        <v>75</v>
      </c>
      <c r="I1114" t="s">
        <v>76</v>
      </c>
      <c r="J1114" t="s">
        <v>77</v>
      </c>
      <c r="K1114" t="s">
        <v>78</v>
      </c>
      <c r="L1114" t="s">
        <v>482</v>
      </c>
      <c r="M1114" t="s">
        <v>483</v>
      </c>
      <c r="N1114" t="s">
        <v>1649</v>
      </c>
      <c r="O1114" t="s">
        <v>82</v>
      </c>
      <c r="P1114" t="str">
        <f>"2170716285                    "</f>
        <v xml:space="preserve">2170716285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6.71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 s="4">
        <v>39.42</v>
      </c>
      <c r="BM1114" s="4">
        <v>5.91</v>
      </c>
      <c r="BN1114" s="4">
        <v>45.33</v>
      </c>
      <c r="BO1114" s="4">
        <v>45.33</v>
      </c>
      <c r="BR1114" t="s">
        <v>84</v>
      </c>
      <c r="BS1114" s="3">
        <v>43781</v>
      </c>
      <c r="BT1114" s="5">
        <v>0.30416666666666664</v>
      </c>
      <c r="BU1114" t="s">
        <v>1650</v>
      </c>
      <c r="BV1114" t="s">
        <v>86</v>
      </c>
      <c r="BY1114">
        <v>1200</v>
      </c>
      <c r="CA1114" t="s">
        <v>849</v>
      </c>
      <c r="CC1114" t="s">
        <v>483</v>
      </c>
      <c r="CD1114">
        <v>1460</v>
      </c>
      <c r="CE1114" t="s">
        <v>147</v>
      </c>
      <c r="CF1114" s="3">
        <v>43782</v>
      </c>
      <c r="CI1114">
        <v>1</v>
      </c>
      <c r="CJ1114">
        <v>1</v>
      </c>
      <c r="CK1114">
        <v>22</v>
      </c>
      <c r="CL1114" t="s">
        <v>89</v>
      </c>
    </row>
    <row r="1115" spans="1:90">
      <c r="A1115" t="s">
        <v>72</v>
      </c>
      <c r="B1115" t="s">
        <v>73</v>
      </c>
      <c r="C1115" t="s">
        <v>74</v>
      </c>
      <c r="E1115" t="str">
        <f>"FES1162722176"</f>
        <v>FES1162722176</v>
      </c>
      <c r="F1115" s="3">
        <v>43780</v>
      </c>
      <c r="G1115">
        <v>202005</v>
      </c>
      <c r="H1115" t="s">
        <v>75</v>
      </c>
      <c r="I1115" t="s">
        <v>76</v>
      </c>
      <c r="J1115" t="s">
        <v>77</v>
      </c>
      <c r="K1115" t="s">
        <v>78</v>
      </c>
      <c r="L1115" t="s">
        <v>482</v>
      </c>
      <c r="M1115" t="s">
        <v>483</v>
      </c>
      <c r="N1115" t="s">
        <v>449</v>
      </c>
      <c r="O1115" t="s">
        <v>82</v>
      </c>
      <c r="P1115" t="str">
        <f>"2170715984                    "</f>
        <v xml:space="preserve">2170715984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6.71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 s="4">
        <v>39.42</v>
      </c>
      <c r="BM1115" s="4">
        <v>5.91</v>
      </c>
      <c r="BN1115" s="4">
        <v>45.33</v>
      </c>
      <c r="BO1115" s="4">
        <v>45.33</v>
      </c>
      <c r="BQ1115" t="s">
        <v>109</v>
      </c>
      <c r="BR1115" t="s">
        <v>84</v>
      </c>
      <c r="BS1115" s="3">
        <v>43781</v>
      </c>
      <c r="BT1115" s="5">
        <v>0.4375</v>
      </c>
      <c r="BU1115" t="s">
        <v>1111</v>
      </c>
      <c r="BV1115" t="s">
        <v>86</v>
      </c>
      <c r="BY1115">
        <v>1200</v>
      </c>
      <c r="CC1115" t="s">
        <v>483</v>
      </c>
      <c r="CD1115">
        <v>1459</v>
      </c>
      <c r="CE1115" t="s">
        <v>147</v>
      </c>
      <c r="CF1115" s="3">
        <v>43782</v>
      </c>
      <c r="CI1115">
        <v>1</v>
      </c>
      <c r="CJ1115">
        <v>1</v>
      </c>
      <c r="CK1115">
        <v>22</v>
      </c>
      <c r="CL1115" t="s">
        <v>89</v>
      </c>
    </row>
    <row r="1116" spans="1:90">
      <c r="A1116" t="s">
        <v>72</v>
      </c>
      <c r="B1116" t="s">
        <v>73</v>
      </c>
      <c r="C1116" t="s">
        <v>74</v>
      </c>
      <c r="E1116" t="str">
        <f>"FES1162722173"</f>
        <v>FES1162722173</v>
      </c>
      <c r="F1116" s="3">
        <v>43780</v>
      </c>
      <c r="G1116">
        <v>202005</v>
      </c>
      <c r="H1116" t="s">
        <v>75</v>
      </c>
      <c r="I1116" t="s">
        <v>76</v>
      </c>
      <c r="J1116" t="s">
        <v>77</v>
      </c>
      <c r="K1116" t="s">
        <v>78</v>
      </c>
      <c r="L1116" t="s">
        <v>482</v>
      </c>
      <c r="M1116" t="s">
        <v>483</v>
      </c>
      <c r="N1116" t="s">
        <v>449</v>
      </c>
      <c r="O1116" t="s">
        <v>82</v>
      </c>
      <c r="P1116" t="str">
        <f>"21707158858                   "</f>
        <v xml:space="preserve">21707158858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6.71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 s="4">
        <v>39.42</v>
      </c>
      <c r="BM1116" s="4">
        <v>5.91</v>
      </c>
      <c r="BN1116" s="4">
        <v>45.33</v>
      </c>
      <c r="BO1116" s="4">
        <v>45.33</v>
      </c>
      <c r="BQ1116" t="s">
        <v>109</v>
      </c>
      <c r="BR1116" t="s">
        <v>84</v>
      </c>
      <c r="BS1116" s="3">
        <v>43781</v>
      </c>
      <c r="BT1116" s="5">
        <v>0.41875000000000001</v>
      </c>
      <c r="BU1116" t="s">
        <v>1111</v>
      </c>
      <c r="BV1116" t="s">
        <v>86</v>
      </c>
      <c r="BY1116">
        <v>1200</v>
      </c>
      <c r="CC1116" t="s">
        <v>483</v>
      </c>
      <c r="CD1116">
        <v>1459</v>
      </c>
      <c r="CE1116" t="s">
        <v>147</v>
      </c>
      <c r="CF1116" s="3">
        <v>43782</v>
      </c>
      <c r="CI1116">
        <v>1</v>
      </c>
      <c r="CJ1116">
        <v>1</v>
      </c>
      <c r="CK1116">
        <v>22</v>
      </c>
      <c r="CL1116" t="s">
        <v>89</v>
      </c>
    </row>
    <row r="1117" spans="1:90">
      <c r="A1117" t="s">
        <v>72</v>
      </c>
      <c r="B1117" t="s">
        <v>73</v>
      </c>
      <c r="C1117" t="s">
        <v>74</v>
      </c>
      <c r="E1117" t="str">
        <f>"FES1162722311"</f>
        <v>FES1162722311</v>
      </c>
      <c r="F1117" s="3">
        <v>43780</v>
      </c>
      <c r="G1117">
        <v>202005</v>
      </c>
      <c r="H1117" t="s">
        <v>75</v>
      </c>
      <c r="I1117" t="s">
        <v>76</v>
      </c>
      <c r="J1117" t="s">
        <v>77</v>
      </c>
      <c r="K1117" t="s">
        <v>78</v>
      </c>
      <c r="L1117" t="s">
        <v>106</v>
      </c>
      <c r="M1117" t="s">
        <v>107</v>
      </c>
      <c r="N1117" t="s">
        <v>108</v>
      </c>
      <c r="O1117" t="s">
        <v>82</v>
      </c>
      <c r="P1117" t="str">
        <f>"217071652 0                   "</f>
        <v xml:space="preserve">217071652 0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8.58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 s="4">
        <v>50.45</v>
      </c>
      <c r="BM1117" s="4">
        <v>7.57</v>
      </c>
      <c r="BN1117" s="4">
        <v>58.02</v>
      </c>
      <c r="BO1117" s="4">
        <v>58.02</v>
      </c>
      <c r="BQ1117" t="s">
        <v>109</v>
      </c>
      <c r="BR1117" t="s">
        <v>84</v>
      </c>
      <c r="BS1117" s="3">
        <v>43781</v>
      </c>
      <c r="BT1117" s="5">
        <v>0.35902777777777778</v>
      </c>
      <c r="BU1117" t="s">
        <v>1526</v>
      </c>
      <c r="BV1117" t="s">
        <v>86</v>
      </c>
      <c r="BY1117">
        <v>1200</v>
      </c>
      <c r="CA1117" t="s">
        <v>111</v>
      </c>
      <c r="CC1117" t="s">
        <v>107</v>
      </c>
      <c r="CD1117">
        <v>6001</v>
      </c>
      <c r="CE1117" t="s">
        <v>147</v>
      </c>
      <c r="CF1117" s="3">
        <v>43782</v>
      </c>
      <c r="CI1117">
        <v>1</v>
      </c>
      <c r="CJ1117">
        <v>1</v>
      </c>
      <c r="CK1117">
        <v>21</v>
      </c>
      <c r="CL1117" t="s">
        <v>89</v>
      </c>
    </row>
    <row r="1118" spans="1:90">
      <c r="A1118" t="s">
        <v>72</v>
      </c>
      <c r="B1118" t="s">
        <v>73</v>
      </c>
      <c r="C1118" t="s">
        <v>74</v>
      </c>
      <c r="E1118" t="str">
        <f>"FES1162722286"</f>
        <v>FES1162722286</v>
      </c>
      <c r="F1118" s="3">
        <v>43780</v>
      </c>
      <c r="G1118">
        <v>202005</v>
      </c>
      <c r="H1118" t="s">
        <v>75</v>
      </c>
      <c r="I1118" t="s">
        <v>76</v>
      </c>
      <c r="J1118" t="s">
        <v>77</v>
      </c>
      <c r="K1118" t="s">
        <v>78</v>
      </c>
      <c r="L1118" t="s">
        <v>1651</v>
      </c>
      <c r="M1118" t="s">
        <v>1651</v>
      </c>
      <c r="N1118" t="s">
        <v>1652</v>
      </c>
      <c r="O1118" t="s">
        <v>82</v>
      </c>
      <c r="P1118" t="str">
        <f>"2170716485                    "</f>
        <v xml:space="preserve">2170716485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12.07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 s="4">
        <v>70.95</v>
      </c>
      <c r="BM1118" s="4">
        <v>10.64</v>
      </c>
      <c r="BN1118" s="4">
        <v>81.59</v>
      </c>
      <c r="BO1118" s="4">
        <v>81.59</v>
      </c>
      <c r="BQ1118" t="s">
        <v>161</v>
      </c>
      <c r="BR1118" t="s">
        <v>84</v>
      </c>
      <c r="BS1118" s="3">
        <v>43781</v>
      </c>
      <c r="BT1118" s="5">
        <v>0.33263888888888887</v>
      </c>
      <c r="BU1118" t="s">
        <v>1653</v>
      </c>
      <c r="BV1118" t="s">
        <v>86</v>
      </c>
      <c r="BY1118">
        <v>1200</v>
      </c>
      <c r="CA1118" t="s">
        <v>362</v>
      </c>
      <c r="CC1118" t="s">
        <v>1651</v>
      </c>
      <c r="CD1118">
        <v>1490</v>
      </c>
      <c r="CE1118" t="s">
        <v>147</v>
      </c>
      <c r="CF1118" s="3">
        <v>43782</v>
      </c>
      <c r="CI1118">
        <v>1</v>
      </c>
      <c r="CJ1118">
        <v>1</v>
      </c>
      <c r="CK1118">
        <v>24</v>
      </c>
      <c r="CL1118" t="s">
        <v>89</v>
      </c>
    </row>
    <row r="1119" spans="1:90">
      <c r="A1119" t="s">
        <v>72</v>
      </c>
      <c r="B1119" t="s">
        <v>73</v>
      </c>
      <c r="C1119" t="s">
        <v>74</v>
      </c>
      <c r="E1119" t="str">
        <f>"FES1162722219"</f>
        <v>FES1162722219</v>
      </c>
      <c r="F1119" s="3">
        <v>43780</v>
      </c>
      <c r="G1119">
        <v>202005</v>
      </c>
      <c r="H1119" t="s">
        <v>75</v>
      </c>
      <c r="I1119" t="s">
        <v>76</v>
      </c>
      <c r="J1119" t="s">
        <v>77</v>
      </c>
      <c r="K1119" t="s">
        <v>78</v>
      </c>
      <c r="L1119" t="s">
        <v>202</v>
      </c>
      <c r="M1119" t="s">
        <v>203</v>
      </c>
      <c r="N1119" t="s">
        <v>1654</v>
      </c>
      <c r="O1119" t="s">
        <v>82</v>
      </c>
      <c r="P1119" t="str">
        <f>"2170716447                    "</f>
        <v xml:space="preserve">2170716447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6.71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 s="4">
        <v>39.42</v>
      </c>
      <c r="BM1119" s="4">
        <v>5.91</v>
      </c>
      <c r="BN1119" s="4">
        <v>45.33</v>
      </c>
      <c r="BO1119" s="4">
        <v>45.33</v>
      </c>
      <c r="BQ1119" t="s">
        <v>1655</v>
      </c>
      <c r="BR1119" t="s">
        <v>84</v>
      </c>
      <c r="BS1119" s="3">
        <v>43781</v>
      </c>
      <c r="BT1119" s="5">
        <v>0.39930555555555558</v>
      </c>
      <c r="BU1119" t="s">
        <v>1656</v>
      </c>
      <c r="BV1119" t="s">
        <v>86</v>
      </c>
      <c r="BY1119">
        <v>1200</v>
      </c>
      <c r="CC1119" t="s">
        <v>203</v>
      </c>
      <c r="CD1119">
        <v>1422</v>
      </c>
      <c r="CE1119" t="s">
        <v>147</v>
      </c>
      <c r="CF1119" s="3">
        <v>43782</v>
      </c>
      <c r="CI1119">
        <v>1</v>
      </c>
      <c r="CJ1119">
        <v>1</v>
      </c>
      <c r="CK1119">
        <v>22</v>
      </c>
      <c r="CL1119" t="s">
        <v>89</v>
      </c>
    </row>
    <row r="1120" spans="1:90">
      <c r="A1120" t="s">
        <v>72</v>
      </c>
      <c r="B1120" t="s">
        <v>73</v>
      </c>
      <c r="C1120" t="s">
        <v>74</v>
      </c>
      <c r="E1120" t="str">
        <f>"FES1162722217"</f>
        <v>FES1162722217</v>
      </c>
      <c r="F1120" s="3">
        <v>43780</v>
      </c>
      <c r="G1120">
        <v>202005</v>
      </c>
      <c r="H1120" t="s">
        <v>75</v>
      </c>
      <c r="I1120" t="s">
        <v>76</v>
      </c>
      <c r="J1120" t="s">
        <v>77</v>
      </c>
      <c r="K1120" t="s">
        <v>78</v>
      </c>
      <c r="L1120" t="s">
        <v>124</v>
      </c>
      <c r="M1120" t="s">
        <v>125</v>
      </c>
      <c r="N1120" t="s">
        <v>218</v>
      </c>
      <c r="O1120" t="s">
        <v>82</v>
      </c>
      <c r="P1120" t="str">
        <f>"2170716442                    "</f>
        <v xml:space="preserve">2170716442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6.71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 s="4">
        <v>39.42</v>
      </c>
      <c r="BM1120" s="4">
        <v>5.91</v>
      </c>
      <c r="BN1120" s="4">
        <v>45.33</v>
      </c>
      <c r="BO1120" s="4">
        <v>45.33</v>
      </c>
      <c r="BQ1120" t="s">
        <v>121</v>
      </c>
      <c r="BR1120" t="s">
        <v>84</v>
      </c>
      <c r="BS1120" s="3">
        <v>43781</v>
      </c>
      <c r="BT1120" s="5">
        <v>0.37083333333333335</v>
      </c>
      <c r="BU1120" t="s">
        <v>1657</v>
      </c>
      <c r="BV1120" t="s">
        <v>86</v>
      </c>
      <c r="BY1120">
        <v>1200</v>
      </c>
      <c r="CA1120" t="s">
        <v>123</v>
      </c>
      <c r="CC1120" t="s">
        <v>125</v>
      </c>
      <c r="CD1120">
        <v>2094</v>
      </c>
      <c r="CE1120" t="s">
        <v>147</v>
      </c>
      <c r="CF1120" s="3">
        <v>43782</v>
      </c>
      <c r="CI1120">
        <v>1</v>
      </c>
      <c r="CJ1120">
        <v>1</v>
      </c>
      <c r="CK1120">
        <v>22</v>
      </c>
      <c r="CL1120" t="s">
        <v>89</v>
      </c>
    </row>
    <row r="1121" spans="1:90">
      <c r="A1121" t="s">
        <v>72</v>
      </c>
      <c r="B1121" t="s">
        <v>73</v>
      </c>
      <c r="C1121" t="s">
        <v>74</v>
      </c>
      <c r="E1121" t="str">
        <f>"FES1162722200"</f>
        <v>FES1162722200</v>
      </c>
      <c r="F1121" s="3">
        <v>43780</v>
      </c>
      <c r="G1121">
        <v>202005</v>
      </c>
      <c r="H1121" t="s">
        <v>75</v>
      </c>
      <c r="I1121" t="s">
        <v>76</v>
      </c>
      <c r="J1121" t="s">
        <v>77</v>
      </c>
      <c r="K1121" t="s">
        <v>78</v>
      </c>
      <c r="L1121" t="s">
        <v>1589</v>
      </c>
      <c r="M1121" t="s">
        <v>1590</v>
      </c>
      <c r="N1121" t="s">
        <v>1658</v>
      </c>
      <c r="O1121" t="s">
        <v>82</v>
      </c>
      <c r="P1121" t="str">
        <f>"2170716391                    "</f>
        <v xml:space="preserve">2170716391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12.07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 s="4">
        <v>70.95</v>
      </c>
      <c r="BM1121" s="4">
        <v>10.64</v>
      </c>
      <c r="BN1121" s="4">
        <v>81.59</v>
      </c>
      <c r="BO1121" s="4">
        <v>81.59</v>
      </c>
      <c r="BR1121" t="s">
        <v>84</v>
      </c>
      <c r="BS1121" s="3">
        <v>43782</v>
      </c>
      <c r="BT1121" s="5">
        <v>0.36249999999999999</v>
      </c>
      <c r="BU1121" t="s">
        <v>1659</v>
      </c>
      <c r="BV1121" t="s">
        <v>89</v>
      </c>
      <c r="BY1121">
        <v>1200</v>
      </c>
      <c r="CA1121" t="s">
        <v>1660</v>
      </c>
      <c r="CC1121" t="s">
        <v>1590</v>
      </c>
      <c r="CD1121">
        <v>1034</v>
      </c>
      <c r="CE1121" t="s">
        <v>147</v>
      </c>
      <c r="CF1121" s="3">
        <v>43784</v>
      </c>
      <c r="CI1121">
        <v>1</v>
      </c>
      <c r="CJ1121">
        <v>2</v>
      </c>
      <c r="CK1121">
        <v>24</v>
      </c>
      <c r="CL1121" t="s">
        <v>89</v>
      </c>
    </row>
    <row r="1122" spans="1:90">
      <c r="A1122" t="s">
        <v>72</v>
      </c>
      <c r="B1122" t="s">
        <v>73</v>
      </c>
      <c r="C1122" t="s">
        <v>74</v>
      </c>
      <c r="E1122" t="str">
        <f>"FES1162722291"</f>
        <v>FES1162722291</v>
      </c>
      <c r="F1122" s="3">
        <v>43780</v>
      </c>
      <c r="G1122">
        <v>202005</v>
      </c>
      <c r="H1122" t="s">
        <v>75</v>
      </c>
      <c r="I1122" t="s">
        <v>76</v>
      </c>
      <c r="J1122" t="s">
        <v>77</v>
      </c>
      <c r="K1122" t="s">
        <v>78</v>
      </c>
      <c r="L1122" t="s">
        <v>79</v>
      </c>
      <c r="M1122" t="s">
        <v>80</v>
      </c>
      <c r="N1122" t="s">
        <v>458</v>
      </c>
      <c r="O1122" t="s">
        <v>82</v>
      </c>
      <c r="P1122" t="str">
        <f>"2170716492                    "</f>
        <v xml:space="preserve">2170716492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8.58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 s="4">
        <v>50.45</v>
      </c>
      <c r="BM1122" s="4">
        <v>7.57</v>
      </c>
      <c r="BN1122" s="4">
        <v>58.02</v>
      </c>
      <c r="BO1122" s="4">
        <v>58.02</v>
      </c>
      <c r="BQ1122" t="s">
        <v>109</v>
      </c>
      <c r="BR1122" t="s">
        <v>84</v>
      </c>
      <c r="BS1122" s="3">
        <v>43781</v>
      </c>
      <c r="BT1122" s="5">
        <v>0.3298611111111111</v>
      </c>
      <c r="BU1122" t="s">
        <v>1318</v>
      </c>
      <c r="BV1122" t="s">
        <v>86</v>
      </c>
      <c r="BY1122">
        <v>1200</v>
      </c>
      <c r="CA1122" t="s">
        <v>87</v>
      </c>
      <c r="CC1122" t="s">
        <v>80</v>
      </c>
      <c r="CD1122">
        <v>6230</v>
      </c>
      <c r="CE1122" t="s">
        <v>147</v>
      </c>
      <c r="CF1122" s="3">
        <v>43782</v>
      </c>
      <c r="CI1122">
        <v>1</v>
      </c>
      <c r="CJ1122">
        <v>1</v>
      </c>
      <c r="CK1122">
        <v>21</v>
      </c>
      <c r="CL1122" t="s">
        <v>89</v>
      </c>
    </row>
    <row r="1123" spans="1:90">
      <c r="A1123" t="s">
        <v>72</v>
      </c>
      <c r="B1123" t="s">
        <v>73</v>
      </c>
      <c r="C1123" t="s">
        <v>74</v>
      </c>
      <c r="E1123" t="str">
        <f>"FES1162722269"</f>
        <v>FES1162722269</v>
      </c>
      <c r="F1123" s="3">
        <v>43780</v>
      </c>
      <c r="G1123">
        <v>202005</v>
      </c>
      <c r="H1123" t="s">
        <v>75</v>
      </c>
      <c r="I1123" t="s">
        <v>76</v>
      </c>
      <c r="J1123" t="s">
        <v>77</v>
      </c>
      <c r="K1123" t="s">
        <v>78</v>
      </c>
      <c r="L1123" t="s">
        <v>176</v>
      </c>
      <c r="M1123" t="s">
        <v>177</v>
      </c>
      <c r="N1123" t="s">
        <v>1661</v>
      </c>
      <c r="O1123" t="s">
        <v>82</v>
      </c>
      <c r="P1123" t="str">
        <f>"2170714894                    "</f>
        <v xml:space="preserve">2170714894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15.02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3.1</v>
      </c>
      <c r="BJ1123">
        <v>1.7</v>
      </c>
      <c r="BK1123">
        <v>3.5</v>
      </c>
      <c r="BL1123" s="4">
        <v>88.27</v>
      </c>
      <c r="BM1123" s="4">
        <v>13.24</v>
      </c>
      <c r="BN1123" s="4">
        <v>101.51</v>
      </c>
      <c r="BO1123" s="4">
        <v>101.51</v>
      </c>
      <c r="BQ1123" t="s">
        <v>121</v>
      </c>
      <c r="BR1123" t="s">
        <v>84</v>
      </c>
      <c r="BS1123" s="3">
        <v>43781</v>
      </c>
      <c r="BT1123" s="5">
        <v>0.38472222222222219</v>
      </c>
      <c r="BU1123" t="s">
        <v>1662</v>
      </c>
      <c r="BV1123" t="s">
        <v>86</v>
      </c>
      <c r="BY1123">
        <v>8402.94</v>
      </c>
      <c r="CA1123" t="s">
        <v>180</v>
      </c>
      <c r="CC1123" t="s">
        <v>177</v>
      </c>
      <c r="CD1123">
        <v>3610</v>
      </c>
      <c r="CE1123" t="s">
        <v>88</v>
      </c>
      <c r="CF1123" s="3">
        <v>43782</v>
      </c>
      <c r="CI1123">
        <v>1</v>
      </c>
      <c r="CJ1123">
        <v>1</v>
      </c>
      <c r="CK1123">
        <v>21</v>
      </c>
      <c r="CL1123" t="s">
        <v>89</v>
      </c>
    </row>
    <row r="1124" spans="1:90">
      <c r="A1124" t="s">
        <v>72</v>
      </c>
      <c r="B1124" t="s">
        <v>73</v>
      </c>
      <c r="C1124" t="s">
        <v>74</v>
      </c>
      <c r="E1124" t="str">
        <f>"FES1162721932"</f>
        <v>FES1162721932</v>
      </c>
      <c r="F1124" s="3">
        <v>43780</v>
      </c>
      <c r="G1124">
        <v>202005</v>
      </c>
      <c r="H1124" t="s">
        <v>75</v>
      </c>
      <c r="I1124" t="s">
        <v>76</v>
      </c>
      <c r="J1124" t="s">
        <v>77</v>
      </c>
      <c r="K1124" t="s">
        <v>78</v>
      </c>
      <c r="L1124" t="s">
        <v>112</v>
      </c>
      <c r="M1124" t="s">
        <v>113</v>
      </c>
      <c r="N1124" t="s">
        <v>1083</v>
      </c>
      <c r="O1124" t="s">
        <v>82</v>
      </c>
      <c r="P1124" t="str">
        <f>"2170715205                    "</f>
        <v xml:space="preserve">2170715205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68.62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16</v>
      </c>
      <c r="BJ1124">
        <v>1.4</v>
      </c>
      <c r="BK1124">
        <v>16</v>
      </c>
      <c r="BL1124" s="4">
        <v>403.37</v>
      </c>
      <c r="BM1124" s="4">
        <v>60.51</v>
      </c>
      <c r="BN1124" s="4">
        <v>463.88</v>
      </c>
      <c r="BO1124" s="4">
        <v>463.88</v>
      </c>
      <c r="BQ1124" t="s">
        <v>121</v>
      </c>
      <c r="BR1124" t="s">
        <v>84</v>
      </c>
      <c r="BS1124" s="3">
        <v>43781</v>
      </c>
      <c r="BT1124" s="5">
        <v>0.3611111111111111</v>
      </c>
      <c r="BU1124" t="s">
        <v>1663</v>
      </c>
      <c r="BV1124" t="s">
        <v>86</v>
      </c>
      <c r="BY1124">
        <v>6900</v>
      </c>
      <c r="CA1124" t="s">
        <v>123</v>
      </c>
      <c r="CC1124" t="s">
        <v>113</v>
      </c>
      <c r="CD1124">
        <v>4001</v>
      </c>
      <c r="CE1124" t="s">
        <v>88</v>
      </c>
      <c r="CF1124" s="3">
        <v>43782</v>
      </c>
      <c r="CI1124">
        <v>1</v>
      </c>
      <c r="CJ1124">
        <v>1</v>
      </c>
      <c r="CK1124">
        <v>21</v>
      </c>
      <c r="CL1124" t="s">
        <v>89</v>
      </c>
    </row>
    <row r="1125" spans="1:90">
      <c r="A1125" t="s">
        <v>72</v>
      </c>
      <c r="B1125" t="s">
        <v>73</v>
      </c>
      <c r="C1125" t="s">
        <v>74</v>
      </c>
      <c r="E1125" t="str">
        <f>"FES1162722278"</f>
        <v>FES1162722278</v>
      </c>
      <c r="F1125" s="3">
        <v>43780</v>
      </c>
      <c r="G1125">
        <v>202005</v>
      </c>
      <c r="H1125" t="s">
        <v>75</v>
      </c>
      <c r="I1125" t="s">
        <v>76</v>
      </c>
      <c r="J1125" t="s">
        <v>77</v>
      </c>
      <c r="K1125" t="s">
        <v>78</v>
      </c>
      <c r="L1125" t="s">
        <v>176</v>
      </c>
      <c r="M1125" t="s">
        <v>177</v>
      </c>
      <c r="N1125" t="s">
        <v>598</v>
      </c>
      <c r="O1125" t="s">
        <v>82</v>
      </c>
      <c r="P1125" t="str">
        <f>"2170716483                    "</f>
        <v xml:space="preserve">2170716483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25.74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5.7</v>
      </c>
      <c r="BJ1125">
        <v>1.2</v>
      </c>
      <c r="BK1125">
        <v>6</v>
      </c>
      <c r="BL1125" s="4">
        <v>151.29</v>
      </c>
      <c r="BM1125" s="4">
        <v>22.69</v>
      </c>
      <c r="BN1125" s="4">
        <v>173.98</v>
      </c>
      <c r="BO1125" s="4">
        <v>173.98</v>
      </c>
      <c r="BQ1125" t="s">
        <v>121</v>
      </c>
      <c r="BR1125" t="s">
        <v>84</v>
      </c>
      <c r="BS1125" s="3">
        <v>43781</v>
      </c>
      <c r="BT1125" s="5">
        <v>0.42986111111111108</v>
      </c>
      <c r="BU1125" t="s">
        <v>599</v>
      </c>
      <c r="BV1125" t="s">
        <v>86</v>
      </c>
      <c r="BY1125">
        <v>5910.08</v>
      </c>
      <c r="CA1125" t="s">
        <v>224</v>
      </c>
      <c r="CC1125" t="s">
        <v>177</v>
      </c>
      <c r="CD1125">
        <v>3610</v>
      </c>
      <c r="CE1125" t="s">
        <v>88</v>
      </c>
      <c r="CF1125" s="3">
        <v>43782</v>
      </c>
      <c r="CI1125">
        <v>1</v>
      </c>
      <c r="CJ1125">
        <v>1</v>
      </c>
      <c r="CK1125">
        <v>21</v>
      </c>
      <c r="CL1125" t="s">
        <v>89</v>
      </c>
    </row>
    <row r="1126" spans="1:90">
      <c r="A1126" t="s">
        <v>72</v>
      </c>
      <c r="B1126" t="s">
        <v>73</v>
      </c>
      <c r="C1126" t="s">
        <v>74</v>
      </c>
      <c r="E1126" t="str">
        <f>"FES1162722181"</f>
        <v>FES1162722181</v>
      </c>
      <c r="F1126" s="3">
        <v>43780</v>
      </c>
      <c r="G1126">
        <v>202005</v>
      </c>
      <c r="H1126" t="s">
        <v>75</v>
      </c>
      <c r="I1126" t="s">
        <v>76</v>
      </c>
      <c r="J1126" t="s">
        <v>77</v>
      </c>
      <c r="K1126" t="s">
        <v>78</v>
      </c>
      <c r="L1126" t="s">
        <v>112</v>
      </c>
      <c r="M1126" t="s">
        <v>113</v>
      </c>
      <c r="N1126" t="s">
        <v>1044</v>
      </c>
      <c r="O1126" t="s">
        <v>82</v>
      </c>
      <c r="P1126" t="str">
        <f>"2170716393                    "</f>
        <v xml:space="preserve">2170716393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8.58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1.9</v>
      </c>
      <c r="BJ1126">
        <v>0.9</v>
      </c>
      <c r="BK1126">
        <v>2</v>
      </c>
      <c r="BL1126" s="4">
        <v>50.45</v>
      </c>
      <c r="BM1126" s="4">
        <v>7.57</v>
      </c>
      <c r="BN1126" s="4">
        <v>58.02</v>
      </c>
      <c r="BO1126" s="4">
        <v>58.02</v>
      </c>
      <c r="BQ1126" t="s">
        <v>1664</v>
      </c>
      <c r="BR1126" t="s">
        <v>84</v>
      </c>
      <c r="BS1126" s="3">
        <v>43781</v>
      </c>
      <c r="BT1126" s="5">
        <v>0.40277777777777773</v>
      </c>
      <c r="BU1126" t="s">
        <v>1605</v>
      </c>
      <c r="BV1126" t="s">
        <v>86</v>
      </c>
      <c r="BY1126">
        <v>4516.5600000000004</v>
      </c>
      <c r="CA1126" t="s">
        <v>428</v>
      </c>
      <c r="CC1126" t="s">
        <v>113</v>
      </c>
      <c r="CD1126">
        <v>4072</v>
      </c>
      <c r="CE1126" t="s">
        <v>88</v>
      </c>
      <c r="CF1126" s="3">
        <v>43782</v>
      </c>
      <c r="CI1126">
        <v>1</v>
      </c>
      <c r="CJ1126">
        <v>1</v>
      </c>
      <c r="CK1126">
        <v>21</v>
      </c>
      <c r="CL1126" t="s">
        <v>89</v>
      </c>
    </row>
    <row r="1127" spans="1:90">
      <c r="A1127" t="s">
        <v>72</v>
      </c>
      <c r="B1127" t="s">
        <v>73</v>
      </c>
      <c r="C1127" t="s">
        <v>74</v>
      </c>
      <c r="E1127" t="str">
        <f>"FES1162720650"</f>
        <v>FES1162720650</v>
      </c>
      <c r="F1127" s="3">
        <v>43780</v>
      </c>
      <c r="G1127">
        <v>202005</v>
      </c>
      <c r="H1127" t="s">
        <v>75</v>
      </c>
      <c r="I1127" t="s">
        <v>76</v>
      </c>
      <c r="J1127" t="s">
        <v>77</v>
      </c>
      <c r="K1127" t="s">
        <v>78</v>
      </c>
      <c r="L1127" t="s">
        <v>1268</v>
      </c>
      <c r="M1127" t="s">
        <v>1269</v>
      </c>
      <c r="N1127" t="s">
        <v>1665</v>
      </c>
      <c r="O1127" t="s">
        <v>82</v>
      </c>
      <c r="P1127" t="str">
        <f>"2170712996                    "</f>
        <v xml:space="preserve">2170712996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17.16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3.6</v>
      </c>
      <c r="BJ1127">
        <v>3.2</v>
      </c>
      <c r="BK1127">
        <v>4</v>
      </c>
      <c r="BL1127" s="4">
        <v>100.87</v>
      </c>
      <c r="BM1127" s="4">
        <v>15.13</v>
      </c>
      <c r="BN1127" s="4">
        <v>116</v>
      </c>
      <c r="BO1127" s="4">
        <v>116</v>
      </c>
      <c r="BQ1127" t="s">
        <v>1666</v>
      </c>
      <c r="BR1127" t="s">
        <v>84</v>
      </c>
      <c r="BS1127" s="3">
        <v>43781</v>
      </c>
      <c r="BT1127" s="5">
        <v>0.46458333333333335</v>
      </c>
      <c r="BU1127" t="s">
        <v>1667</v>
      </c>
      <c r="BV1127" t="s">
        <v>86</v>
      </c>
      <c r="BY1127">
        <v>15781.39</v>
      </c>
      <c r="CA1127" t="s">
        <v>1668</v>
      </c>
      <c r="CC1127" t="s">
        <v>1269</v>
      </c>
      <c r="CD1127">
        <v>3290</v>
      </c>
      <c r="CE1127" t="s">
        <v>88</v>
      </c>
      <c r="CF1127" s="3">
        <v>43782</v>
      </c>
      <c r="CI1127">
        <v>1</v>
      </c>
      <c r="CJ1127">
        <v>1</v>
      </c>
      <c r="CK1127">
        <v>21</v>
      </c>
      <c r="CL1127" t="s">
        <v>89</v>
      </c>
    </row>
    <row r="1128" spans="1:90">
      <c r="A1128" t="s">
        <v>72</v>
      </c>
      <c r="B1128" t="s">
        <v>73</v>
      </c>
      <c r="C1128" t="s">
        <v>74</v>
      </c>
      <c r="E1128" t="str">
        <f>"FES1162722212"</f>
        <v>FES1162722212</v>
      </c>
      <c r="F1128" s="3">
        <v>43780</v>
      </c>
      <c r="G1128">
        <v>202005</v>
      </c>
      <c r="H1128" t="s">
        <v>75</v>
      </c>
      <c r="I1128" t="s">
        <v>76</v>
      </c>
      <c r="J1128" t="s">
        <v>77</v>
      </c>
      <c r="K1128" t="s">
        <v>78</v>
      </c>
      <c r="L1128" t="s">
        <v>112</v>
      </c>
      <c r="M1128" t="s">
        <v>113</v>
      </c>
      <c r="N1128" t="s">
        <v>790</v>
      </c>
      <c r="O1128" t="s">
        <v>82</v>
      </c>
      <c r="P1128" t="str">
        <f>"217014259                     "</f>
        <v xml:space="preserve">217014259 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12.87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2.7</v>
      </c>
      <c r="BJ1128">
        <v>2.7</v>
      </c>
      <c r="BK1128">
        <v>3</v>
      </c>
      <c r="BL1128" s="4">
        <v>75.66</v>
      </c>
      <c r="BM1128" s="4">
        <v>11.35</v>
      </c>
      <c r="BN1128" s="4">
        <v>87.01</v>
      </c>
      <c r="BO1128" s="4">
        <v>87.01</v>
      </c>
      <c r="BQ1128" t="s">
        <v>121</v>
      </c>
      <c r="BR1128" t="s">
        <v>84</v>
      </c>
      <c r="BS1128" s="3">
        <v>43781</v>
      </c>
      <c r="BT1128" s="5">
        <v>0.43333333333333335</v>
      </c>
      <c r="BU1128" t="s">
        <v>1669</v>
      </c>
      <c r="BV1128" t="s">
        <v>86</v>
      </c>
      <c r="BY1128">
        <v>13584.56</v>
      </c>
      <c r="CC1128" t="s">
        <v>113</v>
      </c>
      <c r="CD1128">
        <v>4068</v>
      </c>
      <c r="CE1128" t="s">
        <v>1598</v>
      </c>
      <c r="CF1128" s="3">
        <v>43782</v>
      </c>
      <c r="CI1128">
        <v>1</v>
      </c>
      <c r="CJ1128">
        <v>1</v>
      </c>
      <c r="CK1128">
        <v>21</v>
      </c>
      <c r="CL1128" t="s">
        <v>89</v>
      </c>
    </row>
    <row r="1129" spans="1:90">
      <c r="A1129" t="s">
        <v>72</v>
      </c>
      <c r="B1129" t="s">
        <v>73</v>
      </c>
      <c r="C1129" t="s">
        <v>74</v>
      </c>
      <c r="E1129" t="str">
        <f>"FES1162722280"</f>
        <v>FES1162722280</v>
      </c>
      <c r="F1129" s="3">
        <v>43780</v>
      </c>
      <c r="G1129">
        <v>202005</v>
      </c>
      <c r="H1129" t="s">
        <v>75</v>
      </c>
      <c r="I1129" t="s">
        <v>76</v>
      </c>
      <c r="J1129" t="s">
        <v>77</v>
      </c>
      <c r="K1129" t="s">
        <v>78</v>
      </c>
      <c r="L1129" t="s">
        <v>106</v>
      </c>
      <c r="M1129" t="s">
        <v>107</v>
      </c>
      <c r="N1129" t="s">
        <v>128</v>
      </c>
      <c r="O1129" t="s">
        <v>82</v>
      </c>
      <c r="P1129" t="str">
        <f>"2170713950                    "</f>
        <v xml:space="preserve">2170713950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32.17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7.2</v>
      </c>
      <c r="BJ1129">
        <v>6.6</v>
      </c>
      <c r="BK1129">
        <v>7.5</v>
      </c>
      <c r="BL1129" s="4">
        <v>189.1</v>
      </c>
      <c r="BM1129" s="4">
        <v>28.37</v>
      </c>
      <c r="BN1129" s="4">
        <v>217.47</v>
      </c>
      <c r="BO1129" s="4">
        <v>217.47</v>
      </c>
      <c r="BQ1129" t="s">
        <v>121</v>
      </c>
      <c r="BR1129" t="s">
        <v>84</v>
      </c>
      <c r="BS1129" s="3">
        <v>43781</v>
      </c>
      <c r="BT1129" s="5">
        <v>0.33333333333333331</v>
      </c>
      <c r="BU1129" t="s">
        <v>714</v>
      </c>
      <c r="BV1129" t="s">
        <v>86</v>
      </c>
      <c r="BY1129">
        <v>33144.230000000003</v>
      </c>
      <c r="CA1129" t="s">
        <v>87</v>
      </c>
      <c r="CC1129" t="s">
        <v>107</v>
      </c>
      <c r="CD1129">
        <v>6001</v>
      </c>
      <c r="CE1129" t="s">
        <v>1598</v>
      </c>
      <c r="CF1129" s="3">
        <v>43782</v>
      </c>
      <c r="CI1129">
        <v>1</v>
      </c>
      <c r="CJ1129">
        <v>1</v>
      </c>
      <c r="CK1129">
        <v>21</v>
      </c>
      <c r="CL1129" t="s">
        <v>89</v>
      </c>
    </row>
    <row r="1130" spans="1:90">
      <c r="A1130" t="s">
        <v>72</v>
      </c>
      <c r="B1130" t="s">
        <v>73</v>
      </c>
      <c r="C1130" t="s">
        <v>74</v>
      </c>
      <c r="E1130" t="str">
        <f>"FES1162722290"</f>
        <v>FES1162722290</v>
      </c>
      <c r="F1130" s="3">
        <v>43780</v>
      </c>
      <c r="G1130">
        <v>202005</v>
      </c>
      <c r="H1130" t="s">
        <v>75</v>
      </c>
      <c r="I1130" t="s">
        <v>76</v>
      </c>
      <c r="J1130" t="s">
        <v>77</v>
      </c>
      <c r="K1130" t="s">
        <v>78</v>
      </c>
      <c r="L1130" t="s">
        <v>90</v>
      </c>
      <c r="M1130" t="s">
        <v>91</v>
      </c>
      <c r="N1130" t="s">
        <v>576</v>
      </c>
      <c r="O1130" t="s">
        <v>82</v>
      </c>
      <c r="P1130" t="str">
        <f>"2170716489                    "</f>
        <v xml:space="preserve">2170716489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30.03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6.8</v>
      </c>
      <c r="BJ1130">
        <v>3.4</v>
      </c>
      <c r="BK1130">
        <v>7</v>
      </c>
      <c r="BL1130" s="4">
        <v>176.5</v>
      </c>
      <c r="BM1130" s="4">
        <v>26.48</v>
      </c>
      <c r="BN1130" s="4">
        <v>202.98</v>
      </c>
      <c r="BO1130" s="4">
        <v>202.98</v>
      </c>
      <c r="BQ1130" t="s">
        <v>109</v>
      </c>
      <c r="BR1130" t="s">
        <v>84</v>
      </c>
      <c r="BS1130" s="3">
        <v>43781</v>
      </c>
      <c r="BT1130" s="5">
        <v>0.34861111111111115</v>
      </c>
      <c r="BU1130" t="s">
        <v>1477</v>
      </c>
      <c r="BV1130" t="s">
        <v>86</v>
      </c>
      <c r="BY1130">
        <v>17153.22</v>
      </c>
      <c r="CC1130" t="s">
        <v>91</v>
      </c>
      <c r="CD1130">
        <v>7441</v>
      </c>
      <c r="CE1130" t="s">
        <v>88</v>
      </c>
      <c r="CF1130" s="3">
        <v>43782</v>
      </c>
      <c r="CI1130">
        <v>1</v>
      </c>
      <c r="CJ1130">
        <v>1</v>
      </c>
      <c r="CK1130">
        <v>21</v>
      </c>
      <c r="CL1130" t="s">
        <v>89</v>
      </c>
    </row>
    <row r="1131" spans="1:90">
      <c r="A1131" t="s">
        <v>72</v>
      </c>
      <c r="B1131" t="s">
        <v>73</v>
      </c>
      <c r="C1131" t="s">
        <v>74</v>
      </c>
      <c r="E1131" t="str">
        <f>"FES1162722257"</f>
        <v>FES1162722257</v>
      </c>
      <c r="F1131" s="3">
        <v>43780</v>
      </c>
      <c r="G1131">
        <v>202005</v>
      </c>
      <c r="H1131" t="s">
        <v>75</v>
      </c>
      <c r="I1131" t="s">
        <v>76</v>
      </c>
      <c r="J1131" t="s">
        <v>77</v>
      </c>
      <c r="K1131" t="s">
        <v>78</v>
      </c>
      <c r="L1131" t="s">
        <v>112</v>
      </c>
      <c r="M1131" t="s">
        <v>113</v>
      </c>
      <c r="N1131" t="s">
        <v>887</v>
      </c>
      <c r="O1131" t="s">
        <v>82</v>
      </c>
      <c r="P1131" t="str">
        <f>"2170714433                    "</f>
        <v xml:space="preserve">2170714433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12.87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1.7</v>
      </c>
      <c r="BJ1131">
        <v>2.6</v>
      </c>
      <c r="BK1131">
        <v>3</v>
      </c>
      <c r="BL1131" s="4">
        <v>75.66</v>
      </c>
      <c r="BM1131" s="4">
        <v>11.35</v>
      </c>
      <c r="BN1131" s="4">
        <v>87.01</v>
      </c>
      <c r="BO1131" s="4">
        <v>87.01</v>
      </c>
      <c r="BQ1131" t="s">
        <v>121</v>
      </c>
      <c r="BR1131" t="s">
        <v>84</v>
      </c>
      <c r="BS1131" s="3">
        <v>43781</v>
      </c>
      <c r="BT1131" s="5">
        <v>0.30694444444444441</v>
      </c>
      <c r="BU1131" t="s">
        <v>1670</v>
      </c>
      <c r="BV1131" t="s">
        <v>86</v>
      </c>
      <c r="BY1131">
        <v>12788.52</v>
      </c>
      <c r="CA1131" t="s">
        <v>180</v>
      </c>
      <c r="CC1131" t="s">
        <v>113</v>
      </c>
      <c r="CD1131">
        <v>4001</v>
      </c>
      <c r="CE1131" t="s">
        <v>1598</v>
      </c>
      <c r="CF1131" s="3">
        <v>43782</v>
      </c>
      <c r="CI1131">
        <v>1</v>
      </c>
      <c r="CJ1131">
        <v>1</v>
      </c>
      <c r="CK1131">
        <v>21</v>
      </c>
      <c r="CL1131" t="s">
        <v>89</v>
      </c>
    </row>
    <row r="1132" spans="1:90">
      <c r="A1132" t="s">
        <v>72</v>
      </c>
      <c r="B1132" t="s">
        <v>73</v>
      </c>
      <c r="C1132" t="s">
        <v>74</v>
      </c>
      <c r="E1132" t="str">
        <f>"FES1162722209"</f>
        <v>FES1162722209</v>
      </c>
      <c r="F1132" s="3">
        <v>43780</v>
      </c>
      <c r="G1132">
        <v>202005</v>
      </c>
      <c r="H1132" t="s">
        <v>75</v>
      </c>
      <c r="I1132" t="s">
        <v>76</v>
      </c>
      <c r="J1132" t="s">
        <v>77</v>
      </c>
      <c r="K1132" t="s">
        <v>78</v>
      </c>
      <c r="L1132" t="s">
        <v>112</v>
      </c>
      <c r="M1132" t="s">
        <v>113</v>
      </c>
      <c r="N1132" t="s">
        <v>790</v>
      </c>
      <c r="O1132" t="s">
        <v>82</v>
      </c>
      <c r="P1132" t="str">
        <f>"2170714257                    "</f>
        <v xml:space="preserve">2170714257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57.9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10.1</v>
      </c>
      <c r="BJ1132">
        <v>13.2</v>
      </c>
      <c r="BK1132">
        <v>13.5</v>
      </c>
      <c r="BL1132" s="4">
        <v>340.35</v>
      </c>
      <c r="BM1132" s="4">
        <v>51.05</v>
      </c>
      <c r="BN1132" s="4">
        <v>391.4</v>
      </c>
      <c r="BO1132" s="4">
        <v>391.4</v>
      </c>
      <c r="BQ1132" t="s">
        <v>121</v>
      </c>
      <c r="BR1132" t="s">
        <v>84</v>
      </c>
      <c r="BS1132" s="3">
        <v>43781</v>
      </c>
      <c r="BT1132" s="5">
        <v>0.41041666666666665</v>
      </c>
      <c r="BU1132" t="s">
        <v>1671</v>
      </c>
      <c r="BV1132" t="s">
        <v>86</v>
      </c>
      <c r="BY1132">
        <v>65880.28</v>
      </c>
      <c r="CA1132" t="s">
        <v>255</v>
      </c>
      <c r="CC1132" t="s">
        <v>113</v>
      </c>
      <c r="CD1132">
        <v>4068</v>
      </c>
      <c r="CE1132" t="s">
        <v>1598</v>
      </c>
      <c r="CF1132" s="3">
        <v>43782</v>
      </c>
      <c r="CI1132">
        <v>1</v>
      </c>
      <c r="CJ1132">
        <v>1</v>
      </c>
      <c r="CK1132">
        <v>21</v>
      </c>
      <c r="CL1132" t="s">
        <v>89</v>
      </c>
    </row>
    <row r="1133" spans="1:90">
      <c r="A1133" t="s">
        <v>72</v>
      </c>
      <c r="B1133" t="s">
        <v>73</v>
      </c>
      <c r="C1133" t="s">
        <v>74</v>
      </c>
      <c r="E1133" t="str">
        <f>"FES1162722337"</f>
        <v>FES1162722337</v>
      </c>
      <c r="F1133" s="3">
        <v>43780</v>
      </c>
      <c r="G1133">
        <v>202005</v>
      </c>
      <c r="H1133" t="s">
        <v>75</v>
      </c>
      <c r="I1133" t="s">
        <v>76</v>
      </c>
      <c r="J1133" t="s">
        <v>77</v>
      </c>
      <c r="K1133" t="s">
        <v>78</v>
      </c>
      <c r="L1133" t="s">
        <v>482</v>
      </c>
      <c r="M1133" t="s">
        <v>483</v>
      </c>
      <c r="N1133" t="s">
        <v>1442</v>
      </c>
      <c r="O1133" t="s">
        <v>82</v>
      </c>
      <c r="P1133" t="str">
        <f>"2170715411                    "</f>
        <v xml:space="preserve">2170715411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12.33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5.4</v>
      </c>
      <c r="BJ1133">
        <v>1.6</v>
      </c>
      <c r="BK1133">
        <v>5.5</v>
      </c>
      <c r="BL1133" s="4">
        <v>72.48</v>
      </c>
      <c r="BM1133" s="4">
        <v>10.87</v>
      </c>
      <c r="BN1133" s="4">
        <v>83.35</v>
      </c>
      <c r="BO1133" s="4">
        <v>83.35</v>
      </c>
      <c r="BR1133" t="s">
        <v>84</v>
      </c>
      <c r="BS1133" s="3">
        <v>43781</v>
      </c>
      <c r="BT1133" s="5">
        <v>0.27013888888888887</v>
      </c>
      <c r="BU1133" t="s">
        <v>1443</v>
      </c>
      <c r="BV1133" t="s">
        <v>86</v>
      </c>
      <c r="BY1133">
        <v>8084.48</v>
      </c>
      <c r="CA1133" t="s">
        <v>1336</v>
      </c>
      <c r="CC1133" t="s">
        <v>483</v>
      </c>
      <c r="CD1133">
        <v>1460</v>
      </c>
      <c r="CE1133" t="s">
        <v>88</v>
      </c>
      <c r="CF1133" s="3">
        <v>43782</v>
      </c>
      <c r="CI1133">
        <v>1</v>
      </c>
      <c r="CJ1133">
        <v>1</v>
      </c>
      <c r="CK1133">
        <v>22</v>
      </c>
      <c r="CL1133" t="s">
        <v>89</v>
      </c>
    </row>
    <row r="1134" spans="1:90">
      <c r="A1134" t="s">
        <v>72</v>
      </c>
      <c r="B1134" t="s">
        <v>73</v>
      </c>
      <c r="C1134" t="s">
        <v>74</v>
      </c>
      <c r="E1134" t="str">
        <f>"FES1162722284"</f>
        <v>FES1162722284</v>
      </c>
      <c r="F1134" s="3">
        <v>43780</v>
      </c>
      <c r="G1134">
        <v>202005</v>
      </c>
      <c r="H1134" t="s">
        <v>75</v>
      </c>
      <c r="I1134" t="s">
        <v>76</v>
      </c>
      <c r="J1134" t="s">
        <v>77</v>
      </c>
      <c r="K1134" t="s">
        <v>78</v>
      </c>
      <c r="L1134" t="s">
        <v>90</v>
      </c>
      <c r="M1134" t="s">
        <v>91</v>
      </c>
      <c r="N1134" t="s">
        <v>675</v>
      </c>
      <c r="O1134" t="s">
        <v>82</v>
      </c>
      <c r="P1134" t="str">
        <f>"2170716470                    "</f>
        <v xml:space="preserve">2170716470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8.58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2</v>
      </c>
      <c r="BJ1134">
        <v>2</v>
      </c>
      <c r="BK1134">
        <v>2</v>
      </c>
      <c r="BL1134" s="4">
        <v>50.45</v>
      </c>
      <c r="BM1134" s="4">
        <v>7.57</v>
      </c>
      <c r="BN1134" s="4">
        <v>58.02</v>
      </c>
      <c r="BO1134" s="4">
        <v>58.02</v>
      </c>
      <c r="BQ1134" t="s">
        <v>109</v>
      </c>
      <c r="BR1134" t="s">
        <v>84</v>
      </c>
      <c r="BS1134" s="3">
        <v>43781</v>
      </c>
      <c r="BT1134" s="5">
        <v>0.35347222222222219</v>
      </c>
      <c r="BU1134" t="s">
        <v>1672</v>
      </c>
      <c r="BV1134" t="s">
        <v>86</v>
      </c>
      <c r="BY1134">
        <v>9918</v>
      </c>
      <c r="CA1134" t="s">
        <v>1281</v>
      </c>
      <c r="CC1134" t="s">
        <v>91</v>
      </c>
      <c r="CD1134">
        <v>7945</v>
      </c>
      <c r="CE1134" t="s">
        <v>88</v>
      </c>
      <c r="CF1134" s="3">
        <v>43782</v>
      </c>
      <c r="CI1134">
        <v>1</v>
      </c>
      <c r="CJ1134">
        <v>1</v>
      </c>
      <c r="CK1134">
        <v>21</v>
      </c>
      <c r="CL1134" t="s">
        <v>89</v>
      </c>
    </row>
    <row r="1135" spans="1:90">
      <c r="A1135" t="s">
        <v>72</v>
      </c>
      <c r="B1135" t="s">
        <v>73</v>
      </c>
      <c r="C1135" t="s">
        <v>74</v>
      </c>
      <c r="E1135" t="str">
        <f>"FES1162722264"</f>
        <v>FES1162722264</v>
      </c>
      <c r="F1135" s="3">
        <v>43780</v>
      </c>
      <c r="G1135">
        <v>202005</v>
      </c>
      <c r="H1135" t="s">
        <v>75</v>
      </c>
      <c r="I1135" t="s">
        <v>76</v>
      </c>
      <c r="J1135" t="s">
        <v>77</v>
      </c>
      <c r="K1135" t="s">
        <v>78</v>
      </c>
      <c r="L1135" t="s">
        <v>90</v>
      </c>
      <c r="M1135" t="s">
        <v>91</v>
      </c>
      <c r="N1135" t="s">
        <v>1673</v>
      </c>
      <c r="O1135" t="s">
        <v>82</v>
      </c>
      <c r="P1135" t="str">
        <f>"2170716463                    "</f>
        <v xml:space="preserve">2170716463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8.58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</v>
      </c>
      <c r="BJ1135">
        <v>0.9</v>
      </c>
      <c r="BK1135">
        <v>2</v>
      </c>
      <c r="BL1135" s="4">
        <v>50.45</v>
      </c>
      <c r="BM1135" s="4">
        <v>7.57</v>
      </c>
      <c r="BN1135" s="4">
        <v>58.02</v>
      </c>
      <c r="BO1135" s="4">
        <v>58.02</v>
      </c>
      <c r="BQ1135" t="s">
        <v>121</v>
      </c>
      <c r="BR1135" t="s">
        <v>84</v>
      </c>
      <c r="BS1135" s="3">
        <v>43781</v>
      </c>
      <c r="BT1135" s="5">
        <v>0.34236111111111112</v>
      </c>
      <c r="BU1135" t="s">
        <v>1674</v>
      </c>
      <c r="BV1135" t="s">
        <v>86</v>
      </c>
      <c r="BY1135">
        <v>4464.6400000000003</v>
      </c>
      <c r="CA1135" t="s">
        <v>329</v>
      </c>
      <c r="CC1135" t="s">
        <v>91</v>
      </c>
      <c r="CD1135">
        <v>7405</v>
      </c>
      <c r="CE1135" t="s">
        <v>88</v>
      </c>
      <c r="CF1135" s="3">
        <v>43782</v>
      </c>
      <c r="CI1135">
        <v>1</v>
      </c>
      <c r="CJ1135">
        <v>1</v>
      </c>
      <c r="CK1135">
        <v>21</v>
      </c>
      <c r="CL1135" t="s">
        <v>89</v>
      </c>
    </row>
    <row r="1136" spans="1:90">
      <c r="A1136" t="s">
        <v>72</v>
      </c>
      <c r="B1136" t="s">
        <v>73</v>
      </c>
      <c r="C1136" t="s">
        <v>74</v>
      </c>
      <c r="E1136" t="str">
        <f>"FES1162722282"</f>
        <v>FES1162722282</v>
      </c>
      <c r="F1136" s="3">
        <v>43780</v>
      </c>
      <c r="G1136">
        <v>202005</v>
      </c>
      <c r="H1136" t="s">
        <v>75</v>
      </c>
      <c r="I1136" t="s">
        <v>76</v>
      </c>
      <c r="J1136" t="s">
        <v>77</v>
      </c>
      <c r="K1136" t="s">
        <v>78</v>
      </c>
      <c r="L1136" t="s">
        <v>106</v>
      </c>
      <c r="M1136" t="s">
        <v>107</v>
      </c>
      <c r="N1136" t="s">
        <v>128</v>
      </c>
      <c r="O1136" t="s">
        <v>82</v>
      </c>
      <c r="P1136" t="str">
        <f>"2170714494                    "</f>
        <v xml:space="preserve">2170714494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30.03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2</v>
      </c>
      <c r="BI1136">
        <v>1.9</v>
      </c>
      <c r="BJ1136">
        <v>6.6</v>
      </c>
      <c r="BK1136">
        <v>7</v>
      </c>
      <c r="BL1136" s="4">
        <v>176.5</v>
      </c>
      <c r="BM1136" s="4">
        <v>26.48</v>
      </c>
      <c r="BN1136" s="4">
        <v>202.98</v>
      </c>
      <c r="BO1136" s="4">
        <v>202.98</v>
      </c>
      <c r="BQ1136" t="s">
        <v>121</v>
      </c>
      <c r="BR1136" t="s">
        <v>84</v>
      </c>
      <c r="BS1136" s="3">
        <v>43781</v>
      </c>
      <c r="BT1136" s="5">
        <v>0.33333333333333331</v>
      </c>
      <c r="BU1136" t="s">
        <v>714</v>
      </c>
      <c r="BV1136" t="s">
        <v>86</v>
      </c>
      <c r="BY1136">
        <v>32949.68</v>
      </c>
      <c r="CA1136" t="s">
        <v>87</v>
      </c>
      <c r="CC1136" t="s">
        <v>107</v>
      </c>
      <c r="CD1136">
        <v>6001</v>
      </c>
      <c r="CE1136" t="s">
        <v>88</v>
      </c>
      <c r="CF1136" s="3">
        <v>43782</v>
      </c>
      <c r="CI1136">
        <v>1</v>
      </c>
      <c r="CJ1136">
        <v>1</v>
      </c>
      <c r="CK1136">
        <v>21</v>
      </c>
      <c r="CL1136" t="s">
        <v>89</v>
      </c>
    </row>
    <row r="1137" spans="1:90">
      <c r="A1137" t="s">
        <v>72</v>
      </c>
      <c r="B1137" t="s">
        <v>73</v>
      </c>
      <c r="C1137" t="s">
        <v>74</v>
      </c>
      <c r="E1137" t="str">
        <f>"FES1162722287"</f>
        <v>FES1162722287</v>
      </c>
      <c r="F1137" s="3">
        <v>43780</v>
      </c>
      <c r="G1137">
        <v>202005</v>
      </c>
      <c r="H1137" t="s">
        <v>75</v>
      </c>
      <c r="I1137" t="s">
        <v>76</v>
      </c>
      <c r="J1137" t="s">
        <v>77</v>
      </c>
      <c r="K1137" t="s">
        <v>78</v>
      </c>
      <c r="L1137" t="s">
        <v>112</v>
      </c>
      <c r="M1137" t="s">
        <v>113</v>
      </c>
      <c r="N1137" t="s">
        <v>620</v>
      </c>
      <c r="O1137" t="s">
        <v>82</v>
      </c>
      <c r="P1137" t="str">
        <f>"2170716486                    "</f>
        <v xml:space="preserve">2170716486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8.58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 s="4">
        <v>50.45</v>
      </c>
      <c r="BM1137" s="4">
        <v>7.57</v>
      </c>
      <c r="BN1137" s="4">
        <v>58.02</v>
      </c>
      <c r="BO1137" s="4">
        <v>58.02</v>
      </c>
      <c r="BQ1137" t="s">
        <v>109</v>
      </c>
      <c r="BR1137" t="s">
        <v>84</v>
      </c>
      <c r="BS1137" s="3">
        <v>43781</v>
      </c>
      <c r="BT1137" s="5">
        <v>0.4375</v>
      </c>
      <c r="BU1137" t="s">
        <v>1675</v>
      </c>
      <c r="BV1137" t="s">
        <v>86</v>
      </c>
      <c r="BY1137">
        <v>1200</v>
      </c>
      <c r="CC1137" t="s">
        <v>113</v>
      </c>
      <c r="CD1137">
        <v>4302</v>
      </c>
      <c r="CE1137" t="s">
        <v>147</v>
      </c>
      <c r="CF1137" s="3">
        <v>43782</v>
      </c>
      <c r="CI1137">
        <v>1</v>
      </c>
      <c r="CJ1137">
        <v>1</v>
      </c>
      <c r="CK1137">
        <v>21</v>
      </c>
      <c r="CL1137" t="s">
        <v>89</v>
      </c>
    </row>
    <row r="1138" spans="1:90">
      <c r="A1138" t="s">
        <v>72</v>
      </c>
      <c r="B1138" t="s">
        <v>73</v>
      </c>
      <c r="C1138" t="s">
        <v>74</v>
      </c>
      <c r="E1138" t="str">
        <f>"FES1162722182"</f>
        <v>FES1162722182</v>
      </c>
      <c r="F1138" s="3">
        <v>43780</v>
      </c>
      <c r="G1138">
        <v>202005</v>
      </c>
      <c r="H1138" t="s">
        <v>75</v>
      </c>
      <c r="I1138" t="s">
        <v>76</v>
      </c>
      <c r="J1138" t="s">
        <v>77</v>
      </c>
      <c r="K1138" t="s">
        <v>78</v>
      </c>
      <c r="L1138" t="s">
        <v>112</v>
      </c>
      <c r="M1138" t="s">
        <v>113</v>
      </c>
      <c r="N1138" t="s">
        <v>446</v>
      </c>
      <c r="O1138" t="s">
        <v>82</v>
      </c>
      <c r="P1138" t="str">
        <f>"2170716396                    "</f>
        <v xml:space="preserve">2170716396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8.58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 s="4">
        <v>50.45</v>
      </c>
      <c r="BM1138" s="4">
        <v>7.57</v>
      </c>
      <c r="BN1138" s="4">
        <v>58.02</v>
      </c>
      <c r="BO1138" s="4">
        <v>58.02</v>
      </c>
      <c r="BQ1138" t="s">
        <v>121</v>
      </c>
      <c r="BR1138" t="s">
        <v>84</v>
      </c>
      <c r="BS1138" s="3">
        <v>43781</v>
      </c>
      <c r="BT1138" s="5">
        <v>0.3527777777777778</v>
      </c>
      <c r="BU1138" t="s">
        <v>1676</v>
      </c>
      <c r="BV1138" t="s">
        <v>86</v>
      </c>
      <c r="BY1138">
        <v>1200</v>
      </c>
      <c r="CA1138" t="s">
        <v>255</v>
      </c>
      <c r="CC1138" t="s">
        <v>113</v>
      </c>
      <c r="CD1138">
        <v>4052</v>
      </c>
      <c r="CE1138" t="s">
        <v>147</v>
      </c>
      <c r="CF1138" s="3">
        <v>43782</v>
      </c>
      <c r="CI1138">
        <v>1</v>
      </c>
      <c r="CJ1138">
        <v>1</v>
      </c>
      <c r="CK1138">
        <v>21</v>
      </c>
      <c r="CL1138" t="s">
        <v>89</v>
      </c>
    </row>
    <row r="1139" spans="1:90">
      <c r="A1139" t="s">
        <v>72</v>
      </c>
      <c r="B1139" t="s">
        <v>73</v>
      </c>
      <c r="C1139" t="s">
        <v>74</v>
      </c>
      <c r="E1139" t="str">
        <f>"FES1162722265"</f>
        <v>FES1162722265</v>
      </c>
      <c r="F1139" s="3">
        <v>43780</v>
      </c>
      <c r="G1139">
        <v>202005</v>
      </c>
      <c r="H1139" t="s">
        <v>75</v>
      </c>
      <c r="I1139" t="s">
        <v>76</v>
      </c>
      <c r="J1139" t="s">
        <v>77</v>
      </c>
      <c r="K1139" t="s">
        <v>78</v>
      </c>
      <c r="L1139" t="s">
        <v>112</v>
      </c>
      <c r="M1139" t="s">
        <v>113</v>
      </c>
      <c r="N1139" t="s">
        <v>423</v>
      </c>
      <c r="O1139" t="s">
        <v>82</v>
      </c>
      <c r="P1139" t="str">
        <f>"2170716466                    "</f>
        <v xml:space="preserve">2170716466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8.58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 s="4">
        <v>50.45</v>
      </c>
      <c r="BM1139" s="4">
        <v>7.57</v>
      </c>
      <c r="BN1139" s="4">
        <v>58.02</v>
      </c>
      <c r="BO1139" s="4">
        <v>58.02</v>
      </c>
      <c r="BQ1139" t="s">
        <v>424</v>
      </c>
      <c r="BR1139" t="s">
        <v>84</v>
      </c>
      <c r="BS1139" s="3">
        <v>43781</v>
      </c>
      <c r="BT1139" s="5">
        <v>0.30624999999999997</v>
      </c>
      <c r="BU1139" t="s">
        <v>1677</v>
      </c>
      <c r="BV1139" t="s">
        <v>86</v>
      </c>
      <c r="BY1139">
        <v>1200</v>
      </c>
      <c r="CA1139" t="s">
        <v>426</v>
      </c>
      <c r="CC1139" t="s">
        <v>113</v>
      </c>
      <c r="CD1139">
        <v>4001</v>
      </c>
      <c r="CE1139" t="s">
        <v>147</v>
      </c>
      <c r="CF1139" s="3">
        <v>43782</v>
      </c>
      <c r="CI1139">
        <v>1</v>
      </c>
      <c r="CJ1139">
        <v>1</v>
      </c>
      <c r="CK1139">
        <v>21</v>
      </c>
      <c r="CL1139" t="s">
        <v>89</v>
      </c>
    </row>
    <row r="1140" spans="1:90">
      <c r="A1140" t="s">
        <v>72</v>
      </c>
      <c r="B1140" t="s">
        <v>73</v>
      </c>
      <c r="C1140" t="s">
        <v>74</v>
      </c>
      <c r="E1140" t="str">
        <f>"FES1162722214"</f>
        <v>FES1162722214</v>
      </c>
      <c r="F1140" s="3">
        <v>43780</v>
      </c>
      <c r="G1140">
        <v>202005</v>
      </c>
      <c r="H1140" t="s">
        <v>75</v>
      </c>
      <c r="I1140" t="s">
        <v>76</v>
      </c>
      <c r="J1140" t="s">
        <v>77</v>
      </c>
      <c r="K1140" t="s">
        <v>78</v>
      </c>
      <c r="L1140" t="s">
        <v>112</v>
      </c>
      <c r="M1140" t="s">
        <v>113</v>
      </c>
      <c r="N1140" t="s">
        <v>1678</v>
      </c>
      <c r="O1140" t="s">
        <v>82</v>
      </c>
      <c r="P1140" t="str">
        <f>"2170716402                    "</f>
        <v xml:space="preserve">2170716402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8.58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 s="4">
        <v>50.45</v>
      </c>
      <c r="BM1140" s="4">
        <v>7.57</v>
      </c>
      <c r="BN1140" s="4">
        <v>58.02</v>
      </c>
      <c r="BO1140" s="4">
        <v>58.02</v>
      </c>
      <c r="BQ1140" t="s">
        <v>142</v>
      </c>
      <c r="BR1140" t="s">
        <v>84</v>
      </c>
      <c r="BS1140" s="3">
        <v>43781</v>
      </c>
      <c r="BT1140" s="5">
        <v>0.40833333333333338</v>
      </c>
      <c r="BU1140" t="s">
        <v>1679</v>
      </c>
      <c r="BV1140" t="s">
        <v>86</v>
      </c>
      <c r="BY1140">
        <v>1200</v>
      </c>
      <c r="CA1140" t="s">
        <v>255</v>
      </c>
      <c r="CC1140" t="s">
        <v>113</v>
      </c>
      <c r="CD1140">
        <v>4068</v>
      </c>
      <c r="CE1140" t="s">
        <v>147</v>
      </c>
      <c r="CF1140" s="3">
        <v>43782</v>
      </c>
      <c r="CI1140">
        <v>1</v>
      </c>
      <c r="CJ1140">
        <v>1</v>
      </c>
      <c r="CK1140">
        <v>21</v>
      </c>
      <c r="CL1140" t="s">
        <v>89</v>
      </c>
    </row>
    <row r="1141" spans="1:90">
      <c r="A1141" t="s">
        <v>72</v>
      </c>
      <c r="B1141" t="s">
        <v>73</v>
      </c>
      <c r="C1141" t="s">
        <v>74</v>
      </c>
      <c r="E1141" t="str">
        <f>"FES1162722266"</f>
        <v>FES1162722266</v>
      </c>
      <c r="F1141" s="3">
        <v>43780</v>
      </c>
      <c r="G1141">
        <v>202005</v>
      </c>
      <c r="H1141" t="s">
        <v>75</v>
      </c>
      <c r="I1141" t="s">
        <v>76</v>
      </c>
      <c r="J1141" t="s">
        <v>77</v>
      </c>
      <c r="K1141" t="s">
        <v>78</v>
      </c>
      <c r="L1141" t="s">
        <v>112</v>
      </c>
      <c r="M1141" t="s">
        <v>113</v>
      </c>
      <c r="N1141" t="s">
        <v>423</v>
      </c>
      <c r="O1141" t="s">
        <v>82</v>
      </c>
      <c r="P1141" t="str">
        <f>"2170716467                    "</f>
        <v xml:space="preserve">2170716467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8.58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 s="4">
        <v>50.45</v>
      </c>
      <c r="BM1141" s="4">
        <v>7.57</v>
      </c>
      <c r="BN1141" s="4">
        <v>58.02</v>
      </c>
      <c r="BO1141" s="4">
        <v>58.02</v>
      </c>
      <c r="BQ1141" t="s">
        <v>424</v>
      </c>
      <c r="BR1141" t="s">
        <v>84</v>
      </c>
      <c r="BS1141" s="3">
        <v>43781</v>
      </c>
      <c r="BT1141" s="5">
        <v>0.30624999999999997</v>
      </c>
      <c r="BU1141" t="s">
        <v>1677</v>
      </c>
      <c r="BV1141" t="s">
        <v>86</v>
      </c>
      <c r="BY1141">
        <v>1200</v>
      </c>
      <c r="CA1141" t="s">
        <v>426</v>
      </c>
      <c r="CC1141" t="s">
        <v>113</v>
      </c>
      <c r="CD1141">
        <v>4001</v>
      </c>
      <c r="CE1141" t="s">
        <v>147</v>
      </c>
      <c r="CF1141" s="3">
        <v>43782</v>
      </c>
      <c r="CI1141">
        <v>1</v>
      </c>
      <c r="CJ1141">
        <v>1</v>
      </c>
      <c r="CK1141">
        <v>21</v>
      </c>
      <c r="CL1141" t="s">
        <v>89</v>
      </c>
    </row>
    <row r="1142" spans="1:90">
      <c r="A1142" t="s">
        <v>72</v>
      </c>
      <c r="B1142" t="s">
        <v>73</v>
      </c>
      <c r="C1142" t="s">
        <v>74</v>
      </c>
      <c r="E1142" t="str">
        <f>"FES1162722167"</f>
        <v>FES1162722167</v>
      </c>
      <c r="F1142" s="3">
        <v>43780</v>
      </c>
      <c r="G1142">
        <v>202005</v>
      </c>
      <c r="H1142" t="s">
        <v>75</v>
      </c>
      <c r="I1142" t="s">
        <v>76</v>
      </c>
      <c r="J1142" t="s">
        <v>77</v>
      </c>
      <c r="K1142" t="s">
        <v>78</v>
      </c>
      <c r="L1142" t="s">
        <v>1680</v>
      </c>
      <c r="M1142" t="s">
        <v>1681</v>
      </c>
      <c r="N1142" t="s">
        <v>369</v>
      </c>
      <c r="O1142" t="s">
        <v>82</v>
      </c>
      <c r="P1142" t="str">
        <f>"21707416390                   "</f>
        <v xml:space="preserve">21707416390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16.63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 s="4">
        <v>97.75</v>
      </c>
      <c r="BM1142" s="4">
        <v>14.66</v>
      </c>
      <c r="BN1142" s="4">
        <v>112.41</v>
      </c>
      <c r="BO1142" s="4">
        <v>112.41</v>
      </c>
      <c r="BQ1142" t="s">
        <v>246</v>
      </c>
      <c r="BR1142" t="s">
        <v>84</v>
      </c>
      <c r="BS1142" s="3">
        <v>43781</v>
      </c>
      <c r="BT1142" s="5">
        <v>0.49305555555555558</v>
      </c>
      <c r="BU1142" t="s">
        <v>1682</v>
      </c>
      <c r="BV1142" t="s">
        <v>86</v>
      </c>
      <c r="BY1142">
        <v>1200</v>
      </c>
      <c r="CA1142" t="s">
        <v>1683</v>
      </c>
      <c r="CC1142" t="s">
        <v>1681</v>
      </c>
      <c r="CD1142">
        <v>4449</v>
      </c>
      <c r="CE1142" t="s">
        <v>147</v>
      </c>
      <c r="CF1142" s="3">
        <v>43782</v>
      </c>
      <c r="CI1142">
        <v>1</v>
      </c>
      <c r="CJ1142">
        <v>1</v>
      </c>
      <c r="CK1142">
        <v>23</v>
      </c>
      <c r="CL1142" t="s">
        <v>89</v>
      </c>
    </row>
    <row r="1143" spans="1:90">
      <c r="A1143" t="s">
        <v>72</v>
      </c>
      <c r="B1143" t="s">
        <v>73</v>
      </c>
      <c r="C1143" t="s">
        <v>74</v>
      </c>
      <c r="E1143" t="str">
        <f>"FES1162722208"</f>
        <v>FES1162722208</v>
      </c>
      <c r="F1143" s="3">
        <v>43780</v>
      </c>
      <c r="G1143">
        <v>202005</v>
      </c>
      <c r="H1143" t="s">
        <v>75</v>
      </c>
      <c r="I1143" t="s">
        <v>76</v>
      </c>
      <c r="J1143" t="s">
        <v>77</v>
      </c>
      <c r="K1143" t="s">
        <v>78</v>
      </c>
      <c r="L1143" t="s">
        <v>225</v>
      </c>
      <c r="M1143" t="s">
        <v>226</v>
      </c>
      <c r="N1143" t="s">
        <v>227</v>
      </c>
      <c r="O1143" t="s">
        <v>82</v>
      </c>
      <c r="P1143" t="str">
        <f>"21707416435                   "</f>
        <v xml:space="preserve">21707416435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8.58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 s="4">
        <v>50.45</v>
      </c>
      <c r="BM1143" s="4">
        <v>7.57</v>
      </c>
      <c r="BN1143" s="4">
        <v>58.02</v>
      </c>
      <c r="BO1143" s="4">
        <v>58.02</v>
      </c>
      <c r="BQ1143" t="s">
        <v>121</v>
      </c>
      <c r="BR1143" t="s">
        <v>84</v>
      </c>
      <c r="BS1143" s="3">
        <v>43781</v>
      </c>
      <c r="BT1143" s="5">
        <v>0.33958333333333335</v>
      </c>
      <c r="BU1143" t="s">
        <v>1684</v>
      </c>
      <c r="BV1143" t="s">
        <v>86</v>
      </c>
      <c r="BY1143">
        <v>1200</v>
      </c>
      <c r="CA1143" t="s">
        <v>229</v>
      </c>
      <c r="CC1143" t="s">
        <v>226</v>
      </c>
      <c r="CD1143">
        <v>4026</v>
      </c>
      <c r="CE1143" t="s">
        <v>147</v>
      </c>
      <c r="CF1143" s="3">
        <v>43782</v>
      </c>
      <c r="CI1143">
        <v>1</v>
      </c>
      <c r="CJ1143">
        <v>1</v>
      </c>
      <c r="CK1143">
        <v>21</v>
      </c>
      <c r="CL1143" t="s">
        <v>89</v>
      </c>
    </row>
    <row r="1144" spans="1:90">
      <c r="A1144" t="s">
        <v>72</v>
      </c>
      <c r="B1144" t="s">
        <v>73</v>
      </c>
      <c r="C1144" t="s">
        <v>74</v>
      </c>
      <c r="E1144" t="str">
        <f>"FES1162722191"</f>
        <v>FES1162722191</v>
      </c>
      <c r="F1144" s="3">
        <v>43780</v>
      </c>
      <c r="G1144">
        <v>202005</v>
      </c>
      <c r="H1144" t="s">
        <v>75</v>
      </c>
      <c r="I1144" t="s">
        <v>76</v>
      </c>
      <c r="J1144" t="s">
        <v>77</v>
      </c>
      <c r="K1144" t="s">
        <v>78</v>
      </c>
      <c r="L1144" t="s">
        <v>1204</v>
      </c>
      <c r="M1144" t="s">
        <v>1205</v>
      </c>
      <c r="N1144" t="s">
        <v>1206</v>
      </c>
      <c r="O1144" t="s">
        <v>82</v>
      </c>
      <c r="P1144" t="str">
        <f>"2170716424                    "</f>
        <v xml:space="preserve">2170716424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8.58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 s="4">
        <v>50.45</v>
      </c>
      <c r="BM1144" s="4">
        <v>7.57</v>
      </c>
      <c r="BN1144" s="4">
        <v>58.02</v>
      </c>
      <c r="BO1144" s="4">
        <v>58.02</v>
      </c>
      <c r="BQ1144" t="s">
        <v>109</v>
      </c>
      <c r="BR1144" t="s">
        <v>84</v>
      </c>
      <c r="BS1144" s="3">
        <v>43782</v>
      </c>
      <c r="BT1144" s="5">
        <v>0.61111111111111105</v>
      </c>
      <c r="BU1144" t="s">
        <v>1685</v>
      </c>
      <c r="BV1144" t="s">
        <v>86</v>
      </c>
      <c r="BY1144">
        <v>1200</v>
      </c>
      <c r="CA1144" t="s">
        <v>435</v>
      </c>
      <c r="CC1144" t="s">
        <v>1205</v>
      </c>
      <c r="CD1144">
        <v>3760</v>
      </c>
      <c r="CE1144" t="s">
        <v>147</v>
      </c>
      <c r="CF1144" s="3">
        <v>43783</v>
      </c>
      <c r="CI1144">
        <v>4</v>
      </c>
      <c r="CJ1144">
        <v>2</v>
      </c>
      <c r="CK1144">
        <v>21</v>
      </c>
      <c r="CL1144" t="s">
        <v>89</v>
      </c>
    </row>
    <row r="1145" spans="1:90">
      <c r="A1145" t="s">
        <v>72</v>
      </c>
      <c r="B1145" t="s">
        <v>73</v>
      </c>
      <c r="C1145" t="s">
        <v>74</v>
      </c>
      <c r="E1145" t="str">
        <f>"FES1162722262"</f>
        <v>FES1162722262</v>
      </c>
      <c r="F1145" s="3">
        <v>43780</v>
      </c>
      <c r="G1145">
        <v>202005</v>
      </c>
      <c r="H1145" t="s">
        <v>75</v>
      </c>
      <c r="I1145" t="s">
        <v>76</v>
      </c>
      <c r="J1145" t="s">
        <v>77</v>
      </c>
      <c r="K1145" t="s">
        <v>78</v>
      </c>
      <c r="L1145" t="s">
        <v>90</v>
      </c>
      <c r="M1145" t="s">
        <v>91</v>
      </c>
      <c r="N1145" t="s">
        <v>505</v>
      </c>
      <c r="O1145" t="s">
        <v>82</v>
      </c>
      <c r="P1145" t="str">
        <f>"2170716461                    "</f>
        <v xml:space="preserve">2170716461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8.58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 s="4">
        <v>50.45</v>
      </c>
      <c r="BM1145" s="4">
        <v>7.57</v>
      </c>
      <c r="BN1145" s="4">
        <v>58.02</v>
      </c>
      <c r="BO1145" s="4">
        <v>58.02</v>
      </c>
      <c r="BQ1145" t="s">
        <v>121</v>
      </c>
      <c r="BR1145" t="s">
        <v>84</v>
      </c>
      <c r="BS1145" s="3">
        <v>43781</v>
      </c>
      <c r="BT1145" s="5">
        <v>0.34583333333333338</v>
      </c>
      <c r="BU1145" t="s">
        <v>1686</v>
      </c>
      <c r="BV1145" t="s">
        <v>86</v>
      </c>
      <c r="BY1145">
        <v>1200</v>
      </c>
      <c r="CA1145" t="s">
        <v>1121</v>
      </c>
      <c r="CC1145" t="s">
        <v>91</v>
      </c>
      <c r="CD1145">
        <v>7764</v>
      </c>
      <c r="CE1145" t="s">
        <v>147</v>
      </c>
      <c r="CF1145" s="3">
        <v>43782</v>
      </c>
      <c r="CI1145">
        <v>1</v>
      </c>
      <c r="CJ1145">
        <v>1</v>
      </c>
      <c r="CK1145">
        <v>21</v>
      </c>
      <c r="CL1145" t="s">
        <v>89</v>
      </c>
    </row>
    <row r="1146" spans="1:90">
      <c r="A1146" t="s">
        <v>72</v>
      </c>
      <c r="B1146" t="s">
        <v>73</v>
      </c>
      <c r="C1146" t="s">
        <v>74</v>
      </c>
      <c r="E1146" t="str">
        <f>"FES1162722175"</f>
        <v>FES1162722175</v>
      </c>
      <c r="F1146" s="3">
        <v>43780</v>
      </c>
      <c r="G1146">
        <v>202005</v>
      </c>
      <c r="H1146" t="s">
        <v>75</v>
      </c>
      <c r="I1146" t="s">
        <v>76</v>
      </c>
      <c r="J1146" t="s">
        <v>77</v>
      </c>
      <c r="K1146" t="s">
        <v>78</v>
      </c>
      <c r="L1146" t="s">
        <v>214</v>
      </c>
      <c r="M1146" t="s">
        <v>214</v>
      </c>
      <c r="N1146" t="s">
        <v>215</v>
      </c>
      <c r="O1146" t="s">
        <v>82</v>
      </c>
      <c r="P1146" t="str">
        <f>"2170715901                    "</f>
        <v xml:space="preserve">2170715901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16.63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 s="4">
        <v>97.75</v>
      </c>
      <c r="BM1146" s="4">
        <v>14.66</v>
      </c>
      <c r="BN1146" s="4">
        <v>112.41</v>
      </c>
      <c r="BO1146" s="4">
        <v>112.41</v>
      </c>
      <c r="BQ1146" t="s">
        <v>109</v>
      </c>
      <c r="BR1146" t="s">
        <v>84</v>
      </c>
      <c r="BS1146" s="3">
        <v>43781</v>
      </c>
      <c r="BT1146" s="5">
        <v>0.48819444444444443</v>
      </c>
      <c r="BU1146" t="s">
        <v>1687</v>
      </c>
      <c r="BV1146" t="s">
        <v>86</v>
      </c>
      <c r="BY1146">
        <v>1200</v>
      </c>
      <c r="CA1146" t="s">
        <v>1643</v>
      </c>
      <c r="CC1146" t="s">
        <v>214</v>
      </c>
      <c r="CD1146">
        <v>7646</v>
      </c>
      <c r="CE1146" t="s">
        <v>147</v>
      </c>
      <c r="CF1146" s="3">
        <v>43782</v>
      </c>
      <c r="CI1146">
        <v>1</v>
      </c>
      <c r="CJ1146">
        <v>1</v>
      </c>
      <c r="CK1146">
        <v>23</v>
      </c>
      <c r="CL1146" t="s">
        <v>89</v>
      </c>
    </row>
    <row r="1147" spans="1:90">
      <c r="A1147" t="s">
        <v>72</v>
      </c>
      <c r="B1147" t="s">
        <v>73</v>
      </c>
      <c r="C1147" t="s">
        <v>74</v>
      </c>
      <c r="E1147" t="str">
        <f>"FES1162722186"</f>
        <v>FES1162722186</v>
      </c>
      <c r="F1147" s="3">
        <v>43780</v>
      </c>
      <c r="G1147">
        <v>202005</v>
      </c>
      <c r="H1147" t="s">
        <v>75</v>
      </c>
      <c r="I1147" t="s">
        <v>76</v>
      </c>
      <c r="J1147" t="s">
        <v>77</v>
      </c>
      <c r="K1147" t="s">
        <v>78</v>
      </c>
      <c r="L1147" t="s">
        <v>90</v>
      </c>
      <c r="M1147" t="s">
        <v>91</v>
      </c>
      <c r="N1147" t="s">
        <v>823</v>
      </c>
      <c r="O1147" t="s">
        <v>82</v>
      </c>
      <c r="P1147" t="str">
        <f>"217071664111                  "</f>
        <v xml:space="preserve">217071664111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8.58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 s="4">
        <v>50.45</v>
      </c>
      <c r="BM1147" s="4">
        <v>7.57</v>
      </c>
      <c r="BN1147" s="4">
        <v>58.02</v>
      </c>
      <c r="BO1147" s="4">
        <v>58.02</v>
      </c>
      <c r="BQ1147" t="s">
        <v>142</v>
      </c>
      <c r="BR1147" t="s">
        <v>84</v>
      </c>
      <c r="BS1147" s="3">
        <v>43781</v>
      </c>
      <c r="BT1147" s="5">
        <v>0.37013888888888885</v>
      </c>
      <c r="BU1147" t="s">
        <v>1688</v>
      </c>
      <c r="BV1147" t="s">
        <v>86</v>
      </c>
      <c r="BY1147">
        <v>1200</v>
      </c>
      <c r="CA1147" t="s">
        <v>1238</v>
      </c>
      <c r="CC1147" t="s">
        <v>91</v>
      </c>
      <c r="CD1147">
        <v>7441</v>
      </c>
      <c r="CE1147" t="s">
        <v>147</v>
      </c>
      <c r="CF1147" s="3">
        <v>43782</v>
      </c>
      <c r="CI1147">
        <v>1</v>
      </c>
      <c r="CJ1147">
        <v>1</v>
      </c>
      <c r="CK1147">
        <v>21</v>
      </c>
      <c r="CL1147" t="s">
        <v>89</v>
      </c>
    </row>
    <row r="1148" spans="1:90">
      <c r="A1148" t="s">
        <v>72</v>
      </c>
      <c r="B1148" t="s">
        <v>73</v>
      </c>
      <c r="C1148" t="s">
        <v>74</v>
      </c>
      <c r="E1148" t="str">
        <f>"FES1162722299"</f>
        <v>FES1162722299</v>
      </c>
      <c r="F1148" s="3">
        <v>43780</v>
      </c>
      <c r="G1148">
        <v>202005</v>
      </c>
      <c r="H1148" t="s">
        <v>75</v>
      </c>
      <c r="I1148" t="s">
        <v>76</v>
      </c>
      <c r="J1148" t="s">
        <v>77</v>
      </c>
      <c r="K1148" t="s">
        <v>78</v>
      </c>
      <c r="L1148" t="s">
        <v>90</v>
      </c>
      <c r="M1148" t="s">
        <v>91</v>
      </c>
      <c r="N1148" t="s">
        <v>1419</v>
      </c>
      <c r="O1148" t="s">
        <v>82</v>
      </c>
      <c r="P1148" t="str">
        <f>"21707165014                   "</f>
        <v xml:space="preserve">21707165014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8.58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 s="4">
        <v>50.45</v>
      </c>
      <c r="BM1148" s="4">
        <v>7.57</v>
      </c>
      <c r="BN1148" s="4">
        <v>58.02</v>
      </c>
      <c r="BO1148" s="4">
        <v>58.02</v>
      </c>
      <c r="BQ1148" t="s">
        <v>109</v>
      </c>
      <c r="BR1148" t="s">
        <v>84</v>
      </c>
      <c r="BS1148" s="3">
        <v>43781</v>
      </c>
      <c r="BT1148" s="5">
        <v>0.46666666666666662</v>
      </c>
      <c r="BU1148" t="s">
        <v>1689</v>
      </c>
      <c r="BV1148" t="s">
        <v>86</v>
      </c>
      <c r="BY1148">
        <v>1200</v>
      </c>
      <c r="CA1148" t="s">
        <v>1281</v>
      </c>
      <c r="CC1148" t="s">
        <v>91</v>
      </c>
      <c r="CD1148">
        <v>7945</v>
      </c>
      <c r="CE1148" t="s">
        <v>147</v>
      </c>
      <c r="CF1148" s="3">
        <v>43782</v>
      </c>
      <c r="CI1148">
        <v>1</v>
      </c>
      <c r="CJ1148">
        <v>1</v>
      </c>
      <c r="CK1148">
        <v>21</v>
      </c>
      <c r="CL1148" t="s">
        <v>89</v>
      </c>
    </row>
    <row r="1149" spans="1:90">
      <c r="A1149" t="s">
        <v>72</v>
      </c>
      <c r="B1149" t="s">
        <v>73</v>
      </c>
      <c r="C1149" t="s">
        <v>74</v>
      </c>
      <c r="E1149" t="str">
        <f>"FES1162722199"</f>
        <v>FES1162722199</v>
      </c>
      <c r="F1149" s="3">
        <v>43780</v>
      </c>
      <c r="G1149">
        <v>202005</v>
      </c>
      <c r="H1149" t="s">
        <v>75</v>
      </c>
      <c r="I1149" t="s">
        <v>76</v>
      </c>
      <c r="J1149" t="s">
        <v>77</v>
      </c>
      <c r="K1149" t="s">
        <v>78</v>
      </c>
      <c r="L1149" t="s">
        <v>214</v>
      </c>
      <c r="M1149" t="s">
        <v>214</v>
      </c>
      <c r="N1149" t="s">
        <v>705</v>
      </c>
      <c r="O1149" t="s">
        <v>82</v>
      </c>
      <c r="P1149" t="str">
        <f>"2170716343                    "</f>
        <v xml:space="preserve">2170716343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16.63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 s="4">
        <v>97.75</v>
      </c>
      <c r="BM1149" s="4">
        <v>14.66</v>
      </c>
      <c r="BN1149" s="4">
        <v>112.41</v>
      </c>
      <c r="BO1149" s="4">
        <v>112.41</v>
      </c>
      <c r="BQ1149" t="s">
        <v>142</v>
      </c>
      <c r="BR1149" t="s">
        <v>84</v>
      </c>
      <c r="BS1149" s="3">
        <v>43781</v>
      </c>
      <c r="BT1149" s="5">
        <v>0.50208333333333333</v>
      </c>
      <c r="BU1149" t="s">
        <v>1642</v>
      </c>
      <c r="BV1149" t="s">
        <v>86</v>
      </c>
      <c r="BY1149">
        <v>1200</v>
      </c>
      <c r="CA1149" t="s">
        <v>1643</v>
      </c>
      <c r="CC1149" t="s">
        <v>214</v>
      </c>
      <c r="CD1149">
        <v>7620</v>
      </c>
      <c r="CE1149" t="s">
        <v>147</v>
      </c>
      <c r="CF1149" s="3">
        <v>43782</v>
      </c>
      <c r="CI1149">
        <v>1</v>
      </c>
      <c r="CJ1149">
        <v>1</v>
      </c>
      <c r="CK1149">
        <v>23</v>
      </c>
      <c r="CL1149" t="s">
        <v>89</v>
      </c>
    </row>
    <row r="1150" spans="1:90">
      <c r="A1150" t="s">
        <v>72</v>
      </c>
      <c r="B1150" t="s">
        <v>73</v>
      </c>
      <c r="C1150" t="s">
        <v>74</v>
      </c>
      <c r="E1150" t="str">
        <f>"FES1162722180"</f>
        <v>FES1162722180</v>
      </c>
      <c r="F1150" s="3">
        <v>43780</v>
      </c>
      <c r="G1150">
        <v>202005</v>
      </c>
      <c r="H1150" t="s">
        <v>75</v>
      </c>
      <c r="I1150" t="s">
        <v>76</v>
      </c>
      <c r="J1150" t="s">
        <v>77</v>
      </c>
      <c r="K1150" t="s">
        <v>78</v>
      </c>
      <c r="L1150" t="s">
        <v>500</v>
      </c>
      <c r="M1150" t="s">
        <v>501</v>
      </c>
      <c r="N1150" t="s">
        <v>502</v>
      </c>
      <c r="O1150" t="s">
        <v>82</v>
      </c>
      <c r="P1150" t="str">
        <f>"2170716345                    "</f>
        <v xml:space="preserve">2170716345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16.63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 s="4">
        <v>97.75</v>
      </c>
      <c r="BM1150" s="4">
        <v>14.66</v>
      </c>
      <c r="BN1150" s="4">
        <v>112.41</v>
      </c>
      <c r="BO1150" s="4">
        <v>112.41</v>
      </c>
      <c r="BR1150" t="s">
        <v>84</v>
      </c>
      <c r="BS1150" s="3">
        <v>43781</v>
      </c>
      <c r="BT1150" s="5">
        <v>0.57847222222222217</v>
      </c>
      <c r="BU1150" t="s">
        <v>1690</v>
      </c>
      <c r="BV1150" t="s">
        <v>89</v>
      </c>
      <c r="BW1150" t="s">
        <v>1691</v>
      </c>
      <c r="BX1150" t="s">
        <v>591</v>
      </c>
      <c r="BY1150">
        <v>1200</v>
      </c>
      <c r="CA1150" t="s">
        <v>504</v>
      </c>
      <c r="CC1150" t="s">
        <v>501</v>
      </c>
      <c r="CD1150">
        <v>7349</v>
      </c>
      <c r="CE1150" t="s">
        <v>147</v>
      </c>
      <c r="CF1150" s="3">
        <v>43782</v>
      </c>
      <c r="CI1150">
        <v>1</v>
      </c>
      <c r="CJ1150">
        <v>1</v>
      </c>
      <c r="CK1150">
        <v>23</v>
      </c>
      <c r="CL1150" t="s">
        <v>89</v>
      </c>
    </row>
    <row r="1151" spans="1:90">
      <c r="A1151" t="s">
        <v>72</v>
      </c>
      <c r="B1151" t="s">
        <v>73</v>
      </c>
      <c r="C1151" t="s">
        <v>74</v>
      </c>
      <c r="E1151" t="str">
        <f>"FES1162722166"</f>
        <v>FES1162722166</v>
      </c>
      <c r="F1151" s="3">
        <v>43780</v>
      </c>
      <c r="G1151">
        <v>202005</v>
      </c>
      <c r="H1151" t="s">
        <v>75</v>
      </c>
      <c r="I1151" t="s">
        <v>76</v>
      </c>
      <c r="J1151" t="s">
        <v>77</v>
      </c>
      <c r="K1151" t="s">
        <v>78</v>
      </c>
      <c r="L1151" t="s">
        <v>90</v>
      </c>
      <c r="M1151" t="s">
        <v>91</v>
      </c>
      <c r="N1151" t="s">
        <v>533</v>
      </c>
      <c r="O1151" t="s">
        <v>82</v>
      </c>
      <c r="P1151" t="str">
        <f>"2170716339                    "</f>
        <v xml:space="preserve">2170716339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8.58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 s="4">
        <v>50.45</v>
      </c>
      <c r="BM1151" s="4">
        <v>7.57</v>
      </c>
      <c r="BN1151" s="4">
        <v>58.02</v>
      </c>
      <c r="BO1151" s="4">
        <v>58.02</v>
      </c>
      <c r="BQ1151" t="s">
        <v>161</v>
      </c>
      <c r="BR1151" t="s">
        <v>84</v>
      </c>
      <c r="BS1151" s="3">
        <v>43781</v>
      </c>
      <c r="BT1151" s="5">
        <v>0.37222222222222223</v>
      </c>
      <c r="BU1151" t="s">
        <v>534</v>
      </c>
      <c r="BV1151" t="s">
        <v>86</v>
      </c>
      <c r="BY1151">
        <v>1200</v>
      </c>
      <c r="CA1151" t="s">
        <v>323</v>
      </c>
      <c r="CC1151" t="s">
        <v>91</v>
      </c>
      <c r="CD1151">
        <v>7460</v>
      </c>
      <c r="CE1151" t="s">
        <v>147</v>
      </c>
      <c r="CF1151" s="3">
        <v>43782</v>
      </c>
      <c r="CI1151">
        <v>1</v>
      </c>
      <c r="CJ1151">
        <v>1</v>
      </c>
      <c r="CK1151">
        <v>21</v>
      </c>
      <c r="CL1151" t="s">
        <v>89</v>
      </c>
    </row>
    <row r="1152" spans="1:90">
      <c r="A1152" t="s">
        <v>72</v>
      </c>
      <c r="B1152" t="s">
        <v>73</v>
      </c>
      <c r="C1152" t="s">
        <v>74</v>
      </c>
      <c r="E1152" t="str">
        <f>"FES1162722310"</f>
        <v>FES1162722310</v>
      </c>
      <c r="F1152" s="3">
        <v>43780</v>
      </c>
      <c r="G1152">
        <v>202005</v>
      </c>
      <c r="H1152" t="s">
        <v>75</v>
      </c>
      <c r="I1152" t="s">
        <v>76</v>
      </c>
      <c r="J1152" t="s">
        <v>77</v>
      </c>
      <c r="K1152" t="s">
        <v>78</v>
      </c>
      <c r="L1152" t="s">
        <v>90</v>
      </c>
      <c r="M1152" t="s">
        <v>91</v>
      </c>
      <c r="N1152" t="s">
        <v>950</v>
      </c>
      <c r="O1152" t="s">
        <v>82</v>
      </c>
      <c r="P1152" t="str">
        <f>"217071518                     "</f>
        <v xml:space="preserve">217071518 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8.58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 s="4">
        <v>50.45</v>
      </c>
      <c r="BM1152" s="4">
        <v>7.57</v>
      </c>
      <c r="BN1152" s="4">
        <v>58.02</v>
      </c>
      <c r="BO1152" s="4">
        <v>58.02</v>
      </c>
      <c r="BQ1152" t="s">
        <v>121</v>
      </c>
      <c r="BR1152" t="s">
        <v>84</v>
      </c>
      <c r="BS1152" s="3">
        <v>43781</v>
      </c>
      <c r="BT1152" s="5">
        <v>0.31527777777777777</v>
      </c>
      <c r="BU1152" t="s">
        <v>1692</v>
      </c>
      <c r="BV1152" t="s">
        <v>86</v>
      </c>
      <c r="BY1152">
        <v>1200</v>
      </c>
      <c r="CA1152" t="s">
        <v>1309</v>
      </c>
      <c r="CC1152" t="s">
        <v>91</v>
      </c>
      <c r="CD1152">
        <v>7530</v>
      </c>
      <c r="CE1152" t="s">
        <v>147</v>
      </c>
      <c r="CF1152" s="3">
        <v>43782</v>
      </c>
      <c r="CI1152">
        <v>1</v>
      </c>
      <c r="CJ1152">
        <v>1</v>
      </c>
      <c r="CK1152">
        <v>21</v>
      </c>
      <c r="CL1152" t="s">
        <v>89</v>
      </c>
    </row>
    <row r="1153" spans="1:90">
      <c r="A1153" t="s">
        <v>72</v>
      </c>
      <c r="B1153" t="s">
        <v>73</v>
      </c>
      <c r="C1153" t="s">
        <v>74</v>
      </c>
      <c r="E1153" t="str">
        <f>"FES1162722312"</f>
        <v>FES1162722312</v>
      </c>
      <c r="F1153" s="3">
        <v>43780</v>
      </c>
      <c r="G1153">
        <v>202005</v>
      </c>
      <c r="H1153" t="s">
        <v>75</v>
      </c>
      <c r="I1153" t="s">
        <v>76</v>
      </c>
      <c r="J1153" t="s">
        <v>77</v>
      </c>
      <c r="K1153" t="s">
        <v>78</v>
      </c>
      <c r="L1153" t="s">
        <v>90</v>
      </c>
      <c r="M1153" t="s">
        <v>91</v>
      </c>
      <c r="N1153" t="s">
        <v>527</v>
      </c>
      <c r="O1153" t="s">
        <v>82</v>
      </c>
      <c r="P1153" t="str">
        <f>"2170716522                    "</f>
        <v xml:space="preserve">2170716522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8.58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 s="4">
        <v>50.45</v>
      </c>
      <c r="BM1153" s="4">
        <v>7.57</v>
      </c>
      <c r="BN1153" s="4">
        <v>58.02</v>
      </c>
      <c r="BO1153" s="4">
        <v>58.02</v>
      </c>
      <c r="BQ1153" t="s">
        <v>109</v>
      </c>
      <c r="BR1153" t="s">
        <v>84</v>
      </c>
      <c r="BS1153" s="3">
        <v>43781</v>
      </c>
      <c r="BT1153" s="5">
        <v>0.31111111111111112</v>
      </c>
      <c r="BU1153" t="s">
        <v>1693</v>
      </c>
      <c r="BV1153" t="s">
        <v>86</v>
      </c>
      <c r="BY1153">
        <v>1200</v>
      </c>
      <c r="CA1153" t="s">
        <v>221</v>
      </c>
      <c r="CC1153" t="s">
        <v>91</v>
      </c>
      <c r="CD1153">
        <v>7405</v>
      </c>
      <c r="CE1153" t="s">
        <v>147</v>
      </c>
      <c r="CF1153" s="3">
        <v>43782</v>
      </c>
      <c r="CI1153">
        <v>1</v>
      </c>
      <c r="CJ1153">
        <v>1</v>
      </c>
      <c r="CK1153">
        <v>21</v>
      </c>
      <c r="CL1153" t="s">
        <v>89</v>
      </c>
    </row>
    <row r="1154" spans="1:90">
      <c r="A1154" t="s">
        <v>72</v>
      </c>
      <c r="B1154" t="s">
        <v>73</v>
      </c>
      <c r="C1154" t="s">
        <v>74</v>
      </c>
      <c r="E1154" t="str">
        <f>"FES1162722332"</f>
        <v>FES1162722332</v>
      </c>
      <c r="F1154" s="3">
        <v>43780</v>
      </c>
      <c r="G1154">
        <v>202005</v>
      </c>
      <c r="H1154" t="s">
        <v>75</v>
      </c>
      <c r="I1154" t="s">
        <v>76</v>
      </c>
      <c r="J1154" t="s">
        <v>77</v>
      </c>
      <c r="K1154" t="s">
        <v>78</v>
      </c>
      <c r="L1154" t="s">
        <v>90</v>
      </c>
      <c r="M1154" t="s">
        <v>91</v>
      </c>
      <c r="N1154" t="s">
        <v>576</v>
      </c>
      <c r="O1154" t="s">
        <v>82</v>
      </c>
      <c r="P1154" t="str">
        <f>"217071546                     "</f>
        <v xml:space="preserve">217071546 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8.58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 s="4">
        <v>50.45</v>
      </c>
      <c r="BM1154" s="4">
        <v>7.57</v>
      </c>
      <c r="BN1154" s="4">
        <v>58.02</v>
      </c>
      <c r="BO1154" s="4">
        <v>58.02</v>
      </c>
      <c r="BQ1154" t="s">
        <v>109</v>
      </c>
      <c r="BR1154" t="s">
        <v>84</v>
      </c>
      <c r="BS1154" s="3">
        <v>43781</v>
      </c>
      <c r="BT1154" s="5">
        <v>0.3527777777777778</v>
      </c>
      <c r="BU1154" t="s">
        <v>1477</v>
      </c>
      <c r="BV1154" t="s">
        <v>86</v>
      </c>
      <c r="BY1154">
        <v>1200</v>
      </c>
      <c r="CA1154" t="s">
        <v>213</v>
      </c>
      <c r="CC1154" t="s">
        <v>91</v>
      </c>
      <c r="CD1154">
        <v>7441</v>
      </c>
      <c r="CE1154" t="s">
        <v>147</v>
      </c>
      <c r="CF1154" s="3">
        <v>43782</v>
      </c>
      <c r="CI1154">
        <v>1</v>
      </c>
      <c r="CJ1154">
        <v>1</v>
      </c>
      <c r="CK1154">
        <v>21</v>
      </c>
      <c r="CL1154" t="s">
        <v>89</v>
      </c>
    </row>
    <row r="1155" spans="1:90">
      <c r="A1155" t="s">
        <v>72</v>
      </c>
      <c r="B1155" t="s">
        <v>73</v>
      </c>
      <c r="C1155" t="s">
        <v>74</v>
      </c>
      <c r="E1155" t="str">
        <f>"FES1162722336"</f>
        <v>FES1162722336</v>
      </c>
      <c r="F1155" s="3">
        <v>43780</v>
      </c>
      <c r="G1155">
        <v>202005</v>
      </c>
      <c r="H1155" t="s">
        <v>75</v>
      </c>
      <c r="I1155" t="s">
        <v>76</v>
      </c>
      <c r="J1155" t="s">
        <v>77</v>
      </c>
      <c r="K1155" t="s">
        <v>78</v>
      </c>
      <c r="L1155" t="s">
        <v>133</v>
      </c>
      <c r="M1155" t="s">
        <v>134</v>
      </c>
      <c r="N1155" t="s">
        <v>1694</v>
      </c>
      <c r="O1155" t="s">
        <v>82</v>
      </c>
      <c r="P1155" t="str">
        <f>"2170716553                    "</f>
        <v xml:space="preserve">2170716553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8.58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 s="4">
        <v>50.45</v>
      </c>
      <c r="BM1155" s="4">
        <v>7.57</v>
      </c>
      <c r="BN1155" s="4">
        <v>58.02</v>
      </c>
      <c r="BO1155" s="4">
        <v>58.02</v>
      </c>
      <c r="BQ1155" t="s">
        <v>121</v>
      </c>
      <c r="BR1155" t="s">
        <v>84</v>
      </c>
      <c r="BS1155" s="3">
        <v>43781</v>
      </c>
      <c r="BT1155" s="5">
        <v>0.41388888888888892</v>
      </c>
      <c r="BU1155" t="s">
        <v>1695</v>
      </c>
      <c r="BV1155" t="s">
        <v>86</v>
      </c>
      <c r="BY1155">
        <v>1200</v>
      </c>
      <c r="CA1155" t="s">
        <v>698</v>
      </c>
      <c r="CC1155" t="s">
        <v>134</v>
      </c>
      <c r="CD1155">
        <v>5201</v>
      </c>
      <c r="CE1155" t="s">
        <v>147</v>
      </c>
      <c r="CF1155" s="3">
        <v>43787</v>
      </c>
      <c r="CI1155">
        <v>1</v>
      </c>
      <c r="CJ1155">
        <v>1</v>
      </c>
      <c r="CK1155">
        <v>21</v>
      </c>
      <c r="CL1155" t="s">
        <v>89</v>
      </c>
    </row>
    <row r="1156" spans="1:90">
      <c r="A1156" t="s">
        <v>72</v>
      </c>
      <c r="B1156" t="s">
        <v>73</v>
      </c>
      <c r="C1156" t="s">
        <v>74</v>
      </c>
      <c r="E1156" t="str">
        <f>"009935712099"</f>
        <v>009935712099</v>
      </c>
      <c r="F1156" s="3">
        <v>43780</v>
      </c>
      <c r="G1156">
        <v>202005</v>
      </c>
      <c r="H1156" t="s">
        <v>75</v>
      </c>
      <c r="I1156" t="s">
        <v>76</v>
      </c>
      <c r="J1156" t="s">
        <v>77</v>
      </c>
      <c r="K1156" t="s">
        <v>78</v>
      </c>
      <c r="L1156" t="s">
        <v>304</v>
      </c>
      <c r="M1156" t="s">
        <v>305</v>
      </c>
      <c r="N1156" t="s">
        <v>306</v>
      </c>
      <c r="O1156" t="s">
        <v>82</v>
      </c>
      <c r="P1156" t="str">
        <f>"1162718477                    "</f>
        <v xml:space="preserve">1162718477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16.63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 s="4">
        <v>97.75</v>
      </c>
      <c r="BM1156" s="4">
        <v>14.66</v>
      </c>
      <c r="BN1156" s="4">
        <v>112.41</v>
      </c>
      <c r="BO1156" s="4">
        <v>112.41</v>
      </c>
      <c r="BQ1156" t="s">
        <v>121</v>
      </c>
      <c r="BR1156" t="s">
        <v>84</v>
      </c>
      <c r="BS1156" s="3">
        <v>43781</v>
      </c>
      <c r="BT1156" s="5">
        <v>0.41666666666666669</v>
      </c>
      <c r="BU1156" t="s">
        <v>1696</v>
      </c>
      <c r="BV1156" t="s">
        <v>86</v>
      </c>
      <c r="BY1156">
        <v>1200</v>
      </c>
      <c r="CC1156" t="s">
        <v>305</v>
      </c>
      <c r="CD1156">
        <v>5605</v>
      </c>
      <c r="CE1156" t="s">
        <v>147</v>
      </c>
      <c r="CF1156" s="3">
        <v>43787</v>
      </c>
      <c r="CI1156">
        <v>4</v>
      </c>
      <c r="CJ1156">
        <v>1</v>
      </c>
      <c r="CK1156">
        <v>23</v>
      </c>
      <c r="CL1156" t="s">
        <v>89</v>
      </c>
    </row>
    <row r="1157" spans="1:90">
      <c r="A1157" t="s">
        <v>72</v>
      </c>
      <c r="B1157" t="s">
        <v>73</v>
      </c>
      <c r="C1157" t="s">
        <v>74</v>
      </c>
      <c r="E1157" t="str">
        <f>"FES1162722271"</f>
        <v>FES1162722271</v>
      </c>
      <c r="F1157" s="3">
        <v>43780</v>
      </c>
      <c r="G1157">
        <v>202005</v>
      </c>
      <c r="H1157" t="s">
        <v>75</v>
      </c>
      <c r="I1157" t="s">
        <v>76</v>
      </c>
      <c r="J1157" t="s">
        <v>77</v>
      </c>
      <c r="K1157" t="s">
        <v>78</v>
      </c>
      <c r="L1157" t="s">
        <v>552</v>
      </c>
      <c r="M1157" t="s">
        <v>553</v>
      </c>
      <c r="N1157" t="s">
        <v>1697</v>
      </c>
      <c r="O1157" t="s">
        <v>82</v>
      </c>
      <c r="P1157" t="str">
        <f>"2170716474                    "</f>
        <v xml:space="preserve">2170716474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9.1199999999999992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2.6</v>
      </c>
      <c r="BJ1157">
        <v>3.2</v>
      </c>
      <c r="BK1157">
        <v>3.5</v>
      </c>
      <c r="BL1157" s="4">
        <v>53.59</v>
      </c>
      <c r="BM1157" s="4">
        <v>8.0399999999999991</v>
      </c>
      <c r="BN1157" s="4">
        <v>61.63</v>
      </c>
      <c r="BO1157" s="4">
        <v>61.63</v>
      </c>
      <c r="BQ1157" t="s">
        <v>187</v>
      </c>
      <c r="BR1157" t="s">
        <v>84</v>
      </c>
      <c r="BS1157" s="3">
        <v>43781</v>
      </c>
      <c r="BT1157" s="5">
        <v>0.33333333333333331</v>
      </c>
      <c r="BU1157" t="s">
        <v>1698</v>
      </c>
      <c r="BV1157" t="s">
        <v>86</v>
      </c>
      <c r="BY1157">
        <v>16221.24</v>
      </c>
      <c r="CA1157" t="s">
        <v>1032</v>
      </c>
      <c r="CC1157" t="s">
        <v>553</v>
      </c>
      <c r="CD1157">
        <v>1540</v>
      </c>
      <c r="CE1157" t="s">
        <v>1598</v>
      </c>
      <c r="CF1157" s="3">
        <v>43782</v>
      </c>
      <c r="CI1157">
        <v>1</v>
      </c>
      <c r="CJ1157">
        <v>1</v>
      </c>
      <c r="CK1157">
        <v>22</v>
      </c>
      <c r="CL1157" t="s">
        <v>89</v>
      </c>
    </row>
    <row r="1158" spans="1:90">
      <c r="A1158" t="s">
        <v>72</v>
      </c>
      <c r="B1158" t="s">
        <v>73</v>
      </c>
      <c r="C1158" t="s">
        <v>74</v>
      </c>
      <c r="E1158" t="str">
        <f>"FES1162722302"</f>
        <v>FES1162722302</v>
      </c>
      <c r="F1158" s="3">
        <v>43780</v>
      </c>
      <c r="G1158">
        <v>202005</v>
      </c>
      <c r="H1158" t="s">
        <v>75</v>
      </c>
      <c r="I1158" t="s">
        <v>76</v>
      </c>
      <c r="J1158" t="s">
        <v>77</v>
      </c>
      <c r="K1158" t="s">
        <v>78</v>
      </c>
      <c r="L1158" t="s">
        <v>1651</v>
      </c>
      <c r="M1158" t="s">
        <v>1651</v>
      </c>
      <c r="N1158" t="s">
        <v>1652</v>
      </c>
      <c r="O1158" t="s">
        <v>82</v>
      </c>
      <c r="P1158" t="str">
        <f>"2170716512                    "</f>
        <v xml:space="preserve">2170716512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12.07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0.7</v>
      </c>
      <c r="BJ1158">
        <v>0.6</v>
      </c>
      <c r="BK1158">
        <v>1</v>
      </c>
      <c r="BL1158" s="4">
        <v>70.95</v>
      </c>
      <c r="BM1158" s="4">
        <v>10.64</v>
      </c>
      <c r="BN1158" s="4">
        <v>81.59</v>
      </c>
      <c r="BO1158" s="4">
        <v>81.59</v>
      </c>
      <c r="BQ1158" t="s">
        <v>161</v>
      </c>
      <c r="BR1158" t="s">
        <v>84</v>
      </c>
      <c r="BS1158" s="3">
        <v>43781</v>
      </c>
      <c r="BT1158" s="5">
        <v>0.36388888888888887</v>
      </c>
      <c r="BU1158" t="s">
        <v>1699</v>
      </c>
      <c r="BV1158" t="s">
        <v>86</v>
      </c>
      <c r="BY1158">
        <v>2924.55</v>
      </c>
      <c r="CA1158" t="s">
        <v>362</v>
      </c>
      <c r="CC1158" t="s">
        <v>1651</v>
      </c>
      <c r="CD1158">
        <v>1490</v>
      </c>
      <c r="CE1158" t="s">
        <v>88</v>
      </c>
      <c r="CF1158" s="3">
        <v>43782</v>
      </c>
      <c r="CI1158">
        <v>1</v>
      </c>
      <c r="CJ1158">
        <v>1</v>
      </c>
      <c r="CK1158">
        <v>24</v>
      </c>
      <c r="CL1158" t="s">
        <v>89</v>
      </c>
    </row>
    <row r="1159" spans="1:90">
      <c r="A1159" t="s">
        <v>72</v>
      </c>
      <c r="B1159" t="s">
        <v>73</v>
      </c>
      <c r="C1159" t="s">
        <v>74</v>
      </c>
      <c r="E1159" t="str">
        <f>"FES1162722179"</f>
        <v>FES1162722179</v>
      </c>
      <c r="F1159" s="3">
        <v>43780</v>
      </c>
      <c r="G1159">
        <v>202005</v>
      </c>
      <c r="H1159" t="s">
        <v>75</v>
      </c>
      <c r="I1159" t="s">
        <v>76</v>
      </c>
      <c r="J1159" t="s">
        <v>77</v>
      </c>
      <c r="K1159" t="s">
        <v>78</v>
      </c>
      <c r="L1159" t="s">
        <v>202</v>
      </c>
      <c r="M1159" t="s">
        <v>203</v>
      </c>
      <c r="N1159" t="s">
        <v>1700</v>
      </c>
      <c r="O1159" t="s">
        <v>82</v>
      </c>
      <c r="P1159" t="str">
        <f>"217071628                     "</f>
        <v xml:space="preserve">217071628 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6.71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1.4</v>
      </c>
      <c r="BK1159">
        <v>1.5</v>
      </c>
      <c r="BL1159" s="4">
        <v>39.42</v>
      </c>
      <c r="BM1159" s="4">
        <v>5.91</v>
      </c>
      <c r="BN1159" s="4">
        <v>45.33</v>
      </c>
      <c r="BO1159" s="4">
        <v>45.33</v>
      </c>
      <c r="BQ1159" t="s">
        <v>1701</v>
      </c>
      <c r="BR1159" t="s">
        <v>84</v>
      </c>
      <c r="BS1159" s="3">
        <v>43781</v>
      </c>
      <c r="BT1159" s="5">
        <v>0.41250000000000003</v>
      </c>
      <c r="BU1159" t="s">
        <v>1702</v>
      </c>
      <c r="BV1159" t="s">
        <v>86</v>
      </c>
      <c r="BY1159">
        <v>7243.51</v>
      </c>
      <c r="CC1159" t="s">
        <v>203</v>
      </c>
      <c r="CD1159">
        <v>1428</v>
      </c>
      <c r="CE1159" t="s">
        <v>88</v>
      </c>
      <c r="CF1159" s="3">
        <v>43782</v>
      </c>
      <c r="CI1159">
        <v>1</v>
      </c>
      <c r="CJ1159">
        <v>1</v>
      </c>
      <c r="CK1159">
        <v>22</v>
      </c>
      <c r="CL1159" t="s">
        <v>89</v>
      </c>
    </row>
    <row r="1160" spans="1:90">
      <c r="A1160" t="s">
        <v>72</v>
      </c>
      <c r="B1160" t="s">
        <v>73</v>
      </c>
      <c r="C1160" t="s">
        <v>74</v>
      </c>
      <c r="E1160" t="str">
        <f>"FES1162722192"</f>
        <v>FES1162722192</v>
      </c>
      <c r="F1160" s="3">
        <v>43780</v>
      </c>
      <c r="G1160">
        <v>202005</v>
      </c>
      <c r="H1160" t="s">
        <v>75</v>
      </c>
      <c r="I1160" t="s">
        <v>76</v>
      </c>
      <c r="J1160" t="s">
        <v>77</v>
      </c>
      <c r="K1160" t="s">
        <v>78</v>
      </c>
      <c r="L1160" t="s">
        <v>75</v>
      </c>
      <c r="M1160" t="s">
        <v>76</v>
      </c>
      <c r="N1160" t="s">
        <v>989</v>
      </c>
      <c r="O1160" t="s">
        <v>82</v>
      </c>
      <c r="P1160" t="str">
        <f>"2170716426                    "</f>
        <v xml:space="preserve">2170716426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7.51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2.5</v>
      </c>
      <c r="BJ1160">
        <v>0.7</v>
      </c>
      <c r="BK1160">
        <v>2.5</v>
      </c>
      <c r="BL1160" s="4">
        <v>44.14</v>
      </c>
      <c r="BM1160" s="4">
        <v>6.62</v>
      </c>
      <c r="BN1160" s="4">
        <v>50.76</v>
      </c>
      <c r="BO1160" s="4">
        <v>50.76</v>
      </c>
      <c r="BQ1160" t="s">
        <v>121</v>
      </c>
      <c r="BR1160" t="s">
        <v>84</v>
      </c>
      <c r="BS1160" s="3">
        <v>43781</v>
      </c>
      <c r="BT1160" s="5">
        <v>0.35416666666666669</v>
      </c>
      <c r="BU1160" t="s">
        <v>1622</v>
      </c>
      <c r="BV1160" t="s">
        <v>86</v>
      </c>
      <c r="BY1160">
        <v>3683.02</v>
      </c>
      <c r="CA1160" t="s">
        <v>368</v>
      </c>
      <c r="CC1160" t="s">
        <v>76</v>
      </c>
      <c r="CD1160">
        <v>1600</v>
      </c>
      <c r="CE1160" t="s">
        <v>88</v>
      </c>
      <c r="CF1160" s="3">
        <v>43782</v>
      </c>
      <c r="CI1160">
        <v>1</v>
      </c>
      <c r="CJ1160">
        <v>1</v>
      </c>
      <c r="CK1160">
        <v>22</v>
      </c>
      <c r="CL1160" t="s">
        <v>89</v>
      </c>
    </row>
    <row r="1161" spans="1:90">
      <c r="A1161" t="s">
        <v>72</v>
      </c>
      <c r="B1161" t="s">
        <v>73</v>
      </c>
      <c r="C1161" t="s">
        <v>74</v>
      </c>
      <c r="E1161" t="str">
        <f>"FES1162722304"</f>
        <v>FES1162722304</v>
      </c>
      <c r="F1161" s="3">
        <v>43780</v>
      </c>
      <c r="G1161">
        <v>202005</v>
      </c>
      <c r="H1161" t="s">
        <v>75</v>
      </c>
      <c r="I1161" t="s">
        <v>76</v>
      </c>
      <c r="J1161" t="s">
        <v>77</v>
      </c>
      <c r="K1161" t="s">
        <v>78</v>
      </c>
      <c r="L1161" t="s">
        <v>95</v>
      </c>
      <c r="M1161" t="s">
        <v>96</v>
      </c>
      <c r="N1161" t="s">
        <v>1177</v>
      </c>
      <c r="O1161" t="s">
        <v>82</v>
      </c>
      <c r="P1161" t="str">
        <f>"2170716514                    "</f>
        <v xml:space="preserve">2170716514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10.72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2.7</v>
      </c>
      <c r="BJ1161">
        <v>4.2</v>
      </c>
      <c r="BK1161">
        <v>4.5</v>
      </c>
      <c r="BL1161" s="4">
        <v>63.03</v>
      </c>
      <c r="BM1161" s="4">
        <v>9.4499999999999993</v>
      </c>
      <c r="BN1161" s="4">
        <v>72.48</v>
      </c>
      <c r="BO1161" s="4">
        <v>72.48</v>
      </c>
      <c r="BQ1161" t="s">
        <v>109</v>
      </c>
      <c r="BR1161" t="s">
        <v>84</v>
      </c>
      <c r="BS1161" s="3">
        <v>43781</v>
      </c>
      <c r="BT1161" s="5">
        <v>0.38125000000000003</v>
      </c>
      <c r="BU1161" t="s">
        <v>1703</v>
      </c>
      <c r="BV1161" t="s">
        <v>86</v>
      </c>
      <c r="BY1161">
        <v>21043.33</v>
      </c>
      <c r="CC1161" t="s">
        <v>96</v>
      </c>
      <c r="CD1161">
        <v>1451</v>
      </c>
      <c r="CE1161" t="s">
        <v>88</v>
      </c>
      <c r="CF1161" s="3">
        <v>43782</v>
      </c>
      <c r="CI1161">
        <v>1</v>
      </c>
      <c r="CJ1161">
        <v>1</v>
      </c>
      <c r="CK1161">
        <v>22</v>
      </c>
      <c r="CL1161" t="s">
        <v>89</v>
      </c>
    </row>
    <row r="1162" spans="1:90">
      <c r="A1162" t="s">
        <v>72</v>
      </c>
      <c r="B1162" t="s">
        <v>73</v>
      </c>
      <c r="C1162" t="s">
        <v>74</v>
      </c>
      <c r="E1162" t="str">
        <f>"FES1162722295"</f>
        <v>FES1162722295</v>
      </c>
      <c r="F1162" s="3">
        <v>43780</v>
      </c>
      <c r="G1162">
        <v>202005</v>
      </c>
      <c r="H1162" t="s">
        <v>75</v>
      </c>
      <c r="I1162" t="s">
        <v>76</v>
      </c>
      <c r="J1162" t="s">
        <v>77</v>
      </c>
      <c r="K1162" t="s">
        <v>78</v>
      </c>
      <c r="L1162" t="s">
        <v>482</v>
      </c>
      <c r="M1162" t="s">
        <v>483</v>
      </c>
      <c r="N1162" t="s">
        <v>1165</v>
      </c>
      <c r="O1162" t="s">
        <v>82</v>
      </c>
      <c r="P1162" t="str">
        <f>"2170716497                    "</f>
        <v xml:space="preserve">2170716497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6.71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1.9</v>
      </c>
      <c r="BJ1162">
        <v>1.5</v>
      </c>
      <c r="BK1162">
        <v>2</v>
      </c>
      <c r="BL1162" s="4">
        <v>39.42</v>
      </c>
      <c r="BM1162" s="4">
        <v>5.91</v>
      </c>
      <c r="BN1162" s="4">
        <v>45.33</v>
      </c>
      <c r="BO1162" s="4">
        <v>45.33</v>
      </c>
      <c r="BQ1162" t="s">
        <v>109</v>
      </c>
      <c r="BR1162" t="s">
        <v>84</v>
      </c>
      <c r="BS1162" s="3">
        <v>43781</v>
      </c>
      <c r="BT1162" s="5">
        <v>0.24930555555555556</v>
      </c>
      <c r="BU1162" t="s">
        <v>1704</v>
      </c>
      <c r="BV1162" t="s">
        <v>86</v>
      </c>
      <c r="BY1162">
        <v>7515.9</v>
      </c>
      <c r="CA1162" t="s">
        <v>1336</v>
      </c>
      <c r="CC1162" t="s">
        <v>483</v>
      </c>
      <c r="CD1162">
        <v>1459</v>
      </c>
      <c r="CE1162" t="s">
        <v>88</v>
      </c>
      <c r="CF1162" s="3">
        <v>43782</v>
      </c>
      <c r="CI1162">
        <v>1</v>
      </c>
      <c r="CJ1162">
        <v>1</v>
      </c>
      <c r="CK1162">
        <v>22</v>
      </c>
      <c r="CL1162" t="s">
        <v>89</v>
      </c>
    </row>
    <row r="1163" spans="1:90">
      <c r="A1163" t="s">
        <v>72</v>
      </c>
      <c r="B1163" t="s">
        <v>73</v>
      </c>
      <c r="C1163" t="s">
        <v>74</v>
      </c>
      <c r="E1163" t="str">
        <f>"FES1162722184"</f>
        <v>FES1162722184</v>
      </c>
      <c r="F1163" s="3">
        <v>43780</v>
      </c>
      <c r="G1163">
        <v>202005</v>
      </c>
      <c r="H1163" t="s">
        <v>75</v>
      </c>
      <c r="I1163" t="s">
        <v>76</v>
      </c>
      <c r="J1163" t="s">
        <v>77</v>
      </c>
      <c r="K1163" t="s">
        <v>78</v>
      </c>
      <c r="L1163" t="s">
        <v>75</v>
      </c>
      <c r="M1163" t="s">
        <v>76</v>
      </c>
      <c r="N1163" t="s">
        <v>236</v>
      </c>
      <c r="O1163" t="s">
        <v>82</v>
      </c>
      <c r="P1163" t="str">
        <f>"2170716405                    "</f>
        <v xml:space="preserve">2170716405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9.92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4</v>
      </c>
      <c r="BJ1163">
        <v>3.2</v>
      </c>
      <c r="BK1163">
        <v>4</v>
      </c>
      <c r="BL1163" s="4">
        <v>58.31</v>
      </c>
      <c r="BM1163" s="4">
        <v>8.75</v>
      </c>
      <c r="BN1163" s="4">
        <v>67.06</v>
      </c>
      <c r="BO1163" s="4">
        <v>67.06</v>
      </c>
      <c r="BQ1163" t="s">
        <v>109</v>
      </c>
      <c r="BR1163" t="s">
        <v>84</v>
      </c>
      <c r="BS1163" s="3">
        <v>43781</v>
      </c>
      <c r="BT1163" s="5">
        <v>0.3263888888888889</v>
      </c>
      <c r="BU1163" t="s">
        <v>1705</v>
      </c>
      <c r="BV1163" t="s">
        <v>86</v>
      </c>
      <c r="BY1163">
        <v>16174.08</v>
      </c>
      <c r="CA1163" t="s">
        <v>238</v>
      </c>
      <c r="CC1163" t="s">
        <v>76</v>
      </c>
      <c r="CD1163">
        <v>1665</v>
      </c>
      <c r="CE1163" t="s">
        <v>147</v>
      </c>
      <c r="CI1163">
        <v>1</v>
      </c>
      <c r="CJ1163">
        <v>1</v>
      </c>
      <c r="CK1163">
        <v>22</v>
      </c>
      <c r="CL1163" t="s">
        <v>89</v>
      </c>
    </row>
    <row r="1164" spans="1:90">
      <c r="A1164" t="s">
        <v>72</v>
      </c>
      <c r="B1164" t="s">
        <v>73</v>
      </c>
      <c r="C1164" t="s">
        <v>74</v>
      </c>
      <c r="E1164" t="str">
        <f>"FES1162722301"</f>
        <v>FES1162722301</v>
      </c>
      <c r="F1164" s="3">
        <v>43780</v>
      </c>
      <c r="G1164">
        <v>202005</v>
      </c>
      <c r="H1164" t="s">
        <v>75</v>
      </c>
      <c r="I1164" t="s">
        <v>76</v>
      </c>
      <c r="J1164" t="s">
        <v>77</v>
      </c>
      <c r="K1164" t="s">
        <v>78</v>
      </c>
      <c r="L1164" t="s">
        <v>1651</v>
      </c>
      <c r="M1164" t="s">
        <v>1651</v>
      </c>
      <c r="N1164" t="s">
        <v>1652</v>
      </c>
      <c r="O1164" t="s">
        <v>82</v>
      </c>
      <c r="P1164" t="str">
        <f>"2170716511                    "</f>
        <v xml:space="preserve">2170716511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12.07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 s="4">
        <v>70.95</v>
      </c>
      <c r="BM1164" s="4">
        <v>10.64</v>
      </c>
      <c r="BN1164" s="4">
        <v>81.59</v>
      </c>
      <c r="BO1164" s="4">
        <v>81.59</v>
      </c>
      <c r="BQ1164" t="s">
        <v>161</v>
      </c>
      <c r="BR1164" t="s">
        <v>84</v>
      </c>
      <c r="BS1164" s="3">
        <v>43781</v>
      </c>
      <c r="BT1164" s="5">
        <v>0.33263888888888887</v>
      </c>
      <c r="BU1164" t="s">
        <v>1653</v>
      </c>
      <c r="BV1164" t="s">
        <v>86</v>
      </c>
      <c r="BY1164">
        <v>1200</v>
      </c>
      <c r="CA1164" t="s">
        <v>362</v>
      </c>
      <c r="CC1164" t="s">
        <v>1651</v>
      </c>
      <c r="CD1164">
        <v>1490</v>
      </c>
      <c r="CE1164" t="s">
        <v>147</v>
      </c>
      <c r="CF1164" s="3">
        <v>43782</v>
      </c>
      <c r="CI1164">
        <v>1</v>
      </c>
      <c r="CJ1164">
        <v>1</v>
      </c>
      <c r="CK1164">
        <v>24</v>
      </c>
      <c r="CL1164" t="s">
        <v>89</v>
      </c>
    </row>
    <row r="1165" spans="1:90">
      <c r="A1165" t="s">
        <v>72</v>
      </c>
      <c r="B1165" t="s">
        <v>73</v>
      </c>
      <c r="C1165" t="s">
        <v>74</v>
      </c>
      <c r="E1165" t="str">
        <f>"FES1162722288"</f>
        <v>FES1162722288</v>
      </c>
      <c r="F1165" s="3">
        <v>43780</v>
      </c>
      <c r="G1165">
        <v>202005</v>
      </c>
      <c r="H1165" t="s">
        <v>75</v>
      </c>
      <c r="I1165" t="s">
        <v>76</v>
      </c>
      <c r="J1165" t="s">
        <v>77</v>
      </c>
      <c r="K1165" t="s">
        <v>78</v>
      </c>
      <c r="L1165" t="s">
        <v>1651</v>
      </c>
      <c r="M1165" t="s">
        <v>1651</v>
      </c>
      <c r="N1165" t="s">
        <v>1652</v>
      </c>
      <c r="O1165" t="s">
        <v>82</v>
      </c>
      <c r="P1165" t="str">
        <f>"2170716487                    "</f>
        <v xml:space="preserve">2170716487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12.07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 s="4">
        <v>70.95</v>
      </c>
      <c r="BM1165" s="4">
        <v>10.64</v>
      </c>
      <c r="BN1165" s="4">
        <v>81.59</v>
      </c>
      <c r="BO1165" s="4">
        <v>81.59</v>
      </c>
      <c r="BQ1165" t="s">
        <v>161</v>
      </c>
      <c r="BR1165" t="s">
        <v>84</v>
      </c>
      <c r="BS1165" s="3">
        <v>43781</v>
      </c>
      <c r="BT1165" s="5">
        <v>0.33263888888888887</v>
      </c>
      <c r="BU1165" t="s">
        <v>1653</v>
      </c>
      <c r="BV1165" t="s">
        <v>86</v>
      </c>
      <c r="BY1165">
        <v>1200</v>
      </c>
      <c r="CA1165" t="s">
        <v>362</v>
      </c>
      <c r="CC1165" t="s">
        <v>1651</v>
      </c>
      <c r="CD1165">
        <v>1490</v>
      </c>
      <c r="CE1165" t="s">
        <v>147</v>
      </c>
      <c r="CF1165" s="3">
        <v>43782</v>
      </c>
      <c r="CI1165">
        <v>1</v>
      </c>
      <c r="CJ1165">
        <v>1</v>
      </c>
      <c r="CK1165">
        <v>24</v>
      </c>
      <c r="CL1165" t="s">
        <v>89</v>
      </c>
    </row>
    <row r="1166" spans="1:90">
      <c r="A1166" t="s">
        <v>72</v>
      </c>
      <c r="B1166" t="s">
        <v>73</v>
      </c>
      <c r="C1166" t="s">
        <v>74</v>
      </c>
      <c r="E1166" t="str">
        <f>"FES1162722275"</f>
        <v>FES1162722275</v>
      </c>
      <c r="F1166" s="3">
        <v>43780</v>
      </c>
      <c r="G1166">
        <v>202005</v>
      </c>
      <c r="H1166" t="s">
        <v>75</v>
      </c>
      <c r="I1166" t="s">
        <v>76</v>
      </c>
      <c r="J1166" t="s">
        <v>77</v>
      </c>
      <c r="K1166" t="s">
        <v>78</v>
      </c>
      <c r="L1166" t="s">
        <v>202</v>
      </c>
      <c r="M1166" t="s">
        <v>203</v>
      </c>
      <c r="N1166" t="s">
        <v>1706</v>
      </c>
      <c r="O1166" t="s">
        <v>82</v>
      </c>
      <c r="P1166" t="str">
        <f>"2170716478                    "</f>
        <v xml:space="preserve">2170716478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6.71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 s="4">
        <v>39.42</v>
      </c>
      <c r="BM1166" s="4">
        <v>5.91</v>
      </c>
      <c r="BN1166" s="4">
        <v>45.33</v>
      </c>
      <c r="BO1166" s="4">
        <v>45.33</v>
      </c>
      <c r="BQ1166" t="s">
        <v>1707</v>
      </c>
      <c r="BR1166" t="s">
        <v>84</v>
      </c>
      <c r="BS1166" s="3">
        <v>43781</v>
      </c>
      <c r="BT1166" s="5">
        <v>0.39999999999999997</v>
      </c>
      <c r="BU1166" t="s">
        <v>1708</v>
      </c>
      <c r="BV1166" t="s">
        <v>86</v>
      </c>
      <c r="BY1166">
        <v>1200</v>
      </c>
      <c r="CC1166" t="s">
        <v>203</v>
      </c>
      <c r="CD1166">
        <v>1422</v>
      </c>
      <c r="CE1166" t="s">
        <v>147</v>
      </c>
      <c r="CF1166" s="3">
        <v>43782</v>
      </c>
      <c r="CI1166">
        <v>1</v>
      </c>
      <c r="CJ1166">
        <v>1</v>
      </c>
      <c r="CK1166">
        <v>22</v>
      </c>
      <c r="CL1166" t="s">
        <v>89</v>
      </c>
    </row>
    <row r="1167" spans="1:90">
      <c r="A1167" t="s">
        <v>72</v>
      </c>
      <c r="B1167" t="s">
        <v>73</v>
      </c>
      <c r="C1167" t="s">
        <v>74</v>
      </c>
      <c r="E1167" t="str">
        <f>"FES1162722316"</f>
        <v>FES1162722316</v>
      </c>
      <c r="F1167" s="3">
        <v>43780</v>
      </c>
      <c r="G1167">
        <v>202005</v>
      </c>
      <c r="H1167" t="s">
        <v>75</v>
      </c>
      <c r="I1167" t="s">
        <v>76</v>
      </c>
      <c r="J1167" t="s">
        <v>77</v>
      </c>
      <c r="K1167" t="s">
        <v>78</v>
      </c>
      <c r="L1167" t="s">
        <v>124</v>
      </c>
      <c r="M1167" t="s">
        <v>125</v>
      </c>
      <c r="N1167" t="s">
        <v>1709</v>
      </c>
      <c r="O1167" t="s">
        <v>82</v>
      </c>
      <c r="P1167" t="str">
        <f>"2170716460                    "</f>
        <v xml:space="preserve">2170716460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6.71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 s="4">
        <v>39.42</v>
      </c>
      <c r="BM1167" s="4">
        <v>5.91</v>
      </c>
      <c r="BN1167" s="4">
        <v>45.33</v>
      </c>
      <c r="BO1167" s="4">
        <v>45.33</v>
      </c>
      <c r="BQ1167" t="s">
        <v>109</v>
      </c>
      <c r="BR1167" t="s">
        <v>84</v>
      </c>
      <c r="BS1167" s="3">
        <v>43781</v>
      </c>
      <c r="BT1167" s="5">
        <v>0.36805555555555558</v>
      </c>
      <c r="BU1167" t="s">
        <v>1710</v>
      </c>
      <c r="BV1167" t="s">
        <v>86</v>
      </c>
      <c r="BY1167">
        <v>1200</v>
      </c>
      <c r="CA1167" t="s">
        <v>123</v>
      </c>
      <c r="CC1167" t="s">
        <v>125</v>
      </c>
      <c r="CD1167">
        <v>2013</v>
      </c>
      <c r="CE1167" t="s">
        <v>147</v>
      </c>
      <c r="CF1167" s="3">
        <v>43782</v>
      </c>
      <c r="CI1167">
        <v>1</v>
      </c>
      <c r="CJ1167">
        <v>1</v>
      </c>
      <c r="CK1167">
        <v>22</v>
      </c>
      <c r="CL1167" t="s">
        <v>89</v>
      </c>
    </row>
    <row r="1168" spans="1:90">
      <c r="A1168" t="s">
        <v>72</v>
      </c>
      <c r="B1168" t="s">
        <v>73</v>
      </c>
      <c r="C1168" t="s">
        <v>74</v>
      </c>
      <c r="E1168" t="str">
        <f>"FES1162722309"</f>
        <v>FES1162722309</v>
      </c>
      <c r="F1168" s="3">
        <v>43780</v>
      </c>
      <c r="G1168">
        <v>202005</v>
      </c>
      <c r="H1168" t="s">
        <v>75</v>
      </c>
      <c r="I1168" t="s">
        <v>76</v>
      </c>
      <c r="J1168" t="s">
        <v>77</v>
      </c>
      <c r="K1168" t="s">
        <v>78</v>
      </c>
      <c r="L1168" t="s">
        <v>344</v>
      </c>
      <c r="M1168" t="s">
        <v>345</v>
      </c>
      <c r="N1168" t="s">
        <v>1711</v>
      </c>
      <c r="O1168" t="s">
        <v>82</v>
      </c>
      <c r="P1168" t="str">
        <f>"2170716502                    "</f>
        <v xml:space="preserve">2170716502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6.71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 s="4">
        <v>39.42</v>
      </c>
      <c r="BM1168" s="4">
        <v>5.91</v>
      </c>
      <c r="BN1168" s="4">
        <v>45.33</v>
      </c>
      <c r="BO1168" s="4">
        <v>45.33</v>
      </c>
      <c r="BQ1168" t="s">
        <v>109</v>
      </c>
      <c r="BR1168" t="s">
        <v>84</v>
      </c>
      <c r="BS1168" s="3">
        <v>43781</v>
      </c>
      <c r="BT1168" s="5">
        <v>0.36805555555555558</v>
      </c>
      <c r="BU1168" t="s">
        <v>1712</v>
      </c>
      <c r="BV1168" t="s">
        <v>86</v>
      </c>
      <c r="BY1168">
        <v>1200</v>
      </c>
      <c r="CA1168" t="s">
        <v>123</v>
      </c>
      <c r="CC1168" t="s">
        <v>345</v>
      </c>
      <c r="CD1168">
        <v>2125</v>
      </c>
      <c r="CE1168" t="s">
        <v>147</v>
      </c>
      <c r="CF1168" s="3">
        <v>43782</v>
      </c>
      <c r="CI1168">
        <v>1</v>
      </c>
      <c r="CJ1168">
        <v>1</v>
      </c>
      <c r="CK1168">
        <v>22</v>
      </c>
      <c r="CL1168" t="s">
        <v>89</v>
      </c>
    </row>
    <row r="1169" spans="1:90">
      <c r="A1169" t="s">
        <v>72</v>
      </c>
      <c r="B1169" t="s">
        <v>73</v>
      </c>
      <c r="C1169" t="s">
        <v>74</v>
      </c>
      <c r="E1169" t="str">
        <f>"FES1162717733"</f>
        <v>FES1162717733</v>
      </c>
      <c r="F1169" s="3">
        <v>43780</v>
      </c>
      <c r="G1169">
        <v>202005</v>
      </c>
      <c r="H1169" t="s">
        <v>75</v>
      </c>
      <c r="I1169" t="s">
        <v>76</v>
      </c>
      <c r="J1169" t="s">
        <v>77</v>
      </c>
      <c r="K1169" t="s">
        <v>78</v>
      </c>
      <c r="L1169" t="s">
        <v>112</v>
      </c>
      <c r="M1169" t="s">
        <v>113</v>
      </c>
      <c r="N1169" t="s">
        <v>369</v>
      </c>
      <c r="O1169" t="s">
        <v>82</v>
      </c>
      <c r="P1169" t="str">
        <f>"2170712499                    "</f>
        <v xml:space="preserve">2170712499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12.87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1.4</v>
      </c>
      <c r="BJ1169">
        <v>2.8</v>
      </c>
      <c r="BK1169">
        <v>3</v>
      </c>
      <c r="BL1169" s="4">
        <v>75.66</v>
      </c>
      <c r="BM1169" s="4">
        <v>11.35</v>
      </c>
      <c r="BN1169" s="4">
        <v>87.01</v>
      </c>
      <c r="BO1169" s="4">
        <v>87.01</v>
      </c>
      <c r="BR1169" t="s">
        <v>84</v>
      </c>
      <c r="BS1169" s="3">
        <v>43782</v>
      </c>
      <c r="BT1169" s="5">
        <v>0.58333333333333337</v>
      </c>
      <c r="BU1169" t="s">
        <v>1713</v>
      </c>
      <c r="BV1169" t="s">
        <v>89</v>
      </c>
      <c r="BW1169" t="s">
        <v>371</v>
      </c>
      <c r="BX1169" t="s">
        <v>372</v>
      </c>
      <c r="BY1169">
        <v>14015.4</v>
      </c>
      <c r="CC1169" t="s">
        <v>113</v>
      </c>
      <c r="CD1169">
        <v>4001</v>
      </c>
      <c r="CE1169" t="s">
        <v>1714</v>
      </c>
      <c r="CF1169" s="3">
        <v>43784</v>
      </c>
      <c r="CI1169">
        <v>1</v>
      </c>
      <c r="CJ1169">
        <v>2</v>
      </c>
      <c r="CK1169">
        <v>21</v>
      </c>
      <c r="CL1169" t="s">
        <v>89</v>
      </c>
    </row>
    <row r="1170" spans="1:90">
      <c r="A1170" t="s">
        <v>72</v>
      </c>
      <c r="B1170" t="s">
        <v>73</v>
      </c>
      <c r="C1170" t="s">
        <v>74</v>
      </c>
      <c r="E1170" t="str">
        <f>"FES1162722187"</f>
        <v>FES1162722187</v>
      </c>
      <c r="F1170" s="3">
        <v>43780</v>
      </c>
      <c r="G1170">
        <v>202005</v>
      </c>
      <c r="H1170" t="s">
        <v>75</v>
      </c>
      <c r="I1170" t="s">
        <v>76</v>
      </c>
      <c r="J1170" t="s">
        <v>77</v>
      </c>
      <c r="K1170" t="s">
        <v>78</v>
      </c>
      <c r="L1170" t="s">
        <v>1268</v>
      </c>
      <c r="M1170" t="s">
        <v>1269</v>
      </c>
      <c r="N1170" t="s">
        <v>1270</v>
      </c>
      <c r="O1170" t="s">
        <v>82</v>
      </c>
      <c r="P1170" t="str">
        <f>"217071412                     "</f>
        <v xml:space="preserve">217071412 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15.02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3.3</v>
      </c>
      <c r="BJ1170">
        <v>1.4</v>
      </c>
      <c r="BK1170">
        <v>3.5</v>
      </c>
      <c r="BL1170" s="4">
        <v>88.27</v>
      </c>
      <c r="BM1170" s="4">
        <v>13.24</v>
      </c>
      <c r="BN1170" s="4">
        <v>101.51</v>
      </c>
      <c r="BO1170" s="4">
        <v>101.51</v>
      </c>
      <c r="BQ1170" t="s">
        <v>109</v>
      </c>
      <c r="BR1170" t="s">
        <v>84</v>
      </c>
      <c r="BS1170" s="3">
        <v>43781</v>
      </c>
      <c r="BT1170" s="5">
        <v>0.45694444444444443</v>
      </c>
      <c r="BU1170" t="s">
        <v>1715</v>
      </c>
      <c r="BV1170" t="s">
        <v>86</v>
      </c>
      <c r="BY1170">
        <v>6832</v>
      </c>
      <c r="CA1170" t="s">
        <v>1215</v>
      </c>
      <c r="CC1170" t="s">
        <v>1269</v>
      </c>
      <c r="CD1170">
        <v>3290</v>
      </c>
      <c r="CE1170" t="s">
        <v>88</v>
      </c>
      <c r="CF1170" s="3">
        <v>43782</v>
      </c>
      <c r="CI1170">
        <v>1</v>
      </c>
      <c r="CJ1170">
        <v>1</v>
      </c>
      <c r="CK1170">
        <v>21</v>
      </c>
      <c r="CL1170" t="s">
        <v>89</v>
      </c>
    </row>
    <row r="1171" spans="1:90">
      <c r="A1171" t="s">
        <v>72</v>
      </c>
      <c r="B1171" t="s">
        <v>73</v>
      </c>
      <c r="C1171" t="s">
        <v>74</v>
      </c>
      <c r="E1171" t="str">
        <f>"FES1162722292"</f>
        <v>FES1162722292</v>
      </c>
      <c r="F1171" s="3">
        <v>43780</v>
      </c>
      <c r="G1171">
        <v>202005</v>
      </c>
      <c r="H1171" t="s">
        <v>75</v>
      </c>
      <c r="I1171" t="s">
        <v>76</v>
      </c>
      <c r="J1171" t="s">
        <v>77</v>
      </c>
      <c r="K1171" t="s">
        <v>78</v>
      </c>
      <c r="L1171" t="s">
        <v>118</v>
      </c>
      <c r="M1171" t="s">
        <v>119</v>
      </c>
      <c r="N1171" t="s">
        <v>630</v>
      </c>
      <c r="O1171" t="s">
        <v>82</v>
      </c>
      <c r="P1171" t="str">
        <f>"21707493                      "</f>
        <v xml:space="preserve">21707493  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30.03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7</v>
      </c>
      <c r="BJ1171">
        <v>4.0999999999999996</v>
      </c>
      <c r="BK1171">
        <v>7</v>
      </c>
      <c r="BL1171" s="4">
        <v>176.5</v>
      </c>
      <c r="BM1171" s="4">
        <v>26.48</v>
      </c>
      <c r="BN1171" s="4">
        <v>202.98</v>
      </c>
      <c r="BO1171" s="4">
        <v>202.98</v>
      </c>
      <c r="BQ1171" t="s">
        <v>121</v>
      </c>
      <c r="BR1171" t="s">
        <v>84</v>
      </c>
      <c r="BS1171" s="3">
        <v>43781</v>
      </c>
      <c r="BT1171" s="5">
        <v>0.34375</v>
      </c>
      <c r="BU1171" t="s">
        <v>631</v>
      </c>
      <c r="BV1171" t="s">
        <v>86</v>
      </c>
      <c r="BY1171">
        <v>20358</v>
      </c>
      <c r="CA1171" t="s">
        <v>632</v>
      </c>
      <c r="CC1171" t="s">
        <v>119</v>
      </c>
      <c r="CD1171">
        <v>3201</v>
      </c>
      <c r="CE1171" t="s">
        <v>88</v>
      </c>
      <c r="CF1171" s="3">
        <v>43782</v>
      </c>
      <c r="CI1171">
        <v>1</v>
      </c>
      <c r="CJ1171">
        <v>1</v>
      </c>
      <c r="CK1171">
        <v>21</v>
      </c>
      <c r="CL1171" t="s">
        <v>89</v>
      </c>
    </row>
    <row r="1172" spans="1:90">
      <c r="A1172" t="s">
        <v>72</v>
      </c>
      <c r="B1172" t="s">
        <v>73</v>
      </c>
      <c r="C1172" t="s">
        <v>74</v>
      </c>
      <c r="E1172" t="str">
        <f>"FES1162722174"</f>
        <v>FES1162722174</v>
      </c>
      <c r="F1172" s="3">
        <v>43780</v>
      </c>
      <c r="G1172">
        <v>202005</v>
      </c>
      <c r="H1172" t="s">
        <v>75</v>
      </c>
      <c r="I1172" t="s">
        <v>76</v>
      </c>
      <c r="J1172" t="s">
        <v>77</v>
      </c>
      <c r="K1172" t="s">
        <v>78</v>
      </c>
      <c r="L1172" t="s">
        <v>90</v>
      </c>
      <c r="M1172" t="s">
        <v>91</v>
      </c>
      <c r="N1172" t="s">
        <v>1617</v>
      </c>
      <c r="O1172" t="s">
        <v>82</v>
      </c>
      <c r="P1172" t="str">
        <f>"21707158474                   "</f>
        <v xml:space="preserve">21707158474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12.87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2.6</v>
      </c>
      <c r="BJ1172">
        <v>1.9</v>
      </c>
      <c r="BK1172">
        <v>3</v>
      </c>
      <c r="BL1172" s="4">
        <v>75.66</v>
      </c>
      <c r="BM1172" s="4">
        <v>11.35</v>
      </c>
      <c r="BN1172" s="4">
        <v>87.01</v>
      </c>
      <c r="BO1172" s="4">
        <v>87.01</v>
      </c>
      <c r="BQ1172" t="s">
        <v>187</v>
      </c>
      <c r="BR1172" t="s">
        <v>84</v>
      </c>
      <c r="BS1172" s="3">
        <v>43781</v>
      </c>
      <c r="BT1172" s="5">
        <v>0.42569444444444443</v>
      </c>
      <c r="BU1172" t="s">
        <v>1618</v>
      </c>
      <c r="BV1172" t="s">
        <v>86</v>
      </c>
      <c r="BY1172">
        <v>9680.16</v>
      </c>
      <c r="CA1172" t="s">
        <v>1309</v>
      </c>
      <c r="CC1172" t="s">
        <v>91</v>
      </c>
      <c r="CD1172">
        <v>7580</v>
      </c>
      <c r="CE1172" t="s">
        <v>1598</v>
      </c>
      <c r="CF1172" s="3">
        <v>43782</v>
      </c>
      <c r="CI1172">
        <v>1</v>
      </c>
      <c r="CJ1172">
        <v>1</v>
      </c>
      <c r="CK1172">
        <v>21</v>
      </c>
      <c r="CL1172" t="s">
        <v>89</v>
      </c>
    </row>
    <row r="1173" spans="1:90">
      <c r="A1173" t="s">
        <v>72</v>
      </c>
      <c r="B1173" t="s">
        <v>73</v>
      </c>
      <c r="C1173" t="s">
        <v>74</v>
      </c>
      <c r="E1173" t="str">
        <f>"FES1162722289"</f>
        <v>FES1162722289</v>
      </c>
      <c r="F1173" s="3">
        <v>43780</v>
      </c>
      <c r="G1173">
        <v>202005</v>
      </c>
      <c r="H1173" t="s">
        <v>75</v>
      </c>
      <c r="I1173" t="s">
        <v>76</v>
      </c>
      <c r="J1173" t="s">
        <v>77</v>
      </c>
      <c r="K1173" t="s">
        <v>78</v>
      </c>
      <c r="L1173" t="s">
        <v>90</v>
      </c>
      <c r="M1173" t="s">
        <v>91</v>
      </c>
      <c r="N1173" t="s">
        <v>1617</v>
      </c>
      <c r="O1173" t="s">
        <v>82</v>
      </c>
      <c r="P1173" t="str">
        <f>"2170716488                    "</f>
        <v xml:space="preserve">2170716488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32.17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7.4</v>
      </c>
      <c r="BJ1173">
        <v>3.2</v>
      </c>
      <c r="BK1173">
        <v>7.5</v>
      </c>
      <c r="BL1173" s="4">
        <v>189.1</v>
      </c>
      <c r="BM1173" s="4">
        <v>28.37</v>
      </c>
      <c r="BN1173" s="4">
        <v>217.47</v>
      </c>
      <c r="BO1173" s="4">
        <v>217.47</v>
      </c>
      <c r="BQ1173" t="s">
        <v>187</v>
      </c>
      <c r="BR1173" t="s">
        <v>84</v>
      </c>
      <c r="BS1173" s="3">
        <v>43781</v>
      </c>
      <c r="BT1173" s="5">
        <v>0.42569444444444443</v>
      </c>
      <c r="BU1173" t="s">
        <v>1618</v>
      </c>
      <c r="BV1173" t="s">
        <v>86</v>
      </c>
      <c r="BY1173">
        <v>16167.86</v>
      </c>
      <c r="CA1173" t="s">
        <v>1309</v>
      </c>
      <c r="CC1173" t="s">
        <v>91</v>
      </c>
      <c r="CD1173">
        <v>7580</v>
      </c>
      <c r="CE1173" t="s">
        <v>88</v>
      </c>
      <c r="CF1173" s="3">
        <v>43782</v>
      </c>
      <c r="CI1173">
        <v>1</v>
      </c>
      <c r="CJ1173">
        <v>1</v>
      </c>
      <c r="CK1173">
        <v>21</v>
      </c>
      <c r="CL1173" t="s">
        <v>89</v>
      </c>
    </row>
    <row r="1174" spans="1:90">
      <c r="A1174" t="s">
        <v>72</v>
      </c>
      <c r="B1174" t="s">
        <v>73</v>
      </c>
      <c r="C1174" t="s">
        <v>74</v>
      </c>
      <c r="E1174" t="str">
        <f>"FES1162722297"</f>
        <v>FES1162722297</v>
      </c>
      <c r="F1174" s="3">
        <v>43780</v>
      </c>
      <c r="G1174">
        <v>202005</v>
      </c>
      <c r="H1174" t="s">
        <v>75</v>
      </c>
      <c r="I1174" t="s">
        <v>76</v>
      </c>
      <c r="J1174" t="s">
        <v>77</v>
      </c>
      <c r="K1174" t="s">
        <v>78</v>
      </c>
      <c r="L1174" t="s">
        <v>75</v>
      </c>
      <c r="M1174" t="s">
        <v>76</v>
      </c>
      <c r="N1174" t="s">
        <v>1429</v>
      </c>
      <c r="O1174" t="s">
        <v>82</v>
      </c>
      <c r="P1174" t="str">
        <f>"21707165000                   "</f>
        <v xml:space="preserve">21707165000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6.71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 s="4">
        <v>39.42</v>
      </c>
      <c r="BM1174" s="4">
        <v>5.91</v>
      </c>
      <c r="BN1174" s="4">
        <v>45.33</v>
      </c>
      <c r="BO1174" s="4">
        <v>45.33</v>
      </c>
      <c r="BQ1174" t="s">
        <v>109</v>
      </c>
      <c r="BR1174" t="s">
        <v>84</v>
      </c>
      <c r="BS1174" s="3">
        <v>43781</v>
      </c>
      <c r="BT1174" s="5">
        <v>0.34583333333333338</v>
      </c>
      <c r="BU1174" t="s">
        <v>1430</v>
      </c>
      <c r="BV1174" t="s">
        <v>86</v>
      </c>
      <c r="BY1174">
        <v>1200</v>
      </c>
      <c r="CA1174" t="s">
        <v>238</v>
      </c>
      <c r="CC1174" t="s">
        <v>76</v>
      </c>
      <c r="CD1174">
        <v>1665</v>
      </c>
      <c r="CE1174" t="s">
        <v>147</v>
      </c>
      <c r="CF1174" s="3">
        <v>43782</v>
      </c>
      <c r="CI1174">
        <v>1</v>
      </c>
      <c r="CJ1174">
        <v>1</v>
      </c>
      <c r="CK1174">
        <v>22</v>
      </c>
      <c r="CL1174" t="s">
        <v>89</v>
      </c>
    </row>
    <row r="1175" spans="1:90">
      <c r="A1175" t="s">
        <v>72</v>
      </c>
      <c r="B1175" t="s">
        <v>73</v>
      </c>
      <c r="C1175" t="s">
        <v>74</v>
      </c>
      <c r="E1175" t="str">
        <f>"FES1162722218"</f>
        <v>FES1162722218</v>
      </c>
      <c r="F1175" s="3">
        <v>43780</v>
      </c>
      <c r="G1175">
        <v>202005</v>
      </c>
      <c r="H1175" t="s">
        <v>75</v>
      </c>
      <c r="I1175" t="s">
        <v>76</v>
      </c>
      <c r="J1175" t="s">
        <v>77</v>
      </c>
      <c r="K1175" t="s">
        <v>78</v>
      </c>
      <c r="L1175" t="s">
        <v>112</v>
      </c>
      <c r="M1175" t="s">
        <v>113</v>
      </c>
      <c r="N1175" t="s">
        <v>206</v>
      </c>
      <c r="O1175" t="s">
        <v>82</v>
      </c>
      <c r="P1175" t="str">
        <f>"21707443                      "</f>
        <v xml:space="preserve">21707443  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8.58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 s="4">
        <v>50.45</v>
      </c>
      <c r="BM1175" s="4">
        <v>7.57</v>
      </c>
      <c r="BN1175" s="4">
        <v>58.02</v>
      </c>
      <c r="BO1175" s="4">
        <v>58.02</v>
      </c>
      <c r="BQ1175" t="s">
        <v>109</v>
      </c>
      <c r="BR1175" t="s">
        <v>84</v>
      </c>
      <c r="BS1175" s="3">
        <v>43781</v>
      </c>
      <c r="BT1175" s="5">
        <v>0.39583333333333331</v>
      </c>
      <c r="BU1175" t="s">
        <v>1716</v>
      </c>
      <c r="BV1175" t="s">
        <v>86</v>
      </c>
      <c r="BY1175">
        <v>1200</v>
      </c>
      <c r="CA1175" t="s">
        <v>123</v>
      </c>
      <c r="CC1175" t="s">
        <v>113</v>
      </c>
      <c r="CD1175">
        <v>4001</v>
      </c>
      <c r="CE1175" t="s">
        <v>147</v>
      </c>
      <c r="CF1175" s="3">
        <v>43782</v>
      </c>
      <c r="CI1175">
        <v>1</v>
      </c>
      <c r="CJ1175">
        <v>1</v>
      </c>
      <c r="CK1175">
        <v>21</v>
      </c>
      <c r="CL1175" t="s">
        <v>89</v>
      </c>
    </row>
    <row r="1176" spans="1:90">
      <c r="A1176" t="s">
        <v>72</v>
      </c>
      <c r="B1176" t="s">
        <v>73</v>
      </c>
      <c r="C1176" t="s">
        <v>74</v>
      </c>
      <c r="E1176" t="str">
        <f>"FES1162722206"</f>
        <v>FES1162722206</v>
      </c>
      <c r="F1176" s="3">
        <v>43780</v>
      </c>
      <c r="G1176">
        <v>202005</v>
      </c>
      <c r="H1176" t="s">
        <v>75</v>
      </c>
      <c r="I1176" t="s">
        <v>76</v>
      </c>
      <c r="J1176" t="s">
        <v>77</v>
      </c>
      <c r="K1176" t="s">
        <v>78</v>
      </c>
      <c r="L1176" t="s">
        <v>112</v>
      </c>
      <c r="M1176" t="s">
        <v>113</v>
      </c>
      <c r="N1176" t="s">
        <v>206</v>
      </c>
      <c r="O1176" t="s">
        <v>82</v>
      </c>
      <c r="P1176" t="str">
        <f>"217074632                     "</f>
        <v xml:space="preserve">217074632 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8.58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 s="4">
        <v>50.45</v>
      </c>
      <c r="BM1176" s="4">
        <v>7.57</v>
      </c>
      <c r="BN1176" s="4">
        <v>58.02</v>
      </c>
      <c r="BO1176" s="4">
        <v>58.02</v>
      </c>
      <c r="BQ1176" t="s">
        <v>109</v>
      </c>
      <c r="BR1176" t="s">
        <v>84</v>
      </c>
      <c r="BS1176" s="3">
        <v>43781</v>
      </c>
      <c r="BT1176" s="5">
        <v>0.39583333333333331</v>
      </c>
      <c r="BU1176" t="s">
        <v>1716</v>
      </c>
      <c r="BV1176" t="s">
        <v>86</v>
      </c>
      <c r="BY1176">
        <v>1200</v>
      </c>
      <c r="CA1176" t="s">
        <v>123</v>
      </c>
      <c r="CC1176" t="s">
        <v>113</v>
      </c>
      <c r="CD1176">
        <v>4001</v>
      </c>
      <c r="CE1176" t="s">
        <v>147</v>
      </c>
      <c r="CF1176" s="3">
        <v>43782</v>
      </c>
      <c r="CI1176">
        <v>1</v>
      </c>
      <c r="CJ1176">
        <v>1</v>
      </c>
      <c r="CK1176">
        <v>21</v>
      </c>
      <c r="CL1176" t="s">
        <v>89</v>
      </c>
    </row>
    <row r="1177" spans="1:90">
      <c r="A1177" t="s">
        <v>72</v>
      </c>
      <c r="B1177" t="s">
        <v>73</v>
      </c>
      <c r="C1177" t="s">
        <v>74</v>
      </c>
      <c r="E1177" t="str">
        <f>"FES1162722335"</f>
        <v>FES1162722335</v>
      </c>
      <c r="F1177" s="3">
        <v>43780</v>
      </c>
      <c r="G1177">
        <v>202005</v>
      </c>
      <c r="H1177" t="s">
        <v>75</v>
      </c>
      <c r="I1177" t="s">
        <v>76</v>
      </c>
      <c r="J1177" t="s">
        <v>77</v>
      </c>
      <c r="K1177" t="s">
        <v>78</v>
      </c>
      <c r="L1177" t="s">
        <v>124</v>
      </c>
      <c r="M1177" t="s">
        <v>125</v>
      </c>
      <c r="N1177" t="s">
        <v>218</v>
      </c>
      <c r="O1177" t="s">
        <v>82</v>
      </c>
      <c r="P1177" t="str">
        <f>"2170716552                    "</f>
        <v xml:space="preserve">2170716552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6.71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 s="4">
        <v>39.42</v>
      </c>
      <c r="BM1177" s="4">
        <v>5.91</v>
      </c>
      <c r="BN1177" s="4">
        <v>45.33</v>
      </c>
      <c r="BO1177" s="4">
        <v>45.33</v>
      </c>
      <c r="BQ1177" t="s">
        <v>121</v>
      </c>
      <c r="BR1177" t="s">
        <v>84</v>
      </c>
      <c r="BS1177" s="3">
        <v>43781</v>
      </c>
      <c r="BT1177" s="5">
        <v>0.37013888888888885</v>
      </c>
      <c r="BU1177" t="s">
        <v>1657</v>
      </c>
      <c r="BV1177" t="s">
        <v>86</v>
      </c>
      <c r="BY1177">
        <v>1200</v>
      </c>
      <c r="CA1177" t="s">
        <v>123</v>
      </c>
      <c r="CC1177" t="s">
        <v>125</v>
      </c>
      <c r="CD1177">
        <v>2094</v>
      </c>
      <c r="CE1177" t="s">
        <v>147</v>
      </c>
      <c r="CF1177" s="3">
        <v>43782</v>
      </c>
      <c r="CI1177">
        <v>1</v>
      </c>
      <c r="CJ1177">
        <v>1</v>
      </c>
      <c r="CK1177">
        <v>22</v>
      </c>
      <c r="CL1177" t="s">
        <v>89</v>
      </c>
    </row>
    <row r="1178" spans="1:90">
      <c r="A1178" t="s">
        <v>72</v>
      </c>
      <c r="B1178" t="s">
        <v>73</v>
      </c>
      <c r="C1178" t="s">
        <v>74</v>
      </c>
      <c r="E1178" t="str">
        <f>"FES1162722360"</f>
        <v>FES1162722360</v>
      </c>
      <c r="F1178" s="3">
        <v>43780</v>
      </c>
      <c r="G1178">
        <v>202005</v>
      </c>
      <c r="H1178" t="s">
        <v>75</v>
      </c>
      <c r="I1178" t="s">
        <v>76</v>
      </c>
      <c r="J1178" t="s">
        <v>77</v>
      </c>
      <c r="K1178" t="s">
        <v>78</v>
      </c>
      <c r="L1178" t="s">
        <v>133</v>
      </c>
      <c r="M1178" t="s">
        <v>134</v>
      </c>
      <c r="N1178" t="s">
        <v>135</v>
      </c>
      <c r="O1178" t="s">
        <v>82</v>
      </c>
      <c r="P1178" t="str">
        <f>"2170716562                    "</f>
        <v xml:space="preserve">2170716562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30.03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6.8</v>
      </c>
      <c r="BJ1178">
        <v>3.1</v>
      </c>
      <c r="BK1178">
        <v>7</v>
      </c>
      <c r="BL1178" s="4">
        <v>176.5</v>
      </c>
      <c r="BM1178" s="4">
        <v>26.48</v>
      </c>
      <c r="BN1178" s="4">
        <v>202.98</v>
      </c>
      <c r="BO1178" s="4">
        <v>202.98</v>
      </c>
      <c r="BQ1178" t="s">
        <v>109</v>
      </c>
      <c r="BR1178" t="s">
        <v>84</v>
      </c>
      <c r="BS1178" s="3">
        <v>43781</v>
      </c>
      <c r="BT1178" s="5">
        <v>0.43402777777777773</v>
      </c>
      <c r="BU1178" t="s">
        <v>136</v>
      </c>
      <c r="BV1178" t="s">
        <v>86</v>
      </c>
      <c r="BY1178">
        <v>15674.88</v>
      </c>
      <c r="CA1178" t="s">
        <v>137</v>
      </c>
      <c r="CC1178" t="s">
        <v>134</v>
      </c>
      <c r="CD1178">
        <v>5201</v>
      </c>
      <c r="CE1178" t="s">
        <v>88</v>
      </c>
      <c r="CF1178" s="3">
        <v>43787</v>
      </c>
      <c r="CI1178">
        <v>1</v>
      </c>
      <c r="CJ1178">
        <v>1</v>
      </c>
      <c r="CK1178">
        <v>21</v>
      </c>
      <c r="CL1178" t="s">
        <v>89</v>
      </c>
    </row>
    <row r="1179" spans="1:90">
      <c r="A1179" t="s">
        <v>72</v>
      </c>
      <c r="B1179" t="s">
        <v>73</v>
      </c>
      <c r="C1179" t="s">
        <v>74</v>
      </c>
      <c r="E1179" t="str">
        <f>"FES1162722238"</f>
        <v>FES1162722238</v>
      </c>
      <c r="F1179" s="3">
        <v>43780</v>
      </c>
      <c r="G1179">
        <v>202005</v>
      </c>
      <c r="H1179" t="s">
        <v>75</v>
      </c>
      <c r="I1179" t="s">
        <v>76</v>
      </c>
      <c r="J1179" t="s">
        <v>77</v>
      </c>
      <c r="K1179" t="s">
        <v>78</v>
      </c>
      <c r="L1179" t="s">
        <v>431</v>
      </c>
      <c r="M1179" t="s">
        <v>432</v>
      </c>
      <c r="N1179" t="s">
        <v>436</v>
      </c>
      <c r="O1179" t="s">
        <v>82</v>
      </c>
      <c r="P1179" t="str">
        <f>"217071320                     "</f>
        <v xml:space="preserve">217071320 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8.58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0.9</v>
      </c>
      <c r="BJ1179">
        <v>1</v>
      </c>
      <c r="BK1179">
        <v>1</v>
      </c>
      <c r="BL1179" s="4">
        <v>50.45</v>
      </c>
      <c r="BM1179" s="4">
        <v>7.57</v>
      </c>
      <c r="BN1179" s="4">
        <v>58.02</v>
      </c>
      <c r="BO1179" s="4">
        <v>58.02</v>
      </c>
      <c r="BR1179" t="s">
        <v>84</v>
      </c>
      <c r="BS1179" s="3">
        <v>43781</v>
      </c>
      <c r="BT1179" s="5">
        <v>0.54791666666666672</v>
      </c>
      <c r="BU1179" t="s">
        <v>1717</v>
      </c>
      <c r="BV1179" t="s">
        <v>86</v>
      </c>
      <c r="BY1179">
        <v>5243.94</v>
      </c>
      <c r="CA1179" t="s">
        <v>435</v>
      </c>
      <c r="CC1179" t="s">
        <v>432</v>
      </c>
      <c r="CD1179">
        <v>3699</v>
      </c>
      <c r="CE1179" t="s">
        <v>88</v>
      </c>
      <c r="CF1179" s="3">
        <v>43782</v>
      </c>
      <c r="CI1179">
        <v>1</v>
      </c>
      <c r="CJ1179">
        <v>1</v>
      </c>
      <c r="CK1179">
        <v>21</v>
      </c>
      <c r="CL1179" t="s">
        <v>89</v>
      </c>
    </row>
    <row r="1180" spans="1:90">
      <c r="A1180" t="s">
        <v>72</v>
      </c>
      <c r="B1180" t="s">
        <v>73</v>
      </c>
      <c r="C1180" t="s">
        <v>74</v>
      </c>
      <c r="E1180" t="str">
        <f>"FES1162722319"</f>
        <v>FES1162722319</v>
      </c>
      <c r="F1180" s="3">
        <v>43780</v>
      </c>
      <c r="G1180">
        <v>202005</v>
      </c>
      <c r="H1180" t="s">
        <v>75</v>
      </c>
      <c r="I1180" t="s">
        <v>76</v>
      </c>
      <c r="J1180" t="s">
        <v>77</v>
      </c>
      <c r="K1180" t="s">
        <v>78</v>
      </c>
      <c r="L1180" t="s">
        <v>176</v>
      </c>
      <c r="M1180" t="s">
        <v>177</v>
      </c>
      <c r="N1180" t="s">
        <v>1299</v>
      </c>
      <c r="O1180" t="s">
        <v>82</v>
      </c>
      <c r="P1180" t="str">
        <f>"2170716531                    "</f>
        <v xml:space="preserve">2170716531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8.58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1.4</v>
      </c>
      <c r="BJ1180">
        <v>1.2</v>
      </c>
      <c r="BK1180">
        <v>1.5</v>
      </c>
      <c r="BL1180" s="4">
        <v>50.45</v>
      </c>
      <c r="BM1180" s="4">
        <v>7.57</v>
      </c>
      <c r="BN1180" s="4">
        <v>58.02</v>
      </c>
      <c r="BO1180" s="4">
        <v>58.02</v>
      </c>
      <c r="BQ1180" t="s">
        <v>1300</v>
      </c>
      <c r="BR1180" t="s">
        <v>84</v>
      </c>
      <c r="BS1180" s="3">
        <v>43781</v>
      </c>
      <c r="BT1180" s="5">
        <v>0.37083333333333335</v>
      </c>
      <c r="BU1180" t="s">
        <v>1200</v>
      </c>
      <c r="BV1180" t="s">
        <v>86</v>
      </c>
      <c r="BY1180">
        <v>5913.96</v>
      </c>
      <c r="CA1180" t="s">
        <v>224</v>
      </c>
      <c r="CC1180" t="s">
        <v>177</v>
      </c>
      <c r="CD1180">
        <v>3610</v>
      </c>
      <c r="CE1180" t="s">
        <v>88</v>
      </c>
      <c r="CF1180" s="3">
        <v>43782</v>
      </c>
      <c r="CI1180">
        <v>1</v>
      </c>
      <c r="CJ1180">
        <v>1</v>
      </c>
      <c r="CK1180">
        <v>21</v>
      </c>
      <c r="CL1180" t="s">
        <v>89</v>
      </c>
    </row>
    <row r="1181" spans="1:90">
      <c r="A1181" t="s">
        <v>72</v>
      </c>
      <c r="B1181" t="s">
        <v>73</v>
      </c>
      <c r="C1181" t="s">
        <v>74</v>
      </c>
      <c r="E1181" t="str">
        <f>"FES1162722321"</f>
        <v>FES1162722321</v>
      </c>
      <c r="F1181" s="3">
        <v>43780</v>
      </c>
      <c r="G1181">
        <v>202005</v>
      </c>
      <c r="H1181" t="s">
        <v>75</v>
      </c>
      <c r="I1181" t="s">
        <v>76</v>
      </c>
      <c r="J1181" t="s">
        <v>77</v>
      </c>
      <c r="K1181" t="s">
        <v>78</v>
      </c>
      <c r="L1181" t="s">
        <v>296</v>
      </c>
      <c r="M1181" t="s">
        <v>297</v>
      </c>
      <c r="N1181" t="s">
        <v>298</v>
      </c>
      <c r="O1181" t="s">
        <v>82</v>
      </c>
      <c r="P1181" t="str">
        <f>"2170712610                    "</f>
        <v xml:space="preserve">2170712610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35.409999999999997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4.5</v>
      </c>
      <c r="BJ1181">
        <v>3.3</v>
      </c>
      <c r="BK1181">
        <v>4.5</v>
      </c>
      <c r="BL1181" s="4">
        <v>208.13</v>
      </c>
      <c r="BM1181" s="4">
        <v>31.22</v>
      </c>
      <c r="BN1181" s="4">
        <v>239.35</v>
      </c>
      <c r="BO1181" s="4">
        <v>239.35</v>
      </c>
      <c r="BQ1181" t="s">
        <v>121</v>
      </c>
      <c r="BR1181" t="s">
        <v>84</v>
      </c>
      <c r="BS1181" s="3">
        <v>43782</v>
      </c>
      <c r="BT1181" s="5">
        <v>0.35694444444444445</v>
      </c>
      <c r="BU1181" t="s">
        <v>658</v>
      </c>
      <c r="BV1181" t="s">
        <v>86</v>
      </c>
      <c r="BY1181">
        <v>16318.1</v>
      </c>
      <c r="CA1181" t="s">
        <v>300</v>
      </c>
      <c r="CC1181" t="s">
        <v>297</v>
      </c>
      <c r="CD1181">
        <v>6849</v>
      </c>
      <c r="CE1181" t="s">
        <v>88</v>
      </c>
      <c r="CF1181" s="3">
        <v>43783</v>
      </c>
      <c r="CI1181">
        <v>3</v>
      </c>
      <c r="CJ1181">
        <v>2</v>
      </c>
      <c r="CK1181">
        <v>23</v>
      </c>
      <c r="CL1181" t="s">
        <v>89</v>
      </c>
    </row>
    <row r="1182" spans="1:90">
      <c r="A1182" t="s">
        <v>72</v>
      </c>
      <c r="B1182" t="s">
        <v>73</v>
      </c>
      <c r="C1182" t="s">
        <v>74</v>
      </c>
      <c r="E1182" t="str">
        <f>"FES1162722363"</f>
        <v>FES1162722363</v>
      </c>
      <c r="F1182" s="3">
        <v>43780</v>
      </c>
      <c r="G1182">
        <v>202005</v>
      </c>
      <c r="H1182" t="s">
        <v>75</v>
      </c>
      <c r="I1182" t="s">
        <v>76</v>
      </c>
      <c r="J1182" t="s">
        <v>77</v>
      </c>
      <c r="K1182" t="s">
        <v>78</v>
      </c>
      <c r="L1182" t="s">
        <v>482</v>
      </c>
      <c r="M1182" t="s">
        <v>483</v>
      </c>
      <c r="N1182" t="s">
        <v>1547</v>
      </c>
      <c r="O1182" t="s">
        <v>82</v>
      </c>
      <c r="P1182" t="str">
        <f>"2170716596                    "</f>
        <v xml:space="preserve">2170716596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9.1199999999999992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3.1</v>
      </c>
      <c r="BJ1182">
        <v>1.4</v>
      </c>
      <c r="BK1182">
        <v>3.5</v>
      </c>
      <c r="BL1182" s="4">
        <v>53.59</v>
      </c>
      <c r="BM1182" s="4">
        <v>8.0399999999999991</v>
      </c>
      <c r="BN1182" s="4">
        <v>61.63</v>
      </c>
      <c r="BO1182" s="4">
        <v>61.63</v>
      </c>
      <c r="BQ1182" t="s">
        <v>109</v>
      </c>
      <c r="BR1182" t="s">
        <v>84</v>
      </c>
      <c r="BS1182" s="3">
        <v>43781</v>
      </c>
      <c r="BT1182" s="5">
        <v>0.34583333333333338</v>
      </c>
      <c r="BU1182" t="s">
        <v>1718</v>
      </c>
      <c r="BV1182" t="s">
        <v>86</v>
      </c>
      <c r="BY1182">
        <v>6955.73</v>
      </c>
      <c r="CA1182" t="s">
        <v>1336</v>
      </c>
      <c r="CC1182" t="s">
        <v>483</v>
      </c>
      <c r="CD1182">
        <v>1460</v>
      </c>
      <c r="CE1182" t="s">
        <v>88</v>
      </c>
      <c r="CF1182" s="3">
        <v>43782</v>
      </c>
      <c r="CI1182">
        <v>1</v>
      </c>
      <c r="CJ1182">
        <v>1</v>
      </c>
      <c r="CK1182">
        <v>22</v>
      </c>
      <c r="CL1182" t="s">
        <v>89</v>
      </c>
    </row>
    <row r="1183" spans="1:90">
      <c r="A1183" t="s">
        <v>72</v>
      </c>
      <c r="B1183" t="s">
        <v>73</v>
      </c>
      <c r="C1183" t="s">
        <v>74</v>
      </c>
      <c r="E1183" t="str">
        <f>"FES1162722276"</f>
        <v>FES1162722276</v>
      </c>
      <c r="F1183" s="3">
        <v>43780</v>
      </c>
      <c r="G1183">
        <v>202005</v>
      </c>
      <c r="H1183" t="s">
        <v>75</v>
      </c>
      <c r="I1183" t="s">
        <v>76</v>
      </c>
      <c r="J1183" t="s">
        <v>77</v>
      </c>
      <c r="K1183" t="s">
        <v>78</v>
      </c>
      <c r="L1183" t="s">
        <v>202</v>
      </c>
      <c r="M1183" t="s">
        <v>203</v>
      </c>
      <c r="N1183" t="s">
        <v>1706</v>
      </c>
      <c r="O1183" t="s">
        <v>82</v>
      </c>
      <c r="P1183" t="str">
        <f>"2170716479                    "</f>
        <v xml:space="preserve">2170716479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9.92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3.6</v>
      </c>
      <c r="BJ1183">
        <v>3.1</v>
      </c>
      <c r="BK1183">
        <v>4</v>
      </c>
      <c r="BL1183" s="4">
        <v>58.31</v>
      </c>
      <c r="BM1183" s="4">
        <v>8.75</v>
      </c>
      <c r="BN1183" s="4">
        <v>67.06</v>
      </c>
      <c r="BO1183" s="4">
        <v>67.06</v>
      </c>
      <c r="BQ1183" t="s">
        <v>1707</v>
      </c>
      <c r="BR1183" t="s">
        <v>84</v>
      </c>
      <c r="BS1183" s="3">
        <v>43781</v>
      </c>
      <c r="BT1183" s="5">
        <v>0.39999999999999997</v>
      </c>
      <c r="BU1183" t="s">
        <v>1708</v>
      </c>
      <c r="BV1183" t="s">
        <v>86</v>
      </c>
      <c r="BY1183">
        <v>15252.59</v>
      </c>
      <c r="CC1183" t="s">
        <v>203</v>
      </c>
      <c r="CD1183">
        <v>1422</v>
      </c>
      <c r="CE1183" t="s">
        <v>88</v>
      </c>
      <c r="CF1183" s="3">
        <v>43782</v>
      </c>
      <c r="CI1183">
        <v>1</v>
      </c>
      <c r="CJ1183">
        <v>1</v>
      </c>
      <c r="CK1183">
        <v>22</v>
      </c>
      <c r="CL1183" t="s">
        <v>89</v>
      </c>
    </row>
    <row r="1184" spans="1:90">
      <c r="A1184" t="s">
        <v>72</v>
      </c>
      <c r="B1184" t="s">
        <v>73</v>
      </c>
      <c r="C1184" t="s">
        <v>74</v>
      </c>
      <c r="E1184" t="str">
        <f>"FES1162722285"</f>
        <v>FES1162722285</v>
      </c>
      <c r="F1184" s="3">
        <v>43780</v>
      </c>
      <c r="G1184">
        <v>202005</v>
      </c>
      <c r="H1184" t="s">
        <v>75</v>
      </c>
      <c r="I1184" t="s">
        <v>76</v>
      </c>
      <c r="J1184" t="s">
        <v>77</v>
      </c>
      <c r="K1184" t="s">
        <v>78</v>
      </c>
      <c r="L1184" t="s">
        <v>344</v>
      </c>
      <c r="M1184" t="s">
        <v>345</v>
      </c>
      <c r="N1184" t="s">
        <v>550</v>
      </c>
      <c r="O1184" t="s">
        <v>82</v>
      </c>
      <c r="P1184" t="str">
        <f>"21707164894                   "</f>
        <v xml:space="preserve">21707164894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21.97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11.4</v>
      </c>
      <c r="BJ1184">
        <v>8</v>
      </c>
      <c r="BK1184">
        <v>11.5</v>
      </c>
      <c r="BL1184" s="4">
        <v>129.16</v>
      </c>
      <c r="BM1184" s="4">
        <v>19.37</v>
      </c>
      <c r="BN1184" s="4">
        <v>148.53</v>
      </c>
      <c r="BO1184" s="4">
        <v>148.53</v>
      </c>
      <c r="BQ1184" t="s">
        <v>109</v>
      </c>
      <c r="BR1184" t="s">
        <v>84</v>
      </c>
      <c r="BS1184" s="3">
        <v>43781</v>
      </c>
      <c r="BT1184" s="5">
        <v>0.36458333333333331</v>
      </c>
      <c r="BU1184" t="s">
        <v>1163</v>
      </c>
      <c r="BV1184" t="s">
        <v>86</v>
      </c>
      <c r="BY1184">
        <v>40028.79</v>
      </c>
      <c r="CA1184" t="s">
        <v>348</v>
      </c>
      <c r="CC1184" t="s">
        <v>345</v>
      </c>
      <c r="CD1184">
        <v>2163</v>
      </c>
      <c r="CE1184" t="s">
        <v>88</v>
      </c>
      <c r="CF1184" s="3">
        <v>43782</v>
      </c>
      <c r="CI1184">
        <v>1</v>
      </c>
      <c r="CJ1184">
        <v>1</v>
      </c>
      <c r="CK1184">
        <v>22</v>
      </c>
      <c r="CL1184" t="s">
        <v>89</v>
      </c>
    </row>
    <row r="1185" spans="1:90">
      <c r="A1185" t="s">
        <v>72</v>
      </c>
      <c r="B1185" t="s">
        <v>73</v>
      </c>
      <c r="C1185" t="s">
        <v>74</v>
      </c>
      <c r="E1185" t="str">
        <f>"FES1162722364"</f>
        <v>FES1162722364</v>
      </c>
      <c r="F1185" s="3">
        <v>43780</v>
      </c>
      <c r="G1185">
        <v>202005</v>
      </c>
      <c r="H1185" t="s">
        <v>75</v>
      </c>
      <c r="I1185" t="s">
        <v>76</v>
      </c>
      <c r="J1185" t="s">
        <v>77</v>
      </c>
      <c r="K1185" t="s">
        <v>78</v>
      </c>
      <c r="L1185" t="s">
        <v>90</v>
      </c>
      <c r="M1185" t="s">
        <v>91</v>
      </c>
      <c r="N1185" t="s">
        <v>1617</v>
      </c>
      <c r="O1185" t="s">
        <v>82</v>
      </c>
      <c r="P1185" t="str">
        <f>"21707165470                   "</f>
        <v xml:space="preserve">21707165470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8.58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1.7</v>
      </c>
      <c r="BJ1185">
        <v>0.9</v>
      </c>
      <c r="BK1185">
        <v>2</v>
      </c>
      <c r="BL1185" s="4">
        <v>50.45</v>
      </c>
      <c r="BM1185" s="4">
        <v>7.57</v>
      </c>
      <c r="BN1185" s="4">
        <v>58.02</v>
      </c>
      <c r="BO1185" s="4">
        <v>58.02</v>
      </c>
      <c r="BQ1185" t="s">
        <v>187</v>
      </c>
      <c r="BR1185" t="s">
        <v>84</v>
      </c>
      <c r="BS1185" s="3">
        <v>43781</v>
      </c>
      <c r="BT1185" s="5">
        <v>0.42569444444444443</v>
      </c>
      <c r="BU1185" t="s">
        <v>1618</v>
      </c>
      <c r="BV1185" t="s">
        <v>86</v>
      </c>
      <c r="BY1185">
        <v>4379.74</v>
      </c>
      <c r="CA1185" t="s">
        <v>1309</v>
      </c>
      <c r="CC1185" t="s">
        <v>91</v>
      </c>
      <c r="CD1185">
        <v>7580</v>
      </c>
      <c r="CE1185" t="s">
        <v>88</v>
      </c>
      <c r="CF1185" s="3">
        <v>43782</v>
      </c>
      <c r="CI1185">
        <v>1</v>
      </c>
      <c r="CJ1185">
        <v>1</v>
      </c>
      <c r="CK1185">
        <v>21</v>
      </c>
      <c r="CL1185" t="s">
        <v>89</v>
      </c>
    </row>
    <row r="1186" spans="1:90">
      <c r="A1186" t="s">
        <v>72</v>
      </c>
      <c r="B1186" t="s">
        <v>73</v>
      </c>
      <c r="C1186" t="s">
        <v>74</v>
      </c>
      <c r="E1186" t="str">
        <f>"FES1162722366"</f>
        <v>FES1162722366</v>
      </c>
      <c r="F1186" s="3">
        <v>43780</v>
      </c>
      <c r="G1186">
        <v>202005</v>
      </c>
      <c r="H1186" t="s">
        <v>75</v>
      </c>
      <c r="I1186" t="s">
        <v>76</v>
      </c>
      <c r="J1186" t="s">
        <v>77</v>
      </c>
      <c r="K1186" t="s">
        <v>78</v>
      </c>
      <c r="L1186" t="s">
        <v>112</v>
      </c>
      <c r="M1186" t="s">
        <v>113</v>
      </c>
      <c r="N1186" t="s">
        <v>620</v>
      </c>
      <c r="O1186" t="s">
        <v>82</v>
      </c>
      <c r="P1186" t="str">
        <f>"2170716573                    "</f>
        <v xml:space="preserve">2170716573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8.58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 s="4">
        <v>50.45</v>
      </c>
      <c r="BM1186" s="4">
        <v>7.57</v>
      </c>
      <c r="BN1186" s="4">
        <v>58.02</v>
      </c>
      <c r="BO1186" s="4">
        <v>58.02</v>
      </c>
      <c r="BQ1186" t="s">
        <v>109</v>
      </c>
      <c r="BR1186" t="s">
        <v>84</v>
      </c>
      <c r="BS1186" s="3">
        <v>43781</v>
      </c>
      <c r="BT1186" s="5">
        <v>0.4375</v>
      </c>
      <c r="BU1186" t="s">
        <v>1675</v>
      </c>
      <c r="BV1186" t="s">
        <v>86</v>
      </c>
      <c r="BY1186">
        <v>1200</v>
      </c>
      <c r="CC1186" t="s">
        <v>113</v>
      </c>
      <c r="CD1186">
        <v>4302</v>
      </c>
      <c r="CE1186" t="s">
        <v>147</v>
      </c>
      <c r="CF1186" s="3">
        <v>43782</v>
      </c>
      <c r="CI1186">
        <v>1</v>
      </c>
      <c r="CJ1186">
        <v>1</v>
      </c>
      <c r="CK1186">
        <v>21</v>
      </c>
      <c r="CL1186" t="s">
        <v>89</v>
      </c>
    </row>
    <row r="1187" spans="1:90">
      <c r="A1187" t="s">
        <v>72</v>
      </c>
      <c r="B1187" t="s">
        <v>73</v>
      </c>
      <c r="C1187" t="s">
        <v>74</v>
      </c>
      <c r="E1187" t="str">
        <f>"FES1162722333"</f>
        <v>FES1162722333</v>
      </c>
      <c r="F1187" s="3">
        <v>43780</v>
      </c>
      <c r="G1187">
        <v>202005</v>
      </c>
      <c r="H1187" t="s">
        <v>75</v>
      </c>
      <c r="I1187" t="s">
        <v>76</v>
      </c>
      <c r="J1187" t="s">
        <v>77</v>
      </c>
      <c r="K1187" t="s">
        <v>78</v>
      </c>
      <c r="L1187" t="s">
        <v>118</v>
      </c>
      <c r="M1187" t="s">
        <v>119</v>
      </c>
      <c r="N1187" t="s">
        <v>630</v>
      </c>
      <c r="O1187" t="s">
        <v>82</v>
      </c>
      <c r="P1187" t="str">
        <f>"2170716547                    "</f>
        <v xml:space="preserve">2170716547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8.58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 s="4">
        <v>50.45</v>
      </c>
      <c r="BM1187" s="4">
        <v>7.57</v>
      </c>
      <c r="BN1187" s="4">
        <v>58.02</v>
      </c>
      <c r="BO1187" s="4">
        <v>58.02</v>
      </c>
      <c r="BQ1187" t="s">
        <v>121</v>
      </c>
      <c r="BR1187" t="s">
        <v>84</v>
      </c>
      <c r="BS1187" s="3">
        <v>43781</v>
      </c>
      <c r="BT1187" s="5">
        <v>0.34375</v>
      </c>
      <c r="BU1187" t="s">
        <v>631</v>
      </c>
      <c r="BV1187" t="s">
        <v>86</v>
      </c>
      <c r="BY1187">
        <v>1200</v>
      </c>
      <c r="CA1187" t="s">
        <v>632</v>
      </c>
      <c r="CC1187" t="s">
        <v>119</v>
      </c>
      <c r="CD1187">
        <v>3201</v>
      </c>
      <c r="CE1187" t="s">
        <v>147</v>
      </c>
      <c r="CF1187" s="3">
        <v>43782</v>
      </c>
      <c r="CI1187">
        <v>1</v>
      </c>
      <c r="CJ1187">
        <v>1</v>
      </c>
      <c r="CK1187">
        <v>21</v>
      </c>
      <c r="CL1187" t="s">
        <v>89</v>
      </c>
    </row>
    <row r="1188" spans="1:90">
      <c r="A1188" t="s">
        <v>72</v>
      </c>
      <c r="B1188" t="s">
        <v>73</v>
      </c>
      <c r="C1188" t="s">
        <v>74</v>
      </c>
      <c r="E1188" t="str">
        <f>"FES1162722317"</f>
        <v>FES1162722317</v>
      </c>
      <c r="F1188" s="3">
        <v>43780</v>
      </c>
      <c r="G1188">
        <v>202005</v>
      </c>
      <c r="H1188" t="s">
        <v>75</v>
      </c>
      <c r="I1188" t="s">
        <v>76</v>
      </c>
      <c r="J1188" t="s">
        <v>77</v>
      </c>
      <c r="K1188" t="s">
        <v>78</v>
      </c>
      <c r="L1188" t="s">
        <v>225</v>
      </c>
      <c r="M1188" t="s">
        <v>226</v>
      </c>
      <c r="N1188" t="s">
        <v>1719</v>
      </c>
      <c r="O1188" t="s">
        <v>82</v>
      </c>
      <c r="P1188" t="str">
        <f>"2170716527                    "</f>
        <v xml:space="preserve">2170716527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8.58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 s="4">
        <v>50.45</v>
      </c>
      <c r="BM1188" s="4">
        <v>7.57</v>
      </c>
      <c r="BN1188" s="4">
        <v>58.02</v>
      </c>
      <c r="BO1188" s="4">
        <v>58.02</v>
      </c>
      <c r="BQ1188" t="s">
        <v>1720</v>
      </c>
      <c r="BR1188" t="s">
        <v>84</v>
      </c>
      <c r="BS1188" s="3">
        <v>43781</v>
      </c>
      <c r="BT1188" s="5">
        <v>0.33680555555555558</v>
      </c>
      <c r="BU1188" t="s">
        <v>1721</v>
      </c>
      <c r="BV1188" t="s">
        <v>86</v>
      </c>
      <c r="BY1188">
        <v>1200</v>
      </c>
      <c r="CA1188" t="s">
        <v>229</v>
      </c>
      <c r="CC1188" t="s">
        <v>226</v>
      </c>
      <c r="CD1188">
        <v>4026</v>
      </c>
      <c r="CE1188" t="s">
        <v>147</v>
      </c>
      <c r="CF1188" s="3">
        <v>43782</v>
      </c>
      <c r="CI1188">
        <v>1</v>
      </c>
      <c r="CJ1188">
        <v>1</v>
      </c>
      <c r="CK1188">
        <v>21</v>
      </c>
      <c r="CL1188" t="s">
        <v>89</v>
      </c>
    </row>
    <row r="1189" spans="1:90">
      <c r="A1189" t="s">
        <v>72</v>
      </c>
      <c r="B1189" t="s">
        <v>73</v>
      </c>
      <c r="C1189" t="s">
        <v>74</v>
      </c>
      <c r="E1189" t="str">
        <f>"FES1162722345"</f>
        <v>FES1162722345</v>
      </c>
      <c r="F1189" s="3">
        <v>43780</v>
      </c>
      <c r="G1189">
        <v>202005</v>
      </c>
      <c r="H1189" t="s">
        <v>75</v>
      </c>
      <c r="I1189" t="s">
        <v>76</v>
      </c>
      <c r="J1189" t="s">
        <v>77</v>
      </c>
      <c r="K1189" t="s">
        <v>78</v>
      </c>
      <c r="L1189" t="s">
        <v>225</v>
      </c>
      <c r="M1189" t="s">
        <v>226</v>
      </c>
      <c r="N1189" t="s">
        <v>1722</v>
      </c>
      <c r="O1189" t="s">
        <v>82</v>
      </c>
      <c r="P1189" t="str">
        <f>"2170716535                    "</f>
        <v xml:space="preserve">2170716535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8.58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 s="4">
        <v>50.45</v>
      </c>
      <c r="BM1189" s="4">
        <v>7.57</v>
      </c>
      <c r="BN1189" s="4">
        <v>58.02</v>
      </c>
      <c r="BO1189" s="4">
        <v>58.02</v>
      </c>
      <c r="BQ1189" t="s">
        <v>187</v>
      </c>
      <c r="BR1189" t="s">
        <v>84</v>
      </c>
      <c r="BS1189" s="3">
        <v>43781</v>
      </c>
      <c r="BT1189" s="5">
        <v>0.3888888888888889</v>
      </c>
      <c r="BU1189" t="s">
        <v>1723</v>
      </c>
      <c r="BV1189" t="s">
        <v>86</v>
      </c>
      <c r="BY1189">
        <v>1200</v>
      </c>
      <c r="CA1189" t="s">
        <v>229</v>
      </c>
      <c r="CC1189" t="s">
        <v>226</v>
      </c>
      <c r="CD1189">
        <v>4026</v>
      </c>
      <c r="CE1189" t="s">
        <v>147</v>
      </c>
      <c r="CF1189" s="3">
        <v>43782</v>
      </c>
      <c r="CI1189">
        <v>1</v>
      </c>
      <c r="CJ1189">
        <v>1</v>
      </c>
      <c r="CK1189">
        <v>21</v>
      </c>
      <c r="CL1189" t="s">
        <v>89</v>
      </c>
    </row>
    <row r="1190" spans="1:90">
      <c r="A1190" t="s">
        <v>72</v>
      </c>
      <c r="B1190" t="s">
        <v>73</v>
      </c>
      <c r="C1190" t="s">
        <v>74</v>
      </c>
      <c r="E1190" t="str">
        <f>"FES1162722347"</f>
        <v>FES1162722347</v>
      </c>
      <c r="F1190" s="3">
        <v>43780</v>
      </c>
      <c r="G1190">
        <v>202005</v>
      </c>
      <c r="H1190" t="s">
        <v>75</v>
      </c>
      <c r="I1190" t="s">
        <v>76</v>
      </c>
      <c r="J1190" t="s">
        <v>77</v>
      </c>
      <c r="K1190" t="s">
        <v>78</v>
      </c>
      <c r="L1190" t="s">
        <v>75</v>
      </c>
      <c r="M1190" t="s">
        <v>76</v>
      </c>
      <c r="N1190" t="s">
        <v>199</v>
      </c>
      <c r="O1190" t="s">
        <v>82</v>
      </c>
      <c r="P1190" t="str">
        <f>"2170716559                    "</f>
        <v xml:space="preserve">2170716559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6.71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 s="4">
        <v>39.42</v>
      </c>
      <c r="BM1190" s="4">
        <v>5.91</v>
      </c>
      <c r="BN1190" s="4">
        <v>45.33</v>
      </c>
      <c r="BO1190" s="4">
        <v>45.33</v>
      </c>
      <c r="BQ1190" t="s">
        <v>200</v>
      </c>
      <c r="BR1190" t="s">
        <v>84</v>
      </c>
      <c r="BS1190" s="3">
        <v>43781</v>
      </c>
      <c r="BT1190" s="5">
        <v>0.32777777777777778</v>
      </c>
      <c r="BU1190" t="s">
        <v>1724</v>
      </c>
      <c r="BV1190" t="s">
        <v>86</v>
      </c>
      <c r="BY1190">
        <v>1200</v>
      </c>
      <c r="CA1190" t="s">
        <v>368</v>
      </c>
      <c r="CC1190" t="s">
        <v>76</v>
      </c>
      <c r="CD1190">
        <v>1600</v>
      </c>
      <c r="CE1190" t="s">
        <v>147</v>
      </c>
      <c r="CF1190" s="3">
        <v>43782</v>
      </c>
      <c r="CI1190">
        <v>1</v>
      </c>
      <c r="CJ1190">
        <v>1</v>
      </c>
      <c r="CK1190">
        <v>22</v>
      </c>
      <c r="CL1190" t="s">
        <v>89</v>
      </c>
    </row>
    <row r="1191" spans="1:90">
      <c r="A1191" t="s">
        <v>72</v>
      </c>
      <c r="B1191" t="s">
        <v>73</v>
      </c>
      <c r="C1191" t="s">
        <v>74</v>
      </c>
      <c r="E1191" t="str">
        <f>"FES1162722359"</f>
        <v>FES1162722359</v>
      </c>
      <c r="F1191" s="3">
        <v>43780</v>
      </c>
      <c r="G1191">
        <v>202005</v>
      </c>
      <c r="H1191" t="s">
        <v>75</v>
      </c>
      <c r="I1191" t="s">
        <v>76</v>
      </c>
      <c r="J1191" t="s">
        <v>77</v>
      </c>
      <c r="K1191" t="s">
        <v>78</v>
      </c>
      <c r="L1191" t="s">
        <v>214</v>
      </c>
      <c r="M1191" t="s">
        <v>214</v>
      </c>
      <c r="N1191" t="s">
        <v>403</v>
      </c>
      <c r="O1191" t="s">
        <v>82</v>
      </c>
      <c r="P1191" t="str">
        <f>"2170716516                    "</f>
        <v xml:space="preserve">2170716516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16.63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 s="4">
        <v>97.75</v>
      </c>
      <c r="BM1191" s="4">
        <v>14.66</v>
      </c>
      <c r="BN1191" s="4">
        <v>112.41</v>
      </c>
      <c r="BO1191" s="4">
        <v>112.41</v>
      </c>
      <c r="BQ1191" t="s">
        <v>121</v>
      </c>
      <c r="BR1191" t="s">
        <v>84</v>
      </c>
      <c r="BS1191" s="3">
        <v>43781</v>
      </c>
      <c r="BT1191" s="5">
        <v>0.48055555555555557</v>
      </c>
      <c r="BU1191" t="s">
        <v>1725</v>
      </c>
      <c r="BV1191" t="s">
        <v>86</v>
      </c>
      <c r="BY1191">
        <v>1200</v>
      </c>
      <c r="CA1191" t="s">
        <v>1643</v>
      </c>
      <c r="CC1191" t="s">
        <v>214</v>
      </c>
      <c r="CD1191">
        <v>7646</v>
      </c>
      <c r="CE1191" t="s">
        <v>147</v>
      </c>
      <c r="CF1191" s="3">
        <v>43782</v>
      </c>
      <c r="CI1191">
        <v>1</v>
      </c>
      <c r="CJ1191">
        <v>1</v>
      </c>
      <c r="CK1191">
        <v>23</v>
      </c>
      <c r="CL1191" t="s">
        <v>89</v>
      </c>
    </row>
    <row r="1192" spans="1:90">
      <c r="A1192" t="s">
        <v>72</v>
      </c>
      <c r="B1192" t="s">
        <v>73</v>
      </c>
      <c r="C1192" t="s">
        <v>74</v>
      </c>
      <c r="E1192" t="str">
        <f>"FES1162722393"</f>
        <v>FES1162722393</v>
      </c>
      <c r="F1192" s="3">
        <v>43780</v>
      </c>
      <c r="G1192">
        <v>202005</v>
      </c>
      <c r="H1192" t="s">
        <v>75</v>
      </c>
      <c r="I1192" t="s">
        <v>76</v>
      </c>
      <c r="J1192" t="s">
        <v>77</v>
      </c>
      <c r="K1192" t="s">
        <v>78</v>
      </c>
      <c r="L1192" t="s">
        <v>133</v>
      </c>
      <c r="M1192" t="s">
        <v>134</v>
      </c>
      <c r="N1192" t="s">
        <v>1726</v>
      </c>
      <c r="O1192" t="s">
        <v>82</v>
      </c>
      <c r="P1192" t="str">
        <f>"2170715156                    "</f>
        <v xml:space="preserve">2170715156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38.6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4.0999999999999996</v>
      </c>
      <c r="BJ1192">
        <v>8.6</v>
      </c>
      <c r="BK1192">
        <v>9</v>
      </c>
      <c r="BL1192" s="4">
        <v>226.91</v>
      </c>
      <c r="BM1192" s="4">
        <v>34.04</v>
      </c>
      <c r="BN1192" s="4">
        <v>260.95</v>
      </c>
      <c r="BO1192" s="4">
        <v>260.95</v>
      </c>
      <c r="BQ1192" t="s">
        <v>1727</v>
      </c>
      <c r="BR1192" t="s">
        <v>84</v>
      </c>
      <c r="BS1192" s="3">
        <v>43781</v>
      </c>
      <c r="BT1192" s="5">
        <v>0.43402777777777773</v>
      </c>
      <c r="BU1192" t="s">
        <v>1728</v>
      </c>
      <c r="BV1192" t="s">
        <v>86</v>
      </c>
      <c r="BY1192">
        <v>43169.279999999999</v>
      </c>
      <c r="CA1192" t="s">
        <v>732</v>
      </c>
      <c r="CC1192" t="s">
        <v>134</v>
      </c>
      <c r="CD1192">
        <v>5201</v>
      </c>
      <c r="CE1192" t="s">
        <v>1598</v>
      </c>
      <c r="CF1192" s="3">
        <v>43787</v>
      </c>
      <c r="CI1192">
        <v>1</v>
      </c>
      <c r="CJ1192">
        <v>1</v>
      </c>
      <c r="CK1192">
        <v>21</v>
      </c>
      <c r="CL1192" t="s">
        <v>89</v>
      </c>
    </row>
    <row r="1193" spans="1:90">
      <c r="A1193" t="s">
        <v>72</v>
      </c>
      <c r="B1193" t="s">
        <v>73</v>
      </c>
      <c r="C1193" t="s">
        <v>74</v>
      </c>
      <c r="E1193" t="str">
        <f>"FES1162722386"</f>
        <v>FES1162722386</v>
      </c>
      <c r="F1193" s="3">
        <v>43780</v>
      </c>
      <c r="G1193">
        <v>202005</v>
      </c>
      <c r="H1193" t="s">
        <v>75</v>
      </c>
      <c r="I1193" t="s">
        <v>76</v>
      </c>
      <c r="J1193" t="s">
        <v>77</v>
      </c>
      <c r="K1193" t="s">
        <v>78</v>
      </c>
      <c r="L1193" t="s">
        <v>118</v>
      </c>
      <c r="M1193" t="s">
        <v>119</v>
      </c>
      <c r="N1193" t="s">
        <v>248</v>
      </c>
      <c r="O1193" t="s">
        <v>82</v>
      </c>
      <c r="P1193" t="str">
        <f>"2170713895                    "</f>
        <v xml:space="preserve">2170713895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32.17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7.1</v>
      </c>
      <c r="BJ1193">
        <v>2</v>
      </c>
      <c r="BK1193">
        <v>7.5</v>
      </c>
      <c r="BL1193" s="4">
        <v>189.1</v>
      </c>
      <c r="BM1193" s="4">
        <v>28.37</v>
      </c>
      <c r="BN1193" s="4">
        <v>217.47</v>
      </c>
      <c r="BO1193" s="4">
        <v>217.47</v>
      </c>
      <c r="BQ1193" t="s">
        <v>121</v>
      </c>
      <c r="BR1193" t="s">
        <v>84</v>
      </c>
      <c r="BS1193" s="3">
        <v>43781</v>
      </c>
      <c r="BT1193" s="5">
        <v>0.38055555555555554</v>
      </c>
      <c r="BU1193" t="s">
        <v>623</v>
      </c>
      <c r="BV1193" t="s">
        <v>86</v>
      </c>
      <c r="BY1193">
        <v>10105.31</v>
      </c>
      <c r="CA1193" t="s">
        <v>435</v>
      </c>
      <c r="CC1193" t="s">
        <v>119</v>
      </c>
      <c r="CD1193">
        <v>3212</v>
      </c>
      <c r="CE1193" t="s">
        <v>88</v>
      </c>
      <c r="CF1193" s="3">
        <v>43782</v>
      </c>
      <c r="CI1193">
        <v>1</v>
      </c>
      <c r="CJ1193">
        <v>1</v>
      </c>
      <c r="CK1193">
        <v>21</v>
      </c>
      <c r="CL1193" t="s">
        <v>89</v>
      </c>
    </row>
    <row r="1194" spans="1:90">
      <c r="A1194" t="s">
        <v>72</v>
      </c>
      <c r="B1194" t="s">
        <v>73</v>
      </c>
      <c r="C1194" t="s">
        <v>74</v>
      </c>
      <c r="E1194" t="str">
        <f>"FES1162722405"</f>
        <v>FES1162722405</v>
      </c>
      <c r="F1194" s="3">
        <v>43780</v>
      </c>
      <c r="G1194">
        <v>202005</v>
      </c>
      <c r="H1194" t="s">
        <v>75</v>
      </c>
      <c r="I1194" t="s">
        <v>76</v>
      </c>
      <c r="J1194" t="s">
        <v>77</v>
      </c>
      <c r="K1194" t="s">
        <v>78</v>
      </c>
      <c r="L1194" t="s">
        <v>124</v>
      </c>
      <c r="M1194" t="s">
        <v>125</v>
      </c>
      <c r="N1194" t="s">
        <v>1729</v>
      </c>
      <c r="O1194" t="s">
        <v>82</v>
      </c>
      <c r="P1194" t="str">
        <f>"2170716608                    "</f>
        <v xml:space="preserve">2170716608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6.71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 s="4">
        <v>39.42</v>
      </c>
      <c r="BM1194" s="4">
        <v>5.91</v>
      </c>
      <c r="BN1194" s="4">
        <v>45.33</v>
      </c>
      <c r="BO1194" s="4">
        <v>45.33</v>
      </c>
      <c r="BQ1194" t="s">
        <v>187</v>
      </c>
      <c r="BR1194" t="s">
        <v>84</v>
      </c>
      <c r="BS1194" s="3">
        <v>43781</v>
      </c>
      <c r="BT1194" s="5">
        <v>0.33888888888888885</v>
      </c>
      <c r="BU1194" t="s">
        <v>1730</v>
      </c>
      <c r="BV1194" t="s">
        <v>86</v>
      </c>
      <c r="BY1194">
        <v>1200</v>
      </c>
      <c r="CA1194" t="s">
        <v>123</v>
      </c>
      <c r="CC1194" t="s">
        <v>125</v>
      </c>
      <c r="CD1194">
        <v>2094</v>
      </c>
      <c r="CE1194" t="s">
        <v>147</v>
      </c>
      <c r="CF1194" s="3">
        <v>43782</v>
      </c>
      <c r="CI1194">
        <v>1</v>
      </c>
      <c r="CJ1194">
        <v>1</v>
      </c>
      <c r="CK1194">
        <v>22</v>
      </c>
      <c r="CL1194" t="s">
        <v>89</v>
      </c>
    </row>
    <row r="1195" spans="1:90">
      <c r="A1195" t="s">
        <v>72</v>
      </c>
      <c r="B1195" t="s">
        <v>73</v>
      </c>
      <c r="C1195" t="s">
        <v>74</v>
      </c>
      <c r="E1195" t="str">
        <f>"FES1162722436"</f>
        <v>FES1162722436</v>
      </c>
      <c r="F1195" s="3">
        <v>43780</v>
      </c>
      <c r="G1195">
        <v>202005</v>
      </c>
      <c r="H1195" t="s">
        <v>75</v>
      </c>
      <c r="I1195" t="s">
        <v>76</v>
      </c>
      <c r="J1195" t="s">
        <v>77</v>
      </c>
      <c r="K1195" t="s">
        <v>78</v>
      </c>
      <c r="L1195" t="s">
        <v>251</v>
      </c>
      <c r="M1195" t="s">
        <v>252</v>
      </c>
      <c r="N1195" t="s">
        <v>1731</v>
      </c>
      <c r="O1195" t="s">
        <v>82</v>
      </c>
      <c r="P1195" t="str">
        <f>"2170716626                    "</f>
        <v xml:space="preserve">2170716626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8.58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 s="4">
        <v>50.45</v>
      </c>
      <c r="BM1195" s="4">
        <v>7.57</v>
      </c>
      <c r="BN1195" s="4">
        <v>58.02</v>
      </c>
      <c r="BO1195" s="4">
        <v>58.02</v>
      </c>
      <c r="BQ1195" t="s">
        <v>1732</v>
      </c>
      <c r="BR1195" t="s">
        <v>84</v>
      </c>
      <c r="BS1195" s="3">
        <v>43781</v>
      </c>
      <c r="BT1195" s="5">
        <v>0.39652777777777781</v>
      </c>
      <c r="BU1195" t="s">
        <v>318</v>
      </c>
      <c r="BV1195" t="s">
        <v>86</v>
      </c>
      <c r="BY1195">
        <v>1200</v>
      </c>
      <c r="CA1195" t="s">
        <v>255</v>
      </c>
      <c r="CC1195" t="s">
        <v>252</v>
      </c>
      <c r="CD1195">
        <v>4133</v>
      </c>
      <c r="CE1195" t="s">
        <v>147</v>
      </c>
      <c r="CF1195" s="3">
        <v>43782</v>
      </c>
      <c r="CI1195">
        <v>1</v>
      </c>
      <c r="CJ1195">
        <v>1</v>
      </c>
      <c r="CK1195">
        <v>21</v>
      </c>
      <c r="CL1195" t="s">
        <v>89</v>
      </c>
    </row>
    <row r="1196" spans="1:90">
      <c r="A1196" t="s">
        <v>72</v>
      </c>
      <c r="B1196" t="s">
        <v>73</v>
      </c>
      <c r="C1196" t="s">
        <v>74</v>
      </c>
      <c r="E1196" t="str">
        <f>"FES1162722185"</f>
        <v>FES1162722185</v>
      </c>
      <c r="F1196" s="3">
        <v>43780</v>
      </c>
      <c r="G1196">
        <v>202005</v>
      </c>
      <c r="H1196" t="s">
        <v>75</v>
      </c>
      <c r="I1196" t="s">
        <v>76</v>
      </c>
      <c r="J1196" t="s">
        <v>77</v>
      </c>
      <c r="K1196" t="s">
        <v>78</v>
      </c>
      <c r="L1196" t="s">
        <v>75</v>
      </c>
      <c r="M1196" t="s">
        <v>76</v>
      </c>
      <c r="N1196" t="s">
        <v>1416</v>
      </c>
      <c r="O1196" t="s">
        <v>82</v>
      </c>
      <c r="P1196" t="str">
        <f>"217716406                     "</f>
        <v xml:space="preserve">217716406 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17.149999999999999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4</v>
      </c>
      <c r="BJ1196">
        <v>8.4</v>
      </c>
      <c r="BK1196">
        <v>8.5</v>
      </c>
      <c r="BL1196" s="4">
        <v>100.82</v>
      </c>
      <c r="BM1196" s="4">
        <v>15.12</v>
      </c>
      <c r="BN1196" s="4">
        <v>115.94</v>
      </c>
      <c r="BO1196" s="4">
        <v>115.94</v>
      </c>
      <c r="BQ1196" t="s">
        <v>1417</v>
      </c>
      <c r="BR1196" t="s">
        <v>84</v>
      </c>
      <c r="BS1196" s="3">
        <v>43781</v>
      </c>
      <c r="BT1196" s="5">
        <v>0.375</v>
      </c>
      <c r="BU1196" t="s">
        <v>1418</v>
      </c>
      <c r="BV1196" t="s">
        <v>86</v>
      </c>
      <c r="BY1196">
        <v>42230.3</v>
      </c>
      <c r="CA1196" t="s">
        <v>198</v>
      </c>
      <c r="CC1196" t="s">
        <v>76</v>
      </c>
      <c r="CD1196">
        <v>1601</v>
      </c>
      <c r="CE1196" t="s">
        <v>88</v>
      </c>
      <c r="CF1196" s="3">
        <v>43782</v>
      </c>
      <c r="CI1196">
        <v>1</v>
      </c>
      <c r="CJ1196">
        <v>1</v>
      </c>
      <c r="CK1196">
        <v>22</v>
      </c>
      <c r="CL1196" t="s">
        <v>89</v>
      </c>
    </row>
    <row r="1197" spans="1:90">
      <c r="A1197" t="s">
        <v>72</v>
      </c>
      <c r="B1197" t="s">
        <v>73</v>
      </c>
      <c r="C1197" t="s">
        <v>74</v>
      </c>
      <c r="E1197" t="str">
        <f>"FES1162722399"</f>
        <v>FES1162722399</v>
      </c>
      <c r="F1197" s="3">
        <v>43780</v>
      </c>
      <c r="G1197">
        <v>202005</v>
      </c>
      <c r="H1197" t="s">
        <v>75</v>
      </c>
      <c r="I1197" t="s">
        <v>76</v>
      </c>
      <c r="J1197" t="s">
        <v>77</v>
      </c>
      <c r="K1197" t="s">
        <v>78</v>
      </c>
      <c r="L1197" t="s">
        <v>95</v>
      </c>
      <c r="M1197" t="s">
        <v>96</v>
      </c>
      <c r="N1197" t="s">
        <v>330</v>
      </c>
      <c r="O1197" t="s">
        <v>82</v>
      </c>
      <c r="P1197" t="str">
        <f>"2170716604                    "</f>
        <v xml:space="preserve">2170716604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6.71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 s="4">
        <v>39.42</v>
      </c>
      <c r="BM1197" s="4">
        <v>5.91</v>
      </c>
      <c r="BN1197" s="4">
        <v>45.33</v>
      </c>
      <c r="BO1197" s="4">
        <v>45.33</v>
      </c>
      <c r="BQ1197" t="s">
        <v>109</v>
      </c>
      <c r="BR1197" t="s">
        <v>84</v>
      </c>
      <c r="BS1197" s="3">
        <v>43781</v>
      </c>
      <c r="BT1197" s="5">
        <v>0.33333333333333331</v>
      </c>
      <c r="BU1197" t="s">
        <v>1211</v>
      </c>
      <c r="BV1197" t="s">
        <v>86</v>
      </c>
      <c r="BY1197">
        <v>1200</v>
      </c>
      <c r="CC1197" t="s">
        <v>96</v>
      </c>
      <c r="CD1197">
        <v>1451</v>
      </c>
      <c r="CE1197" t="s">
        <v>147</v>
      </c>
      <c r="CF1197" s="3">
        <v>43782</v>
      </c>
      <c r="CI1197">
        <v>1</v>
      </c>
      <c r="CJ1197">
        <v>1</v>
      </c>
      <c r="CK1197">
        <v>22</v>
      </c>
      <c r="CL1197" t="s">
        <v>89</v>
      </c>
    </row>
    <row r="1198" spans="1:90">
      <c r="A1198" t="s">
        <v>72</v>
      </c>
      <c r="B1198" t="s">
        <v>73</v>
      </c>
      <c r="C1198" t="s">
        <v>74</v>
      </c>
      <c r="E1198" t="str">
        <f>"FES1162722407"</f>
        <v>FES1162722407</v>
      </c>
      <c r="F1198" s="3">
        <v>43780</v>
      </c>
      <c r="G1198">
        <v>202005</v>
      </c>
      <c r="H1198" t="s">
        <v>75</v>
      </c>
      <c r="I1198" t="s">
        <v>76</v>
      </c>
      <c r="J1198" t="s">
        <v>77</v>
      </c>
      <c r="K1198" t="s">
        <v>78</v>
      </c>
      <c r="L1198" t="s">
        <v>292</v>
      </c>
      <c r="M1198" t="s">
        <v>293</v>
      </c>
      <c r="N1198" t="s">
        <v>294</v>
      </c>
      <c r="O1198" t="s">
        <v>82</v>
      </c>
      <c r="P1198" t="str">
        <f>"2170716610                    "</f>
        <v xml:space="preserve">2170716610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16.63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 s="4">
        <v>97.75</v>
      </c>
      <c r="BM1198" s="4">
        <v>14.66</v>
      </c>
      <c r="BN1198" s="4">
        <v>112.41</v>
      </c>
      <c r="BO1198" s="4">
        <v>112.41</v>
      </c>
      <c r="BQ1198" t="s">
        <v>121</v>
      </c>
      <c r="BR1198" t="s">
        <v>84</v>
      </c>
      <c r="BS1198" s="3">
        <v>43781</v>
      </c>
      <c r="BT1198" s="5">
        <v>0.41319444444444442</v>
      </c>
      <c r="BU1198" t="s">
        <v>1733</v>
      </c>
      <c r="BV1198" t="s">
        <v>86</v>
      </c>
      <c r="BY1198">
        <v>1200</v>
      </c>
      <c r="CC1198" t="s">
        <v>293</v>
      </c>
      <c r="CD1198">
        <v>1947</v>
      </c>
      <c r="CE1198" t="s">
        <v>147</v>
      </c>
      <c r="CF1198" s="3">
        <v>43782</v>
      </c>
      <c r="CI1198">
        <v>1</v>
      </c>
      <c r="CJ1198">
        <v>1</v>
      </c>
      <c r="CK1198">
        <v>23</v>
      </c>
      <c r="CL1198" t="s">
        <v>89</v>
      </c>
    </row>
    <row r="1199" spans="1:90">
      <c r="A1199" t="s">
        <v>72</v>
      </c>
      <c r="B1199" t="s">
        <v>73</v>
      </c>
      <c r="C1199" t="s">
        <v>74</v>
      </c>
      <c r="E1199" t="str">
        <f>"FES1162722402"</f>
        <v>FES1162722402</v>
      </c>
      <c r="F1199" s="3">
        <v>43780</v>
      </c>
      <c r="G1199">
        <v>202005</v>
      </c>
      <c r="H1199" t="s">
        <v>75</v>
      </c>
      <c r="I1199" t="s">
        <v>76</v>
      </c>
      <c r="J1199" t="s">
        <v>77</v>
      </c>
      <c r="K1199" t="s">
        <v>78</v>
      </c>
      <c r="L1199" t="s">
        <v>482</v>
      </c>
      <c r="M1199" t="s">
        <v>483</v>
      </c>
      <c r="N1199" t="s">
        <v>1734</v>
      </c>
      <c r="O1199" t="s">
        <v>82</v>
      </c>
      <c r="P1199" t="str">
        <f>"21707166230                   "</f>
        <v xml:space="preserve">21707166230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6.71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 s="4">
        <v>39.42</v>
      </c>
      <c r="BM1199" s="4">
        <v>5.91</v>
      </c>
      <c r="BN1199" s="4">
        <v>45.33</v>
      </c>
      <c r="BO1199" s="4">
        <v>45.33</v>
      </c>
      <c r="BQ1199" t="s">
        <v>121</v>
      </c>
      <c r="BR1199" t="s">
        <v>84</v>
      </c>
      <c r="BS1199" s="3">
        <v>43781</v>
      </c>
      <c r="BT1199" s="5">
        <v>0.3263888888888889</v>
      </c>
      <c r="BU1199" t="s">
        <v>1735</v>
      </c>
      <c r="BV1199" t="s">
        <v>86</v>
      </c>
      <c r="BY1199">
        <v>1200</v>
      </c>
      <c r="CA1199" t="s">
        <v>486</v>
      </c>
      <c r="CC1199" t="s">
        <v>483</v>
      </c>
      <c r="CD1199">
        <v>1459</v>
      </c>
      <c r="CE1199" t="s">
        <v>147</v>
      </c>
      <c r="CF1199" s="3">
        <v>43782</v>
      </c>
      <c r="CI1199">
        <v>1</v>
      </c>
      <c r="CJ1199">
        <v>1</v>
      </c>
      <c r="CK1199">
        <v>22</v>
      </c>
      <c r="CL1199" t="s">
        <v>89</v>
      </c>
    </row>
    <row r="1200" spans="1:90">
      <c r="A1200" t="s">
        <v>72</v>
      </c>
      <c r="B1200" t="s">
        <v>73</v>
      </c>
      <c r="C1200" t="s">
        <v>74</v>
      </c>
      <c r="E1200" t="str">
        <f>"FES1162722410"</f>
        <v>FES1162722410</v>
      </c>
      <c r="F1200" s="3">
        <v>43780</v>
      </c>
      <c r="G1200">
        <v>202005</v>
      </c>
      <c r="H1200" t="s">
        <v>75</v>
      </c>
      <c r="I1200" t="s">
        <v>76</v>
      </c>
      <c r="J1200" t="s">
        <v>77</v>
      </c>
      <c r="K1200" t="s">
        <v>78</v>
      </c>
      <c r="L1200" t="s">
        <v>482</v>
      </c>
      <c r="M1200" t="s">
        <v>483</v>
      </c>
      <c r="N1200" t="s">
        <v>594</v>
      </c>
      <c r="O1200" t="s">
        <v>82</v>
      </c>
      <c r="P1200" t="str">
        <f>"2170716117                    "</f>
        <v xml:space="preserve">2170716117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9.92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3.9</v>
      </c>
      <c r="BJ1200">
        <v>1.4</v>
      </c>
      <c r="BK1200">
        <v>4</v>
      </c>
      <c r="BL1200" s="4">
        <v>58.31</v>
      </c>
      <c r="BM1200" s="4">
        <v>8.75</v>
      </c>
      <c r="BN1200" s="4">
        <v>67.06</v>
      </c>
      <c r="BO1200" s="4">
        <v>67.06</v>
      </c>
      <c r="BQ1200" t="s">
        <v>109</v>
      </c>
      <c r="BR1200" t="s">
        <v>84</v>
      </c>
      <c r="BS1200" s="3">
        <v>43781</v>
      </c>
      <c r="BT1200" s="5">
        <v>0.4375</v>
      </c>
      <c r="BU1200" t="s">
        <v>595</v>
      </c>
      <c r="BV1200" t="s">
        <v>86</v>
      </c>
      <c r="BY1200">
        <v>7134.65</v>
      </c>
      <c r="CC1200" t="s">
        <v>483</v>
      </c>
      <c r="CD1200">
        <v>1459</v>
      </c>
      <c r="CE1200" t="s">
        <v>1598</v>
      </c>
      <c r="CF1200" s="3">
        <v>43782</v>
      </c>
      <c r="CI1200">
        <v>1</v>
      </c>
      <c r="CJ1200">
        <v>1</v>
      </c>
      <c r="CK1200">
        <v>22</v>
      </c>
      <c r="CL1200" t="s">
        <v>89</v>
      </c>
    </row>
    <row r="1201" spans="1:90">
      <c r="A1201" t="s">
        <v>72</v>
      </c>
      <c r="B1201" t="s">
        <v>73</v>
      </c>
      <c r="C1201" t="s">
        <v>74</v>
      </c>
      <c r="E1201" t="str">
        <f>"FES1162722438"</f>
        <v>FES1162722438</v>
      </c>
      <c r="F1201" s="3">
        <v>43780</v>
      </c>
      <c r="G1201">
        <v>202005</v>
      </c>
      <c r="H1201" t="s">
        <v>75</v>
      </c>
      <c r="I1201" t="s">
        <v>76</v>
      </c>
      <c r="J1201" t="s">
        <v>77</v>
      </c>
      <c r="K1201" t="s">
        <v>78</v>
      </c>
      <c r="L1201" t="s">
        <v>112</v>
      </c>
      <c r="M1201" t="s">
        <v>113</v>
      </c>
      <c r="N1201" t="s">
        <v>336</v>
      </c>
      <c r="O1201" t="s">
        <v>82</v>
      </c>
      <c r="P1201" t="str">
        <f>"2170716651                    "</f>
        <v xml:space="preserve">2170716651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8.58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 s="4">
        <v>50.45</v>
      </c>
      <c r="BM1201" s="4">
        <v>7.57</v>
      </c>
      <c r="BN1201" s="4">
        <v>58.02</v>
      </c>
      <c r="BO1201" s="4">
        <v>58.02</v>
      </c>
      <c r="BQ1201" t="s">
        <v>337</v>
      </c>
      <c r="BR1201" t="s">
        <v>84</v>
      </c>
      <c r="BS1201" s="3">
        <v>43781</v>
      </c>
      <c r="BT1201" s="5">
        <v>0.36874999999999997</v>
      </c>
      <c r="BU1201" t="s">
        <v>1736</v>
      </c>
      <c r="BV1201" t="s">
        <v>86</v>
      </c>
      <c r="BY1201">
        <v>1200</v>
      </c>
      <c r="CA1201" t="s">
        <v>428</v>
      </c>
      <c r="CC1201" t="s">
        <v>113</v>
      </c>
      <c r="CD1201">
        <v>4052</v>
      </c>
      <c r="CE1201" t="s">
        <v>147</v>
      </c>
      <c r="CF1201" s="3">
        <v>43782</v>
      </c>
      <c r="CI1201">
        <v>1</v>
      </c>
      <c r="CJ1201">
        <v>1</v>
      </c>
      <c r="CK1201">
        <v>21</v>
      </c>
      <c r="CL1201" t="s">
        <v>89</v>
      </c>
    </row>
    <row r="1202" spans="1:90">
      <c r="A1202" t="s">
        <v>72</v>
      </c>
      <c r="B1202" t="s">
        <v>73</v>
      </c>
      <c r="C1202" t="s">
        <v>74</v>
      </c>
      <c r="E1202" t="str">
        <f>"FES1162722395"</f>
        <v>FES1162722395</v>
      </c>
      <c r="F1202" s="3">
        <v>43780</v>
      </c>
      <c r="G1202">
        <v>202005</v>
      </c>
      <c r="H1202" t="s">
        <v>75</v>
      </c>
      <c r="I1202" t="s">
        <v>76</v>
      </c>
      <c r="J1202" t="s">
        <v>77</v>
      </c>
      <c r="K1202" t="s">
        <v>78</v>
      </c>
      <c r="L1202" t="s">
        <v>482</v>
      </c>
      <c r="M1202" t="s">
        <v>483</v>
      </c>
      <c r="N1202" t="s">
        <v>1442</v>
      </c>
      <c r="O1202" t="s">
        <v>82</v>
      </c>
      <c r="P1202" t="str">
        <f>"2170716593                    "</f>
        <v xml:space="preserve">2170716593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6.71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1.6</v>
      </c>
      <c r="BJ1202">
        <v>0.9</v>
      </c>
      <c r="BK1202">
        <v>2</v>
      </c>
      <c r="BL1202" s="4">
        <v>39.42</v>
      </c>
      <c r="BM1202" s="4">
        <v>5.91</v>
      </c>
      <c r="BN1202" s="4">
        <v>45.33</v>
      </c>
      <c r="BO1202" s="4">
        <v>45.33</v>
      </c>
      <c r="BR1202" t="s">
        <v>84</v>
      </c>
      <c r="BS1202" s="3">
        <v>43781</v>
      </c>
      <c r="BT1202" s="5">
        <v>0.26805555555555555</v>
      </c>
      <c r="BU1202" t="s">
        <v>1443</v>
      </c>
      <c r="BV1202" t="s">
        <v>86</v>
      </c>
      <c r="BY1202">
        <v>4508.8100000000004</v>
      </c>
      <c r="CA1202" t="s">
        <v>1336</v>
      </c>
      <c r="CC1202" t="s">
        <v>483</v>
      </c>
      <c r="CD1202">
        <v>1460</v>
      </c>
      <c r="CE1202" t="s">
        <v>88</v>
      </c>
      <c r="CF1202" s="3">
        <v>43782</v>
      </c>
      <c r="CI1202">
        <v>1</v>
      </c>
      <c r="CJ1202">
        <v>1</v>
      </c>
      <c r="CK1202">
        <v>22</v>
      </c>
      <c r="CL1202" t="s">
        <v>89</v>
      </c>
    </row>
    <row r="1203" spans="1:90">
      <c r="A1203" t="s">
        <v>72</v>
      </c>
      <c r="B1203" t="s">
        <v>73</v>
      </c>
      <c r="C1203" t="s">
        <v>74</v>
      </c>
      <c r="E1203" t="str">
        <f>"FES1162722308"</f>
        <v>FES1162722308</v>
      </c>
      <c r="F1203" s="3">
        <v>43780</v>
      </c>
      <c r="G1203">
        <v>202005</v>
      </c>
      <c r="H1203" t="s">
        <v>75</v>
      </c>
      <c r="I1203" t="s">
        <v>76</v>
      </c>
      <c r="J1203" t="s">
        <v>77</v>
      </c>
      <c r="K1203" t="s">
        <v>78</v>
      </c>
      <c r="L1203" t="s">
        <v>90</v>
      </c>
      <c r="M1203" t="s">
        <v>91</v>
      </c>
      <c r="N1203" t="s">
        <v>715</v>
      </c>
      <c r="O1203" t="s">
        <v>82</v>
      </c>
      <c r="P1203" t="str">
        <f>"2170714364                    "</f>
        <v xml:space="preserve">2170714364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36.46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8.4</v>
      </c>
      <c r="BJ1203">
        <v>3.3</v>
      </c>
      <c r="BK1203">
        <v>8.5</v>
      </c>
      <c r="BL1203" s="4">
        <v>214.31</v>
      </c>
      <c r="BM1203" s="4">
        <v>32.15</v>
      </c>
      <c r="BN1203" s="4">
        <v>246.46</v>
      </c>
      <c r="BO1203" s="4">
        <v>246.46</v>
      </c>
      <c r="BQ1203" t="s">
        <v>109</v>
      </c>
      <c r="BR1203" t="s">
        <v>84</v>
      </c>
      <c r="BS1203" s="3">
        <v>43781</v>
      </c>
      <c r="BT1203" s="5">
        <v>0.36319444444444443</v>
      </c>
      <c r="BU1203" t="s">
        <v>1737</v>
      </c>
      <c r="BV1203" t="s">
        <v>86</v>
      </c>
      <c r="BY1203">
        <v>16660.84</v>
      </c>
      <c r="CA1203" t="s">
        <v>689</v>
      </c>
      <c r="CC1203" t="s">
        <v>91</v>
      </c>
      <c r="CD1203">
        <v>7925</v>
      </c>
      <c r="CE1203" t="s">
        <v>88</v>
      </c>
      <c r="CF1203" s="3">
        <v>43782</v>
      </c>
      <c r="CI1203">
        <v>1</v>
      </c>
      <c r="CJ1203">
        <v>1</v>
      </c>
      <c r="CK1203">
        <v>21</v>
      </c>
      <c r="CL1203" t="s">
        <v>89</v>
      </c>
    </row>
    <row r="1204" spans="1:90">
      <c r="A1204" t="s">
        <v>72</v>
      </c>
      <c r="B1204" t="s">
        <v>73</v>
      </c>
      <c r="C1204" t="s">
        <v>74</v>
      </c>
      <c r="E1204" t="str">
        <f>"FES1162722365"</f>
        <v>FES1162722365</v>
      </c>
      <c r="F1204" s="3">
        <v>43780</v>
      </c>
      <c r="G1204">
        <v>202005</v>
      </c>
      <c r="H1204" t="s">
        <v>75</v>
      </c>
      <c r="I1204" t="s">
        <v>76</v>
      </c>
      <c r="J1204" t="s">
        <v>77</v>
      </c>
      <c r="K1204" t="s">
        <v>78</v>
      </c>
      <c r="L1204" t="s">
        <v>90</v>
      </c>
      <c r="M1204" t="s">
        <v>91</v>
      </c>
      <c r="N1204" t="s">
        <v>401</v>
      </c>
      <c r="O1204" t="s">
        <v>82</v>
      </c>
      <c r="P1204" t="str">
        <f>"2170716572                    "</f>
        <v xml:space="preserve">2170716572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8.58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 s="4">
        <v>50.45</v>
      </c>
      <c r="BM1204" s="4">
        <v>7.57</v>
      </c>
      <c r="BN1204" s="4">
        <v>58.02</v>
      </c>
      <c r="BO1204" s="4">
        <v>58.02</v>
      </c>
      <c r="BQ1204" t="s">
        <v>109</v>
      </c>
      <c r="BR1204" t="s">
        <v>84</v>
      </c>
      <c r="BS1204" s="3">
        <v>43781</v>
      </c>
      <c r="BT1204" s="5">
        <v>0.33611111111111108</v>
      </c>
      <c r="BU1204" t="s">
        <v>402</v>
      </c>
      <c r="BV1204" t="s">
        <v>86</v>
      </c>
      <c r="BY1204">
        <v>1200</v>
      </c>
      <c r="CA1204" t="s">
        <v>221</v>
      </c>
      <c r="CC1204" t="s">
        <v>91</v>
      </c>
      <c r="CD1204">
        <v>7441</v>
      </c>
      <c r="CE1204" t="s">
        <v>147</v>
      </c>
      <c r="CF1204" s="3">
        <v>43782</v>
      </c>
      <c r="CI1204">
        <v>1</v>
      </c>
      <c r="CJ1204">
        <v>1</v>
      </c>
      <c r="CK1204">
        <v>21</v>
      </c>
      <c r="CL1204" t="s">
        <v>89</v>
      </c>
    </row>
    <row r="1205" spans="1:90">
      <c r="A1205" t="s">
        <v>72</v>
      </c>
      <c r="B1205" t="s">
        <v>73</v>
      </c>
      <c r="C1205" t="s">
        <v>74</v>
      </c>
      <c r="E1205" t="str">
        <f>"FES1162722444"</f>
        <v>FES1162722444</v>
      </c>
      <c r="F1205" s="3">
        <v>43780</v>
      </c>
      <c r="G1205">
        <v>202005</v>
      </c>
      <c r="H1205" t="s">
        <v>75</v>
      </c>
      <c r="I1205" t="s">
        <v>76</v>
      </c>
      <c r="J1205" t="s">
        <v>77</v>
      </c>
      <c r="K1205" t="s">
        <v>78</v>
      </c>
      <c r="L1205" t="s">
        <v>133</v>
      </c>
      <c r="M1205" t="s">
        <v>134</v>
      </c>
      <c r="N1205" t="s">
        <v>986</v>
      </c>
      <c r="O1205" t="s">
        <v>82</v>
      </c>
      <c r="P1205" t="str">
        <f>"2170716660                    "</f>
        <v xml:space="preserve">2170716660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8.58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 s="4">
        <v>50.45</v>
      </c>
      <c r="BM1205" s="4">
        <v>7.57</v>
      </c>
      <c r="BN1205" s="4">
        <v>58.02</v>
      </c>
      <c r="BO1205" s="4">
        <v>58.02</v>
      </c>
      <c r="BR1205" t="s">
        <v>84</v>
      </c>
      <c r="BS1205" s="3">
        <v>43781</v>
      </c>
      <c r="BT1205" s="5">
        <v>0.4375</v>
      </c>
      <c r="BU1205" t="s">
        <v>1738</v>
      </c>
      <c r="BV1205" t="s">
        <v>86</v>
      </c>
      <c r="BY1205">
        <v>1200</v>
      </c>
      <c r="CA1205" t="s">
        <v>988</v>
      </c>
      <c r="CC1205" t="s">
        <v>134</v>
      </c>
      <c r="CD1205">
        <v>5200</v>
      </c>
      <c r="CE1205" t="s">
        <v>147</v>
      </c>
      <c r="CF1205" s="3">
        <v>43787</v>
      </c>
      <c r="CI1205">
        <v>1</v>
      </c>
      <c r="CJ1205">
        <v>1</v>
      </c>
      <c r="CK1205">
        <v>21</v>
      </c>
      <c r="CL1205" t="s">
        <v>89</v>
      </c>
    </row>
    <row r="1206" spans="1:90">
      <c r="A1206" t="s">
        <v>72</v>
      </c>
      <c r="B1206" t="s">
        <v>73</v>
      </c>
      <c r="C1206" t="s">
        <v>74</v>
      </c>
      <c r="E1206" t="str">
        <f>"FES1162722412"</f>
        <v>FES1162722412</v>
      </c>
      <c r="F1206" s="3">
        <v>43780</v>
      </c>
      <c r="G1206">
        <v>202005</v>
      </c>
      <c r="H1206" t="s">
        <v>75</v>
      </c>
      <c r="I1206" t="s">
        <v>76</v>
      </c>
      <c r="J1206" t="s">
        <v>77</v>
      </c>
      <c r="K1206" t="s">
        <v>78</v>
      </c>
      <c r="L1206" t="s">
        <v>118</v>
      </c>
      <c r="M1206" t="s">
        <v>119</v>
      </c>
      <c r="N1206" t="s">
        <v>248</v>
      </c>
      <c r="O1206" t="s">
        <v>82</v>
      </c>
      <c r="P1206" t="str">
        <f>"2170716619                    "</f>
        <v xml:space="preserve">2170716619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12.87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2.9</v>
      </c>
      <c r="BJ1206">
        <v>1.3</v>
      </c>
      <c r="BK1206">
        <v>3</v>
      </c>
      <c r="BL1206" s="4">
        <v>75.66</v>
      </c>
      <c r="BM1206" s="4">
        <v>11.35</v>
      </c>
      <c r="BN1206" s="4">
        <v>87.01</v>
      </c>
      <c r="BO1206" s="4">
        <v>87.01</v>
      </c>
      <c r="BQ1206" t="s">
        <v>121</v>
      </c>
      <c r="BR1206" t="s">
        <v>84</v>
      </c>
      <c r="BS1206" s="3">
        <v>43781</v>
      </c>
      <c r="BT1206" s="5">
        <v>0.38055555555555554</v>
      </c>
      <c r="BU1206" t="s">
        <v>623</v>
      </c>
      <c r="BV1206" t="s">
        <v>86</v>
      </c>
      <c r="BY1206">
        <v>6690.71</v>
      </c>
      <c r="CA1206" t="s">
        <v>435</v>
      </c>
      <c r="CC1206" t="s">
        <v>119</v>
      </c>
      <c r="CD1206">
        <v>3212</v>
      </c>
      <c r="CE1206" t="s">
        <v>88</v>
      </c>
      <c r="CF1206" s="3">
        <v>43782</v>
      </c>
      <c r="CI1206">
        <v>1</v>
      </c>
      <c r="CJ1206">
        <v>1</v>
      </c>
      <c r="CK1206">
        <v>21</v>
      </c>
      <c r="CL1206" t="s">
        <v>89</v>
      </c>
    </row>
    <row r="1207" spans="1:90">
      <c r="A1207" t="s">
        <v>72</v>
      </c>
      <c r="B1207" t="s">
        <v>73</v>
      </c>
      <c r="C1207" t="s">
        <v>74</v>
      </c>
      <c r="E1207" t="str">
        <f>"FES1162722414"</f>
        <v>FES1162722414</v>
      </c>
      <c r="F1207" s="3">
        <v>43780</v>
      </c>
      <c r="G1207">
        <v>202005</v>
      </c>
      <c r="H1207" t="s">
        <v>75</v>
      </c>
      <c r="I1207" t="s">
        <v>76</v>
      </c>
      <c r="J1207" t="s">
        <v>77</v>
      </c>
      <c r="K1207" t="s">
        <v>78</v>
      </c>
      <c r="L1207" t="s">
        <v>118</v>
      </c>
      <c r="M1207" t="s">
        <v>119</v>
      </c>
      <c r="N1207" t="s">
        <v>775</v>
      </c>
      <c r="O1207" t="s">
        <v>82</v>
      </c>
      <c r="P1207" t="str">
        <f>"2170716623                    "</f>
        <v xml:space="preserve">2170716623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38.6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3.1</v>
      </c>
      <c r="BJ1207">
        <v>9</v>
      </c>
      <c r="BK1207">
        <v>9</v>
      </c>
      <c r="BL1207" s="4">
        <v>226.91</v>
      </c>
      <c r="BM1207" s="4">
        <v>34.04</v>
      </c>
      <c r="BN1207" s="4">
        <v>260.95</v>
      </c>
      <c r="BO1207" s="4">
        <v>260.95</v>
      </c>
      <c r="BQ1207" t="s">
        <v>142</v>
      </c>
      <c r="BR1207" t="s">
        <v>84</v>
      </c>
      <c r="BS1207" s="3">
        <v>43781</v>
      </c>
      <c r="BT1207" s="5">
        <v>0.41666666666666669</v>
      </c>
      <c r="BU1207" t="s">
        <v>1739</v>
      </c>
      <c r="BV1207" t="s">
        <v>86</v>
      </c>
      <c r="BY1207">
        <v>45095.02</v>
      </c>
      <c r="CA1207" t="s">
        <v>171</v>
      </c>
      <c r="CC1207" t="s">
        <v>119</v>
      </c>
      <c r="CD1207">
        <v>3201</v>
      </c>
      <c r="CE1207" t="s">
        <v>1598</v>
      </c>
      <c r="CF1207" s="3">
        <v>43782</v>
      </c>
      <c r="CI1207">
        <v>1</v>
      </c>
      <c r="CJ1207">
        <v>1</v>
      </c>
      <c r="CK1207">
        <v>21</v>
      </c>
      <c r="CL1207" t="s">
        <v>89</v>
      </c>
    </row>
    <row r="1208" spans="1:90">
      <c r="A1208" t="s">
        <v>72</v>
      </c>
      <c r="B1208" t="s">
        <v>73</v>
      </c>
      <c r="C1208" t="s">
        <v>74</v>
      </c>
      <c r="E1208" t="str">
        <f>"FES1162722420"</f>
        <v>FES1162722420</v>
      </c>
      <c r="F1208" s="3">
        <v>43780</v>
      </c>
      <c r="G1208">
        <v>202005</v>
      </c>
      <c r="H1208" t="s">
        <v>75</v>
      </c>
      <c r="I1208" t="s">
        <v>76</v>
      </c>
      <c r="J1208" t="s">
        <v>77</v>
      </c>
      <c r="K1208" t="s">
        <v>78</v>
      </c>
      <c r="L1208" t="s">
        <v>118</v>
      </c>
      <c r="M1208" t="s">
        <v>119</v>
      </c>
      <c r="N1208" t="s">
        <v>885</v>
      </c>
      <c r="O1208" t="s">
        <v>82</v>
      </c>
      <c r="P1208" t="str">
        <f>"2170716631                    "</f>
        <v xml:space="preserve">2170716631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32.17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4</v>
      </c>
      <c r="BJ1208">
        <v>7.3</v>
      </c>
      <c r="BK1208">
        <v>7.5</v>
      </c>
      <c r="BL1208" s="4">
        <v>189.1</v>
      </c>
      <c r="BM1208" s="4">
        <v>28.37</v>
      </c>
      <c r="BN1208" s="4">
        <v>217.47</v>
      </c>
      <c r="BO1208" s="4">
        <v>217.47</v>
      </c>
      <c r="BQ1208" t="s">
        <v>109</v>
      </c>
      <c r="BR1208" t="s">
        <v>84</v>
      </c>
      <c r="BS1208" s="3">
        <v>43781</v>
      </c>
      <c r="BT1208" s="5">
        <v>0.38680555555555557</v>
      </c>
      <c r="BU1208" t="s">
        <v>886</v>
      </c>
      <c r="BV1208" t="s">
        <v>86</v>
      </c>
      <c r="BY1208">
        <v>36404.46</v>
      </c>
      <c r="CA1208" t="s">
        <v>435</v>
      </c>
      <c r="CC1208" t="s">
        <v>119</v>
      </c>
      <c r="CD1208">
        <v>3212</v>
      </c>
      <c r="CE1208" t="s">
        <v>1598</v>
      </c>
      <c r="CF1208" s="3">
        <v>43782</v>
      </c>
      <c r="CI1208">
        <v>1</v>
      </c>
      <c r="CJ1208">
        <v>1</v>
      </c>
      <c r="CK1208">
        <v>21</v>
      </c>
      <c r="CL1208" t="s">
        <v>89</v>
      </c>
    </row>
    <row r="1209" spans="1:90">
      <c r="A1209" t="s">
        <v>72</v>
      </c>
      <c r="B1209" t="s">
        <v>73</v>
      </c>
      <c r="C1209" t="s">
        <v>74</v>
      </c>
      <c r="E1209" t="str">
        <f>"FES1162722424"</f>
        <v>FES1162722424</v>
      </c>
      <c r="F1209" s="3">
        <v>43780</v>
      </c>
      <c r="G1209">
        <v>202005</v>
      </c>
      <c r="H1209" t="s">
        <v>75</v>
      </c>
      <c r="I1209" t="s">
        <v>76</v>
      </c>
      <c r="J1209" t="s">
        <v>77</v>
      </c>
      <c r="K1209" t="s">
        <v>78</v>
      </c>
      <c r="L1209" t="s">
        <v>112</v>
      </c>
      <c r="M1209" t="s">
        <v>113</v>
      </c>
      <c r="N1209" t="s">
        <v>437</v>
      </c>
      <c r="O1209" t="s">
        <v>82</v>
      </c>
      <c r="P1209" t="str">
        <f>"2170716635                    "</f>
        <v xml:space="preserve">2170716635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8.58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 s="4">
        <v>50.45</v>
      </c>
      <c r="BM1209" s="4">
        <v>7.57</v>
      </c>
      <c r="BN1209" s="4">
        <v>58.02</v>
      </c>
      <c r="BO1209" s="4">
        <v>58.02</v>
      </c>
      <c r="BQ1209" t="s">
        <v>109</v>
      </c>
      <c r="BR1209" t="s">
        <v>84</v>
      </c>
      <c r="BS1209" s="3">
        <v>43781</v>
      </c>
      <c r="BT1209" s="5">
        <v>0.41388888888888892</v>
      </c>
      <c r="BU1209" t="s">
        <v>1740</v>
      </c>
      <c r="BV1209" t="s">
        <v>86</v>
      </c>
      <c r="BY1209">
        <v>1200</v>
      </c>
      <c r="CA1209" t="s">
        <v>229</v>
      </c>
      <c r="CC1209" t="s">
        <v>113</v>
      </c>
      <c r="CD1209">
        <v>4001</v>
      </c>
      <c r="CE1209" t="s">
        <v>147</v>
      </c>
      <c r="CF1209" s="3">
        <v>43782</v>
      </c>
      <c r="CI1209">
        <v>1</v>
      </c>
      <c r="CJ1209">
        <v>1</v>
      </c>
      <c r="CK1209">
        <v>21</v>
      </c>
      <c r="CL1209" t="s">
        <v>89</v>
      </c>
    </row>
    <row r="1210" spans="1:90">
      <c r="A1210" t="s">
        <v>72</v>
      </c>
      <c r="B1210" t="s">
        <v>73</v>
      </c>
      <c r="C1210" t="s">
        <v>74</v>
      </c>
      <c r="E1210" t="str">
        <f>"FES1162722249"</f>
        <v>FES1162722249</v>
      </c>
      <c r="F1210" s="3">
        <v>43780</v>
      </c>
      <c r="G1210">
        <v>202005</v>
      </c>
      <c r="H1210" t="s">
        <v>75</v>
      </c>
      <c r="I1210" t="s">
        <v>76</v>
      </c>
      <c r="J1210" t="s">
        <v>77</v>
      </c>
      <c r="K1210" t="s">
        <v>78</v>
      </c>
      <c r="L1210" t="s">
        <v>270</v>
      </c>
      <c r="M1210" t="s">
        <v>271</v>
      </c>
      <c r="N1210" t="s">
        <v>618</v>
      </c>
      <c r="O1210" t="s">
        <v>282</v>
      </c>
      <c r="P1210" t="str">
        <f>"21707139065                   "</f>
        <v xml:space="preserve">21707139065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56.69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26.5</v>
      </c>
      <c r="BJ1210">
        <v>67</v>
      </c>
      <c r="BK1210">
        <v>67</v>
      </c>
      <c r="BL1210" s="4">
        <v>338.24</v>
      </c>
      <c r="BM1210" s="4">
        <v>50.74</v>
      </c>
      <c r="BN1210" s="4">
        <v>388.98</v>
      </c>
      <c r="BO1210" s="4">
        <v>388.98</v>
      </c>
      <c r="BQ1210" t="s">
        <v>121</v>
      </c>
      <c r="BR1210" t="s">
        <v>84</v>
      </c>
      <c r="BS1210" s="3">
        <v>43781</v>
      </c>
      <c r="BT1210" s="5">
        <v>0.40833333333333338</v>
      </c>
      <c r="BU1210" t="s">
        <v>1602</v>
      </c>
      <c r="BV1210" t="s">
        <v>86</v>
      </c>
      <c r="BY1210">
        <v>334799.84999999998</v>
      </c>
      <c r="CA1210" t="s">
        <v>773</v>
      </c>
      <c r="CC1210" t="s">
        <v>271</v>
      </c>
      <c r="CD1210">
        <v>6220</v>
      </c>
      <c r="CE1210" t="s">
        <v>1598</v>
      </c>
      <c r="CF1210" s="3">
        <v>43782</v>
      </c>
      <c r="CI1210">
        <v>2</v>
      </c>
      <c r="CJ1210">
        <v>1</v>
      </c>
      <c r="CK1210" t="s">
        <v>1002</v>
      </c>
      <c r="CL1210" t="s">
        <v>89</v>
      </c>
    </row>
    <row r="1211" spans="1:90">
      <c r="A1211" t="s">
        <v>72</v>
      </c>
      <c r="B1211" t="s">
        <v>73</v>
      </c>
      <c r="C1211" t="s">
        <v>74</v>
      </c>
      <c r="E1211" t="str">
        <f>"009939482639"</f>
        <v>009939482639</v>
      </c>
      <c r="F1211" s="3">
        <v>43780</v>
      </c>
      <c r="G1211">
        <v>202005</v>
      </c>
      <c r="H1211" t="s">
        <v>90</v>
      </c>
      <c r="I1211" t="s">
        <v>91</v>
      </c>
      <c r="J1211" t="s">
        <v>1741</v>
      </c>
      <c r="K1211" t="s">
        <v>78</v>
      </c>
      <c r="L1211" t="s">
        <v>75</v>
      </c>
      <c r="M1211" t="s">
        <v>76</v>
      </c>
      <c r="N1211" t="s">
        <v>211</v>
      </c>
      <c r="O1211" t="s">
        <v>282</v>
      </c>
      <c r="P1211" t="str">
        <f>"JNB1911110166                 "</f>
        <v xml:space="preserve">JNB1911110166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17.57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1.1000000000000001</v>
      </c>
      <c r="BJ1211">
        <v>1.1000000000000001</v>
      </c>
      <c r="BK1211">
        <v>2</v>
      </c>
      <c r="BL1211" s="4">
        <v>108.28</v>
      </c>
      <c r="BM1211" s="4">
        <v>16.239999999999998</v>
      </c>
      <c r="BN1211" s="4">
        <v>124.52</v>
      </c>
      <c r="BO1211" s="4">
        <v>124.52</v>
      </c>
      <c r="BQ1211" t="s">
        <v>1011</v>
      </c>
      <c r="BR1211" t="s">
        <v>1742</v>
      </c>
      <c r="BS1211" s="3">
        <v>43782</v>
      </c>
      <c r="BT1211" s="5">
        <v>0.40625</v>
      </c>
      <c r="BU1211" t="s">
        <v>1016</v>
      </c>
      <c r="BV1211" t="s">
        <v>86</v>
      </c>
      <c r="BY1211">
        <v>5631.34</v>
      </c>
      <c r="CA1211" t="s">
        <v>198</v>
      </c>
      <c r="CC1211" t="s">
        <v>76</v>
      </c>
      <c r="CD1211">
        <v>1600</v>
      </c>
      <c r="CE1211" t="s">
        <v>1598</v>
      </c>
      <c r="CF1211" s="3">
        <v>43783</v>
      </c>
      <c r="CI1211">
        <v>2</v>
      </c>
      <c r="CJ1211">
        <v>2</v>
      </c>
      <c r="CK1211" t="s">
        <v>1002</v>
      </c>
      <c r="CL1211" t="s">
        <v>89</v>
      </c>
    </row>
    <row r="1212" spans="1:90">
      <c r="A1212" t="s">
        <v>72</v>
      </c>
      <c r="B1212" t="s">
        <v>73</v>
      </c>
      <c r="C1212" t="s">
        <v>74</v>
      </c>
      <c r="E1212" t="str">
        <f>"FES1162722585"</f>
        <v>FES1162722585</v>
      </c>
      <c r="F1212" s="3">
        <v>43781</v>
      </c>
      <c r="G1212">
        <v>202005</v>
      </c>
      <c r="H1212" t="s">
        <v>75</v>
      </c>
      <c r="I1212" t="s">
        <v>76</v>
      </c>
      <c r="J1212" t="s">
        <v>77</v>
      </c>
      <c r="K1212" t="s">
        <v>78</v>
      </c>
      <c r="L1212" t="s">
        <v>118</v>
      </c>
      <c r="M1212" t="s">
        <v>119</v>
      </c>
      <c r="N1212" t="s">
        <v>120</v>
      </c>
      <c r="O1212" t="s">
        <v>82</v>
      </c>
      <c r="P1212" t="str">
        <f>"2170716827                    "</f>
        <v xml:space="preserve">2170716827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55.76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12.7</v>
      </c>
      <c r="BJ1212">
        <v>3.7</v>
      </c>
      <c r="BK1212">
        <v>13</v>
      </c>
      <c r="BL1212" s="4">
        <v>327.75</v>
      </c>
      <c r="BM1212" s="4">
        <v>49.16</v>
      </c>
      <c r="BN1212" s="4">
        <v>376.91</v>
      </c>
      <c r="BO1212" s="4">
        <v>376.91</v>
      </c>
      <c r="BQ1212" t="s">
        <v>121</v>
      </c>
      <c r="BR1212" t="s">
        <v>84</v>
      </c>
      <c r="BS1212" s="3">
        <v>43782</v>
      </c>
      <c r="BT1212" s="5">
        <v>0.4145833333333333</v>
      </c>
      <c r="BU1212" t="s">
        <v>1743</v>
      </c>
      <c r="BV1212" t="s">
        <v>86</v>
      </c>
      <c r="BY1212">
        <v>18333.849999999999</v>
      </c>
      <c r="CA1212" t="s">
        <v>250</v>
      </c>
      <c r="CC1212" t="s">
        <v>119</v>
      </c>
      <c r="CD1212">
        <v>3201</v>
      </c>
      <c r="CE1212" t="s">
        <v>88</v>
      </c>
      <c r="CF1212" s="3">
        <v>43783</v>
      </c>
      <c r="CI1212">
        <v>1</v>
      </c>
      <c r="CJ1212">
        <v>1</v>
      </c>
      <c r="CK1212">
        <v>21</v>
      </c>
      <c r="CL1212" t="s">
        <v>89</v>
      </c>
    </row>
    <row r="1213" spans="1:90">
      <c r="A1213" t="s">
        <v>72</v>
      </c>
      <c r="B1213" t="s">
        <v>73</v>
      </c>
      <c r="C1213" t="s">
        <v>74</v>
      </c>
      <c r="E1213" t="str">
        <f>"FES1162722553"</f>
        <v>FES1162722553</v>
      </c>
      <c r="F1213" s="3">
        <v>43781</v>
      </c>
      <c r="G1213">
        <v>202005</v>
      </c>
      <c r="H1213" t="s">
        <v>75</v>
      </c>
      <c r="I1213" t="s">
        <v>76</v>
      </c>
      <c r="J1213" t="s">
        <v>77</v>
      </c>
      <c r="K1213" t="s">
        <v>78</v>
      </c>
      <c r="L1213" t="s">
        <v>344</v>
      </c>
      <c r="M1213" t="s">
        <v>345</v>
      </c>
      <c r="N1213" t="s">
        <v>1744</v>
      </c>
      <c r="O1213" t="s">
        <v>82</v>
      </c>
      <c r="P1213" t="str">
        <f>"2170716787                    "</f>
        <v xml:space="preserve">2170716787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6.71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 s="4">
        <v>39.42</v>
      </c>
      <c r="BM1213" s="4">
        <v>5.91</v>
      </c>
      <c r="BN1213" s="4">
        <v>45.33</v>
      </c>
      <c r="BO1213" s="4">
        <v>45.33</v>
      </c>
      <c r="BQ1213" t="s">
        <v>1745</v>
      </c>
      <c r="BR1213" t="s">
        <v>84</v>
      </c>
      <c r="BS1213" s="3">
        <v>43782</v>
      </c>
      <c r="BT1213" s="5">
        <v>0.40763888888888888</v>
      </c>
      <c r="BU1213" t="s">
        <v>1746</v>
      </c>
      <c r="BV1213" t="s">
        <v>86</v>
      </c>
      <c r="BY1213">
        <v>1200</v>
      </c>
      <c r="CA1213" t="s">
        <v>348</v>
      </c>
      <c r="CC1213" t="s">
        <v>345</v>
      </c>
      <c r="CD1213">
        <v>2163</v>
      </c>
      <c r="CE1213" t="s">
        <v>147</v>
      </c>
      <c r="CF1213" s="3">
        <v>43784</v>
      </c>
      <c r="CI1213">
        <v>1</v>
      </c>
      <c r="CJ1213">
        <v>1</v>
      </c>
      <c r="CK1213">
        <v>22</v>
      </c>
      <c r="CL1213" t="s">
        <v>89</v>
      </c>
    </row>
    <row r="1214" spans="1:90">
      <c r="A1214" t="s">
        <v>72</v>
      </c>
      <c r="B1214" t="s">
        <v>73</v>
      </c>
      <c r="C1214" t="s">
        <v>74</v>
      </c>
      <c r="E1214" t="str">
        <f>"FES1162722565"</f>
        <v>FES1162722565</v>
      </c>
      <c r="F1214" s="3">
        <v>43781</v>
      </c>
      <c r="G1214">
        <v>202005</v>
      </c>
      <c r="H1214" t="s">
        <v>75</v>
      </c>
      <c r="I1214" t="s">
        <v>76</v>
      </c>
      <c r="J1214" t="s">
        <v>77</v>
      </c>
      <c r="K1214" t="s">
        <v>78</v>
      </c>
      <c r="L1214" t="s">
        <v>482</v>
      </c>
      <c r="M1214" t="s">
        <v>483</v>
      </c>
      <c r="N1214" t="s">
        <v>1036</v>
      </c>
      <c r="O1214" t="s">
        <v>82</v>
      </c>
      <c r="P1214" t="str">
        <f>"2170716800                    "</f>
        <v xml:space="preserve">2170716800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6.71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 s="4">
        <v>39.42</v>
      </c>
      <c r="BM1214" s="4">
        <v>5.91</v>
      </c>
      <c r="BN1214" s="4">
        <v>45.33</v>
      </c>
      <c r="BO1214" s="4">
        <v>45.33</v>
      </c>
      <c r="BR1214" t="s">
        <v>84</v>
      </c>
      <c r="BS1214" s="3">
        <v>43782</v>
      </c>
      <c r="BT1214" s="5">
        <v>0.37847222222222227</v>
      </c>
      <c r="BU1214" t="s">
        <v>1747</v>
      </c>
      <c r="BV1214" t="s">
        <v>86</v>
      </c>
      <c r="BY1214">
        <v>1200</v>
      </c>
      <c r="CA1214" t="s">
        <v>123</v>
      </c>
      <c r="CC1214" t="s">
        <v>483</v>
      </c>
      <c r="CD1214">
        <v>1460</v>
      </c>
      <c r="CE1214" t="s">
        <v>147</v>
      </c>
      <c r="CF1214" s="3">
        <v>43783</v>
      </c>
      <c r="CI1214">
        <v>1</v>
      </c>
      <c r="CJ1214">
        <v>1</v>
      </c>
      <c r="CK1214">
        <v>22</v>
      </c>
      <c r="CL1214" t="s">
        <v>89</v>
      </c>
    </row>
    <row r="1215" spans="1:90">
      <c r="A1215" t="s">
        <v>72</v>
      </c>
      <c r="B1215" t="s">
        <v>73</v>
      </c>
      <c r="C1215" t="s">
        <v>74</v>
      </c>
      <c r="E1215" t="str">
        <f>"FES1162722592"</f>
        <v>FES1162722592</v>
      </c>
      <c r="F1215" s="3">
        <v>43781</v>
      </c>
      <c r="G1215">
        <v>202005</v>
      </c>
      <c r="H1215" t="s">
        <v>75</v>
      </c>
      <c r="I1215" t="s">
        <v>76</v>
      </c>
      <c r="J1215" t="s">
        <v>77</v>
      </c>
      <c r="K1215" t="s">
        <v>78</v>
      </c>
      <c r="L1215" t="s">
        <v>101</v>
      </c>
      <c r="M1215" t="s">
        <v>102</v>
      </c>
      <c r="N1215" t="s">
        <v>281</v>
      </c>
      <c r="O1215" t="s">
        <v>82</v>
      </c>
      <c r="P1215" t="str">
        <f>"2170716835                    "</f>
        <v xml:space="preserve">2170716835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8.58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0.2</v>
      </c>
      <c r="BJ1215">
        <v>1</v>
      </c>
      <c r="BK1215">
        <v>1</v>
      </c>
      <c r="BL1215" s="4">
        <v>50.45</v>
      </c>
      <c r="BM1215" s="4">
        <v>7.57</v>
      </c>
      <c r="BN1215" s="4">
        <v>58.02</v>
      </c>
      <c r="BO1215" s="4">
        <v>58.02</v>
      </c>
      <c r="BQ1215" t="s">
        <v>1748</v>
      </c>
      <c r="BR1215" t="s">
        <v>84</v>
      </c>
      <c r="BS1215" s="3">
        <v>43782</v>
      </c>
      <c r="BT1215" s="5">
        <v>0.43611111111111112</v>
      </c>
      <c r="BU1215" t="s">
        <v>1749</v>
      </c>
      <c r="BV1215" t="s">
        <v>86</v>
      </c>
      <c r="BY1215">
        <v>5186.5</v>
      </c>
      <c r="CA1215" t="s">
        <v>284</v>
      </c>
      <c r="CC1215" t="s">
        <v>102</v>
      </c>
      <c r="CD1215">
        <v>1</v>
      </c>
      <c r="CE1215" t="s">
        <v>88</v>
      </c>
      <c r="CF1215" s="3">
        <v>43783</v>
      </c>
      <c r="CI1215">
        <v>1</v>
      </c>
      <c r="CJ1215">
        <v>1</v>
      </c>
      <c r="CK1215">
        <v>21</v>
      </c>
      <c r="CL1215" t="s">
        <v>89</v>
      </c>
    </row>
    <row r="1216" spans="1:90">
      <c r="A1216" t="s">
        <v>72</v>
      </c>
      <c r="B1216" t="s">
        <v>73</v>
      </c>
      <c r="C1216" t="s">
        <v>74</v>
      </c>
      <c r="E1216" t="str">
        <f>"FES1162721987"</f>
        <v>FES1162721987</v>
      </c>
      <c r="F1216" s="3">
        <v>43781</v>
      </c>
      <c r="G1216">
        <v>202005</v>
      </c>
      <c r="H1216" t="s">
        <v>75</v>
      </c>
      <c r="I1216" t="s">
        <v>76</v>
      </c>
      <c r="J1216" t="s">
        <v>77</v>
      </c>
      <c r="K1216" t="s">
        <v>78</v>
      </c>
      <c r="L1216" t="s">
        <v>917</v>
      </c>
      <c r="M1216" t="s">
        <v>918</v>
      </c>
      <c r="N1216" t="s">
        <v>919</v>
      </c>
      <c r="O1216" t="s">
        <v>82</v>
      </c>
      <c r="P1216" t="str">
        <f>"2170716187                    "</f>
        <v xml:space="preserve">2170716187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12.07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 s="4">
        <v>70.95</v>
      </c>
      <c r="BM1216" s="4">
        <v>10.64</v>
      </c>
      <c r="BN1216" s="4">
        <v>81.59</v>
      </c>
      <c r="BO1216" s="4">
        <v>81.59</v>
      </c>
      <c r="BQ1216" t="s">
        <v>109</v>
      </c>
      <c r="BR1216" t="s">
        <v>84</v>
      </c>
      <c r="BS1216" s="3">
        <v>43782</v>
      </c>
      <c r="BT1216" s="5">
        <v>0.29305555555555557</v>
      </c>
      <c r="BU1216" t="s">
        <v>982</v>
      </c>
      <c r="BV1216" t="s">
        <v>86</v>
      </c>
      <c r="BY1216">
        <v>1200</v>
      </c>
      <c r="CC1216" t="s">
        <v>918</v>
      </c>
      <c r="CD1216">
        <v>2210</v>
      </c>
      <c r="CE1216" t="s">
        <v>147</v>
      </c>
      <c r="CF1216" s="3">
        <v>43784</v>
      </c>
      <c r="CI1216">
        <v>1</v>
      </c>
      <c r="CJ1216">
        <v>1</v>
      </c>
      <c r="CK1216">
        <v>24</v>
      </c>
      <c r="CL1216" t="s">
        <v>89</v>
      </c>
    </row>
    <row r="1217" spans="1:90">
      <c r="A1217" t="s">
        <v>72</v>
      </c>
      <c r="B1217" t="s">
        <v>73</v>
      </c>
      <c r="C1217" t="s">
        <v>74</v>
      </c>
      <c r="E1217" t="str">
        <f>"FES1162722595"</f>
        <v>FES1162722595</v>
      </c>
      <c r="F1217" s="3">
        <v>43781</v>
      </c>
      <c r="G1217">
        <v>202005</v>
      </c>
      <c r="H1217" t="s">
        <v>75</v>
      </c>
      <c r="I1217" t="s">
        <v>76</v>
      </c>
      <c r="J1217" t="s">
        <v>77</v>
      </c>
      <c r="K1217" t="s">
        <v>78</v>
      </c>
      <c r="L1217" t="s">
        <v>225</v>
      </c>
      <c r="M1217" t="s">
        <v>226</v>
      </c>
      <c r="N1217" t="s">
        <v>227</v>
      </c>
      <c r="O1217" t="s">
        <v>82</v>
      </c>
      <c r="P1217" t="str">
        <f>"2170716895                    "</f>
        <v xml:space="preserve">2170716895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8.58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1.7</v>
      </c>
      <c r="BJ1217">
        <v>0.8</v>
      </c>
      <c r="BK1217">
        <v>2</v>
      </c>
      <c r="BL1217" s="4">
        <v>50.45</v>
      </c>
      <c r="BM1217" s="4">
        <v>7.57</v>
      </c>
      <c r="BN1217" s="4">
        <v>58.02</v>
      </c>
      <c r="BO1217" s="4">
        <v>58.02</v>
      </c>
      <c r="BQ1217" t="s">
        <v>121</v>
      </c>
      <c r="BR1217" t="s">
        <v>84</v>
      </c>
      <c r="BS1217" s="3">
        <v>43782</v>
      </c>
      <c r="BT1217" s="5">
        <v>0.33124999999999999</v>
      </c>
      <c r="BU1217" t="s">
        <v>228</v>
      </c>
      <c r="BV1217" t="s">
        <v>86</v>
      </c>
      <c r="BY1217">
        <v>4026.96</v>
      </c>
      <c r="CA1217" t="s">
        <v>229</v>
      </c>
      <c r="CC1217" t="s">
        <v>226</v>
      </c>
      <c r="CD1217">
        <v>4026</v>
      </c>
      <c r="CE1217" t="s">
        <v>88</v>
      </c>
      <c r="CF1217" s="3">
        <v>43783</v>
      </c>
      <c r="CI1217">
        <v>1</v>
      </c>
      <c r="CJ1217">
        <v>1</v>
      </c>
      <c r="CK1217">
        <v>21</v>
      </c>
      <c r="CL1217" t="s">
        <v>89</v>
      </c>
    </row>
    <row r="1218" spans="1:90">
      <c r="A1218" t="s">
        <v>72</v>
      </c>
      <c r="B1218" t="s">
        <v>73</v>
      </c>
      <c r="C1218" t="s">
        <v>74</v>
      </c>
      <c r="E1218" t="str">
        <f>"FES1162722467"</f>
        <v>FES1162722467</v>
      </c>
      <c r="F1218" s="3">
        <v>43781</v>
      </c>
      <c r="G1218">
        <v>202005</v>
      </c>
      <c r="H1218" t="s">
        <v>75</v>
      </c>
      <c r="I1218" t="s">
        <v>76</v>
      </c>
      <c r="J1218" t="s">
        <v>77</v>
      </c>
      <c r="K1218" t="s">
        <v>78</v>
      </c>
      <c r="L1218" t="s">
        <v>75</v>
      </c>
      <c r="M1218" t="s">
        <v>76</v>
      </c>
      <c r="N1218" t="s">
        <v>366</v>
      </c>
      <c r="O1218" t="s">
        <v>82</v>
      </c>
      <c r="P1218" t="str">
        <f>"2170716465                    "</f>
        <v xml:space="preserve">2170716465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6.71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 s="4">
        <v>39.42</v>
      </c>
      <c r="BM1218" s="4">
        <v>5.91</v>
      </c>
      <c r="BN1218" s="4">
        <v>45.33</v>
      </c>
      <c r="BO1218" s="4">
        <v>45.33</v>
      </c>
      <c r="BR1218" t="s">
        <v>84</v>
      </c>
      <c r="BS1218" s="3">
        <v>43782</v>
      </c>
      <c r="BT1218" s="5">
        <v>0.4201388888888889</v>
      </c>
      <c r="BU1218" t="s">
        <v>1750</v>
      </c>
      <c r="BV1218" t="s">
        <v>86</v>
      </c>
      <c r="BY1218">
        <v>1200</v>
      </c>
      <c r="CA1218" t="s">
        <v>1498</v>
      </c>
      <c r="CC1218" t="s">
        <v>76</v>
      </c>
      <c r="CD1218">
        <v>1624</v>
      </c>
      <c r="CE1218" t="s">
        <v>147</v>
      </c>
      <c r="CF1218" s="3">
        <v>43783</v>
      </c>
      <c r="CI1218">
        <v>1</v>
      </c>
      <c r="CJ1218">
        <v>1</v>
      </c>
      <c r="CK1218">
        <v>22</v>
      </c>
      <c r="CL1218" t="s">
        <v>89</v>
      </c>
    </row>
    <row r="1219" spans="1:90">
      <c r="A1219" t="s">
        <v>72</v>
      </c>
      <c r="B1219" t="s">
        <v>73</v>
      </c>
      <c r="C1219" t="s">
        <v>74</v>
      </c>
      <c r="E1219" t="str">
        <f>"FES1162722552"</f>
        <v>FES1162722552</v>
      </c>
      <c r="F1219" s="3">
        <v>43781</v>
      </c>
      <c r="G1219">
        <v>202005</v>
      </c>
      <c r="H1219" t="s">
        <v>75</v>
      </c>
      <c r="I1219" t="s">
        <v>76</v>
      </c>
      <c r="J1219" t="s">
        <v>77</v>
      </c>
      <c r="K1219" t="s">
        <v>78</v>
      </c>
      <c r="L1219" t="s">
        <v>176</v>
      </c>
      <c r="M1219" t="s">
        <v>177</v>
      </c>
      <c r="N1219" t="s">
        <v>1751</v>
      </c>
      <c r="O1219" t="s">
        <v>82</v>
      </c>
      <c r="P1219" t="str">
        <f>"2170716786                    "</f>
        <v xml:space="preserve">2170716786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8.58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 s="4">
        <v>50.45</v>
      </c>
      <c r="BM1219" s="4">
        <v>7.57</v>
      </c>
      <c r="BN1219" s="4">
        <v>58.02</v>
      </c>
      <c r="BO1219" s="4">
        <v>58.02</v>
      </c>
      <c r="BQ1219" t="s">
        <v>1752</v>
      </c>
      <c r="BR1219" t="s">
        <v>84</v>
      </c>
      <c r="BS1219" s="3">
        <v>43782</v>
      </c>
      <c r="BT1219" s="5">
        <v>0.3833333333333333</v>
      </c>
      <c r="BU1219" t="s">
        <v>1753</v>
      </c>
      <c r="BV1219" t="s">
        <v>86</v>
      </c>
      <c r="BY1219">
        <v>1200</v>
      </c>
      <c r="CA1219" t="s">
        <v>224</v>
      </c>
      <c r="CC1219" t="s">
        <v>177</v>
      </c>
      <c r="CD1219">
        <v>3610</v>
      </c>
      <c r="CE1219" t="s">
        <v>147</v>
      </c>
      <c r="CF1219" s="3">
        <v>43783</v>
      </c>
      <c r="CI1219">
        <v>1</v>
      </c>
      <c r="CJ1219">
        <v>1</v>
      </c>
      <c r="CK1219">
        <v>21</v>
      </c>
      <c r="CL1219" t="s">
        <v>89</v>
      </c>
    </row>
    <row r="1220" spans="1:90">
      <c r="A1220" t="s">
        <v>72</v>
      </c>
      <c r="B1220" t="s">
        <v>73</v>
      </c>
      <c r="C1220" t="s">
        <v>74</v>
      </c>
      <c r="E1220" t="str">
        <f>"FES1162722605"</f>
        <v>FES1162722605</v>
      </c>
      <c r="F1220" s="3">
        <v>43781</v>
      </c>
      <c r="G1220">
        <v>202005</v>
      </c>
      <c r="H1220" t="s">
        <v>75</v>
      </c>
      <c r="I1220" t="s">
        <v>76</v>
      </c>
      <c r="J1220" t="s">
        <v>77</v>
      </c>
      <c r="K1220" t="s">
        <v>78</v>
      </c>
      <c r="L1220" t="s">
        <v>112</v>
      </c>
      <c r="M1220" t="s">
        <v>113</v>
      </c>
      <c r="N1220" t="s">
        <v>1083</v>
      </c>
      <c r="O1220" t="s">
        <v>82</v>
      </c>
      <c r="P1220" t="str">
        <f>"2170716854                    "</f>
        <v xml:space="preserve">2170716854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8.58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 s="4">
        <v>50.45</v>
      </c>
      <c r="BM1220" s="4">
        <v>7.57</v>
      </c>
      <c r="BN1220" s="4">
        <v>58.02</v>
      </c>
      <c r="BO1220" s="4">
        <v>58.02</v>
      </c>
      <c r="BQ1220" t="s">
        <v>121</v>
      </c>
      <c r="BR1220" t="s">
        <v>84</v>
      </c>
      <c r="BS1220" s="3">
        <v>43782</v>
      </c>
      <c r="BT1220" s="5">
        <v>0.40972222222222227</v>
      </c>
      <c r="BU1220" t="s">
        <v>1754</v>
      </c>
      <c r="BV1220" t="s">
        <v>86</v>
      </c>
      <c r="BY1220">
        <v>1200</v>
      </c>
      <c r="CA1220" t="s">
        <v>1755</v>
      </c>
      <c r="CC1220" t="s">
        <v>113</v>
      </c>
      <c r="CD1220">
        <v>4001</v>
      </c>
      <c r="CE1220" t="s">
        <v>147</v>
      </c>
      <c r="CF1220" s="3">
        <v>43783</v>
      </c>
      <c r="CI1220">
        <v>1</v>
      </c>
      <c r="CJ1220">
        <v>1</v>
      </c>
      <c r="CK1220">
        <v>21</v>
      </c>
      <c r="CL1220" t="s">
        <v>89</v>
      </c>
    </row>
    <row r="1221" spans="1:90">
      <c r="A1221" t="s">
        <v>72</v>
      </c>
      <c r="B1221" t="s">
        <v>73</v>
      </c>
      <c r="C1221" t="s">
        <v>74</v>
      </c>
      <c r="E1221" t="str">
        <f>"FES1162722441"</f>
        <v>FES1162722441</v>
      </c>
      <c r="F1221" s="3">
        <v>43781</v>
      </c>
      <c r="G1221">
        <v>202005</v>
      </c>
      <c r="H1221" t="s">
        <v>75</v>
      </c>
      <c r="I1221" t="s">
        <v>76</v>
      </c>
      <c r="J1221" t="s">
        <v>77</v>
      </c>
      <c r="K1221" t="s">
        <v>78</v>
      </c>
      <c r="L1221" t="s">
        <v>112</v>
      </c>
      <c r="M1221" t="s">
        <v>113</v>
      </c>
      <c r="N1221" t="s">
        <v>1756</v>
      </c>
      <c r="O1221" t="s">
        <v>82</v>
      </c>
      <c r="P1221" t="str">
        <f>"2170716323                    "</f>
        <v xml:space="preserve">2170716323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8.58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0.5</v>
      </c>
      <c r="BJ1221">
        <v>1.1000000000000001</v>
      </c>
      <c r="BK1221">
        <v>1.5</v>
      </c>
      <c r="BL1221" s="4">
        <v>50.45</v>
      </c>
      <c r="BM1221" s="4">
        <v>7.57</v>
      </c>
      <c r="BN1221" s="4">
        <v>58.02</v>
      </c>
      <c r="BO1221" s="4">
        <v>58.02</v>
      </c>
      <c r="BR1221" t="s">
        <v>84</v>
      </c>
      <c r="BS1221" s="3">
        <v>43782</v>
      </c>
      <c r="BT1221" s="5">
        <v>0.40347222222222223</v>
      </c>
      <c r="BU1221" t="s">
        <v>1757</v>
      </c>
      <c r="BV1221" t="s">
        <v>86</v>
      </c>
      <c r="BY1221">
        <v>5301.45</v>
      </c>
      <c r="CA1221" t="s">
        <v>1758</v>
      </c>
      <c r="CC1221" t="s">
        <v>113</v>
      </c>
      <c r="CD1221">
        <v>4051</v>
      </c>
      <c r="CE1221" t="s">
        <v>88</v>
      </c>
      <c r="CF1221" s="3">
        <v>43783</v>
      </c>
      <c r="CI1221">
        <v>1</v>
      </c>
      <c r="CJ1221">
        <v>1</v>
      </c>
      <c r="CK1221">
        <v>21</v>
      </c>
      <c r="CL1221" t="s">
        <v>89</v>
      </c>
    </row>
    <row r="1222" spans="1:90">
      <c r="A1222" t="s">
        <v>72</v>
      </c>
      <c r="B1222" t="s">
        <v>73</v>
      </c>
      <c r="C1222" t="s">
        <v>74</v>
      </c>
      <c r="E1222" t="str">
        <f>"FES1162722527"</f>
        <v>FES1162722527</v>
      </c>
      <c r="F1222" s="3">
        <v>43781</v>
      </c>
      <c r="G1222">
        <v>202005</v>
      </c>
      <c r="H1222" t="s">
        <v>75</v>
      </c>
      <c r="I1222" t="s">
        <v>76</v>
      </c>
      <c r="J1222" t="s">
        <v>77</v>
      </c>
      <c r="K1222" t="s">
        <v>78</v>
      </c>
      <c r="L1222" t="s">
        <v>106</v>
      </c>
      <c r="M1222" t="s">
        <v>107</v>
      </c>
      <c r="N1222" t="s">
        <v>386</v>
      </c>
      <c r="O1222" t="s">
        <v>82</v>
      </c>
      <c r="P1222" t="str">
        <f>"2170716755                    "</f>
        <v xml:space="preserve">2170716755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8.58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 s="4">
        <v>50.45</v>
      </c>
      <c r="BM1222" s="4">
        <v>7.57</v>
      </c>
      <c r="BN1222" s="4">
        <v>58.02</v>
      </c>
      <c r="BO1222" s="4">
        <v>58.02</v>
      </c>
      <c r="BQ1222" t="s">
        <v>387</v>
      </c>
      <c r="BR1222" t="s">
        <v>84</v>
      </c>
      <c r="BS1222" s="3">
        <v>43782</v>
      </c>
      <c r="BT1222" s="5">
        <v>0.38541666666666669</v>
      </c>
      <c r="BU1222" t="s">
        <v>388</v>
      </c>
      <c r="BV1222" t="s">
        <v>86</v>
      </c>
      <c r="BY1222">
        <v>1200</v>
      </c>
      <c r="CA1222" t="s">
        <v>111</v>
      </c>
      <c r="CC1222" t="s">
        <v>107</v>
      </c>
      <c r="CD1222">
        <v>6001</v>
      </c>
      <c r="CE1222" t="s">
        <v>147</v>
      </c>
      <c r="CF1222" s="3">
        <v>43783</v>
      </c>
      <c r="CI1222">
        <v>1</v>
      </c>
      <c r="CJ1222">
        <v>1</v>
      </c>
      <c r="CK1222">
        <v>21</v>
      </c>
      <c r="CL1222" t="s">
        <v>89</v>
      </c>
    </row>
    <row r="1223" spans="1:90">
      <c r="A1223" t="s">
        <v>72</v>
      </c>
      <c r="B1223" t="s">
        <v>73</v>
      </c>
      <c r="C1223" t="s">
        <v>74</v>
      </c>
      <c r="E1223" t="str">
        <f>"FES1162722625"</f>
        <v>FES1162722625</v>
      </c>
      <c r="F1223" s="3">
        <v>43781</v>
      </c>
      <c r="G1223">
        <v>202005</v>
      </c>
      <c r="H1223" t="s">
        <v>75</v>
      </c>
      <c r="I1223" t="s">
        <v>76</v>
      </c>
      <c r="J1223" t="s">
        <v>77</v>
      </c>
      <c r="K1223" t="s">
        <v>78</v>
      </c>
      <c r="L1223" t="s">
        <v>90</v>
      </c>
      <c r="M1223" t="s">
        <v>91</v>
      </c>
      <c r="N1223" t="s">
        <v>1632</v>
      </c>
      <c r="O1223" t="s">
        <v>82</v>
      </c>
      <c r="P1223" t="str">
        <f>"2170716881                    "</f>
        <v xml:space="preserve">2170716881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8.58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 s="4">
        <v>50.45</v>
      </c>
      <c r="BM1223" s="4">
        <v>7.57</v>
      </c>
      <c r="BN1223" s="4">
        <v>58.02</v>
      </c>
      <c r="BO1223" s="4">
        <v>58.02</v>
      </c>
      <c r="BQ1223" t="s">
        <v>109</v>
      </c>
      <c r="BR1223" t="s">
        <v>84</v>
      </c>
      <c r="BS1223" s="3">
        <v>43782</v>
      </c>
      <c r="BT1223" s="5">
        <v>0.4284722222222222</v>
      </c>
      <c r="BU1223" t="s">
        <v>1633</v>
      </c>
      <c r="BV1223" t="s">
        <v>86</v>
      </c>
      <c r="BY1223">
        <v>1200</v>
      </c>
      <c r="CA1223" t="s">
        <v>323</v>
      </c>
      <c r="CC1223" t="s">
        <v>91</v>
      </c>
      <c r="CD1223">
        <v>7460</v>
      </c>
      <c r="CE1223" t="s">
        <v>147</v>
      </c>
      <c r="CF1223" s="3">
        <v>43783</v>
      </c>
      <c r="CI1223">
        <v>1</v>
      </c>
      <c r="CJ1223">
        <v>1</v>
      </c>
      <c r="CK1223">
        <v>21</v>
      </c>
      <c r="CL1223" t="s">
        <v>89</v>
      </c>
    </row>
    <row r="1224" spans="1:90">
      <c r="A1224" t="s">
        <v>72</v>
      </c>
      <c r="B1224" t="s">
        <v>73</v>
      </c>
      <c r="C1224" t="s">
        <v>74</v>
      </c>
      <c r="E1224" t="str">
        <f>"FES1162722515"</f>
        <v>FES1162722515</v>
      </c>
      <c r="F1224" s="3">
        <v>43781</v>
      </c>
      <c r="G1224">
        <v>202005</v>
      </c>
      <c r="H1224" t="s">
        <v>75</v>
      </c>
      <c r="I1224" t="s">
        <v>76</v>
      </c>
      <c r="J1224" t="s">
        <v>77</v>
      </c>
      <c r="K1224" t="s">
        <v>78</v>
      </c>
      <c r="L1224" t="s">
        <v>176</v>
      </c>
      <c r="M1224" t="s">
        <v>177</v>
      </c>
      <c r="N1224" t="s">
        <v>1661</v>
      </c>
      <c r="O1224" t="s">
        <v>82</v>
      </c>
      <c r="P1224" t="str">
        <f>"2170715922                    "</f>
        <v xml:space="preserve">2170715922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15.02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3.1</v>
      </c>
      <c r="BJ1224">
        <v>1.3</v>
      </c>
      <c r="BK1224">
        <v>3.5</v>
      </c>
      <c r="BL1224" s="4">
        <v>88.27</v>
      </c>
      <c r="BM1224" s="4">
        <v>13.24</v>
      </c>
      <c r="BN1224" s="4">
        <v>101.51</v>
      </c>
      <c r="BO1224" s="4">
        <v>101.51</v>
      </c>
      <c r="BQ1224" t="s">
        <v>121</v>
      </c>
      <c r="BR1224" t="s">
        <v>84</v>
      </c>
      <c r="BS1224" s="3">
        <v>43782</v>
      </c>
      <c r="BT1224" s="5">
        <v>0.40902777777777777</v>
      </c>
      <c r="BU1224" t="s">
        <v>1759</v>
      </c>
      <c r="BV1224" t="s">
        <v>86</v>
      </c>
      <c r="BY1224">
        <v>6300.1</v>
      </c>
      <c r="CA1224" t="s">
        <v>180</v>
      </c>
      <c r="CC1224" t="s">
        <v>177</v>
      </c>
      <c r="CD1224">
        <v>3610</v>
      </c>
      <c r="CE1224" t="s">
        <v>88</v>
      </c>
      <c r="CF1224" s="3">
        <v>43783</v>
      </c>
      <c r="CI1224">
        <v>1</v>
      </c>
      <c r="CJ1224">
        <v>1</v>
      </c>
      <c r="CK1224">
        <v>21</v>
      </c>
      <c r="CL1224" t="s">
        <v>89</v>
      </c>
    </row>
    <row r="1225" spans="1:90">
      <c r="A1225" t="s">
        <v>72</v>
      </c>
      <c r="B1225" t="s">
        <v>73</v>
      </c>
      <c r="C1225" t="s">
        <v>74</v>
      </c>
      <c r="E1225" t="str">
        <f>"FES1162722567"</f>
        <v>FES1162722567</v>
      </c>
      <c r="F1225" s="3">
        <v>43781</v>
      </c>
      <c r="G1225">
        <v>202005</v>
      </c>
      <c r="H1225" t="s">
        <v>75</v>
      </c>
      <c r="I1225" t="s">
        <v>76</v>
      </c>
      <c r="J1225" t="s">
        <v>77</v>
      </c>
      <c r="K1225" t="s">
        <v>78</v>
      </c>
      <c r="L1225" t="s">
        <v>90</v>
      </c>
      <c r="M1225" t="s">
        <v>91</v>
      </c>
      <c r="N1225" t="s">
        <v>190</v>
      </c>
      <c r="O1225" t="s">
        <v>82</v>
      </c>
      <c r="P1225" t="str">
        <f>"2170716802                    "</f>
        <v xml:space="preserve">2170716802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8.58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 s="4">
        <v>50.45</v>
      </c>
      <c r="BM1225" s="4">
        <v>7.57</v>
      </c>
      <c r="BN1225" s="4">
        <v>58.02</v>
      </c>
      <c r="BO1225" s="4">
        <v>58.02</v>
      </c>
      <c r="BQ1225" t="s">
        <v>109</v>
      </c>
      <c r="BR1225" t="s">
        <v>84</v>
      </c>
      <c r="BS1225" s="3">
        <v>43782</v>
      </c>
      <c r="BT1225" s="5">
        <v>0.4375</v>
      </c>
      <c r="BU1225" t="s">
        <v>191</v>
      </c>
      <c r="BV1225" t="s">
        <v>86</v>
      </c>
      <c r="BY1225">
        <v>1200</v>
      </c>
      <c r="CA1225" t="s">
        <v>213</v>
      </c>
      <c r="CC1225" t="s">
        <v>91</v>
      </c>
      <c r="CD1225">
        <v>7441</v>
      </c>
      <c r="CE1225" t="s">
        <v>147</v>
      </c>
      <c r="CF1225" s="3">
        <v>43783</v>
      </c>
      <c r="CI1225">
        <v>1</v>
      </c>
      <c r="CJ1225">
        <v>1</v>
      </c>
      <c r="CK1225">
        <v>21</v>
      </c>
      <c r="CL1225" t="s">
        <v>89</v>
      </c>
    </row>
    <row r="1226" spans="1:90">
      <c r="A1226" t="s">
        <v>72</v>
      </c>
      <c r="B1226" t="s">
        <v>73</v>
      </c>
      <c r="C1226" t="s">
        <v>74</v>
      </c>
      <c r="E1226" t="str">
        <f>"FES1162722561"</f>
        <v>FES1162722561</v>
      </c>
      <c r="F1226" s="3">
        <v>43781</v>
      </c>
      <c r="G1226">
        <v>202005</v>
      </c>
      <c r="H1226" t="s">
        <v>75</v>
      </c>
      <c r="I1226" t="s">
        <v>76</v>
      </c>
      <c r="J1226" t="s">
        <v>77</v>
      </c>
      <c r="K1226" t="s">
        <v>78</v>
      </c>
      <c r="L1226" t="s">
        <v>75</v>
      </c>
      <c r="M1226" t="s">
        <v>76</v>
      </c>
      <c r="N1226" t="s">
        <v>1429</v>
      </c>
      <c r="O1226" t="s">
        <v>82</v>
      </c>
      <c r="P1226" t="str">
        <f>"21707196796                   "</f>
        <v xml:space="preserve">21707196796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6.71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 s="4">
        <v>39.42</v>
      </c>
      <c r="BM1226" s="4">
        <v>5.91</v>
      </c>
      <c r="BN1226" s="4">
        <v>45.33</v>
      </c>
      <c r="BO1226" s="4">
        <v>45.33</v>
      </c>
      <c r="BQ1226" t="s">
        <v>109</v>
      </c>
      <c r="BR1226" t="s">
        <v>84</v>
      </c>
      <c r="BS1226" s="3">
        <v>43782</v>
      </c>
      <c r="BT1226" s="5">
        <v>0.38055555555555554</v>
      </c>
      <c r="BU1226" t="s">
        <v>1760</v>
      </c>
      <c r="BV1226" t="s">
        <v>86</v>
      </c>
      <c r="BY1226">
        <v>1200</v>
      </c>
      <c r="CA1226" t="s">
        <v>238</v>
      </c>
      <c r="CC1226" t="s">
        <v>76</v>
      </c>
      <c r="CD1226">
        <v>1665</v>
      </c>
      <c r="CE1226" t="s">
        <v>147</v>
      </c>
      <c r="CF1226" s="3">
        <v>43783</v>
      </c>
      <c r="CI1226">
        <v>1</v>
      </c>
      <c r="CJ1226">
        <v>1</v>
      </c>
      <c r="CK1226">
        <v>22</v>
      </c>
      <c r="CL1226" t="s">
        <v>89</v>
      </c>
    </row>
    <row r="1227" spans="1:90">
      <c r="A1227" t="s">
        <v>72</v>
      </c>
      <c r="B1227" t="s">
        <v>73</v>
      </c>
      <c r="C1227" t="s">
        <v>74</v>
      </c>
      <c r="E1227" t="str">
        <f>"FES1162722433"</f>
        <v>FES1162722433</v>
      </c>
      <c r="F1227" s="3">
        <v>43781</v>
      </c>
      <c r="G1227">
        <v>202005</v>
      </c>
      <c r="H1227" t="s">
        <v>75</v>
      </c>
      <c r="I1227" t="s">
        <v>76</v>
      </c>
      <c r="J1227" t="s">
        <v>77</v>
      </c>
      <c r="K1227" t="s">
        <v>78</v>
      </c>
      <c r="L1227" t="s">
        <v>133</v>
      </c>
      <c r="M1227" t="s">
        <v>134</v>
      </c>
      <c r="N1227" t="s">
        <v>310</v>
      </c>
      <c r="O1227" t="s">
        <v>82</v>
      </c>
      <c r="P1227" t="str">
        <f>"2170716300                    "</f>
        <v xml:space="preserve">2170716300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8.58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1.7</v>
      </c>
      <c r="BJ1227">
        <v>0.9</v>
      </c>
      <c r="BK1227">
        <v>2</v>
      </c>
      <c r="BL1227" s="4">
        <v>50.45</v>
      </c>
      <c r="BM1227" s="4">
        <v>7.57</v>
      </c>
      <c r="BN1227" s="4">
        <v>58.02</v>
      </c>
      <c r="BO1227" s="4">
        <v>58.02</v>
      </c>
      <c r="BQ1227" t="s">
        <v>121</v>
      </c>
      <c r="BR1227" t="s">
        <v>84</v>
      </c>
      <c r="BS1227" s="3">
        <v>43782</v>
      </c>
      <c r="BT1227" s="5">
        <v>0.43402777777777773</v>
      </c>
      <c r="BU1227" t="s">
        <v>1761</v>
      </c>
      <c r="BV1227" t="s">
        <v>86</v>
      </c>
      <c r="BY1227">
        <v>4687.03</v>
      </c>
      <c r="CA1227" t="s">
        <v>137</v>
      </c>
      <c r="CC1227" t="s">
        <v>134</v>
      </c>
      <c r="CD1227">
        <v>5201</v>
      </c>
      <c r="CE1227" t="s">
        <v>88</v>
      </c>
      <c r="CF1227" s="3">
        <v>43784</v>
      </c>
      <c r="CI1227">
        <v>1</v>
      </c>
      <c r="CJ1227">
        <v>1</v>
      </c>
      <c r="CK1227">
        <v>21</v>
      </c>
      <c r="CL1227" t="s">
        <v>89</v>
      </c>
    </row>
    <row r="1228" spans="1:90">
      <c r="A1228" t="s">
        <v>72</v>
      </c>
      <c r="B1228" t="s">
        <v>73</v>
      </c>
      <c r="C1228" t="s">
        <v>74</v>
      </c>
      <c r="E1228" t="str">
        <f>"FES1162722566"</f>
        <v>FES1162722566</v>
      </c>
      <c r="F1228" s="3">
        <v>43781</v>
      </c>
      <c r="G1228">
        <v>202005</v>
      </c>
      <c r="H1228" t="s">
        <v>75</v>
      </c>
      <c r="I1228" t="s">
        <v>76</v>
      </c>
      <c r="J1228" t="s">
        <v>77</v>
      </c>
      <c r="K1228" t="s">
        <v>78</v>
      </c>
      <c r="L1228" t="s">
        <v>90</v>
      </c>
      <c r="M1228" t="s">
        <v>91</v>
      </c>
      <c r="N1228" t="s">
        <v>1003</v>
      </c>
      <c r="O1228" t="s">
        <v>82</v>
      </c>
      <c r="P1228" t="str">
        <f>"2170716801                    "</f>
        <v xml:space="preserve">2170716801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8.58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 s="4">
        <v>50.45</v>
      </c>
      <c r="BM1228" s="4">
        <v>7.57</v>
      </c>
      <c r="BN1228" s="4">
        <v>58.02</v>
      </c>
      <c r="BO1228" s="4">
        <v>58.02</v>
      </c>
      <c r="BQ1228" t="s">
        <v>187</v>
      </c>
      <c r="BR1228" t="s">
        <v>84</v>
      </c>
      <c r="BS1228" s="3">
        <v>43782</v>
      </c>
      <c r="BT1228" s="5">
        <v>0.43611111111111112</v>
      </c>
      <c r="BU1228" t="s">
        <v>1762</v>
      </c>
      <c r="BV1228" t="s">
        <v>86</v>
      </c>
      <c r="BY1228">
        <v>1200</v>
      </c>
      <c r="CA1228" t="s">
        <v>515</v>
      </c>
      <c r="CC1228" t="s">
        <v>91</v>
      </c>
      <c r="CD1228">
        <v>7500</v>
      </c>
      <c r="CE1228" t="s">
        <v>147</v>
      </c>
      <c r="CF1228" s="3">
        <v>43783</v>
      </c>
      <c r="CI1228">
        <v>1</v>
      </c>
      <c r="CJ1228">
        <v>1</v>
      </c>
      <c r="CK1228">
        <v>21</v>
      </c>
      <c r="CL1228" t="s">
        <v>89</v>
      </c>
    </row>
    <row r="1229" spans="1:90">
      <c r="A1229" t="s">
        <v>72</v>
      </c>
      <c r="B1229" t="s">
        <v>73</v>
      </c>
      <c r="C1229" t="s">
        <v>74</v>
      </c>
      <c r="E1229" t="str">
        <f>"FES1162722626"</f>
        <v>FES1162722626</v>
      </c>
      <c r="F1229" s="3">
        <v>43781</v>
      </c>
      <c r="G1229">
        <v>202005</v>
      </c>
      <c r="H1229" t="s">
        <v>75</v>
      </c>
      <c r="I1229" t="s">
        <v>76</v>
      </c>
      <c r="J1229" t="s">
        <v>77</v>
      </c>
      <c r="K1229" t="s">
        <v>78</v>
      </c>
      <c r="L1229" t="s">
        <v>1204</v>
      </c>
      <c r="M1229" t="s">
        <v>1205</v>
      </c>
      <c r="N1229" t="s">
        <v>1206</v>
      </c>
      <c r="O1229" t="s">
        <v>82</v>
      </c>
      <c r="P1229" t="str">
        <f>"2170715219                    "</f>
        <v xml:space="preserve">2170715219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8.58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0.9</v>
      </c>
      <c r="BJ1229">
        <v>0.8</v>
      </c>
      <c r="BK1229">
        <v>1</v>
      </c>
      <c r="BL1229" s="4">
        <v>50.45</v>
      </c>
      <c r="BM1229" s="4">
        <v>7.57</v>
      </c>
      <c r="BN1229" s="4">
        <v>58.02</v>
      </c>
      <c r="BO1229" s="4">
        <v>58.02</v>
      </c>
      <c r="BQ1229" t="s">
        <v>109</v>
      </c>
      <c r="BR1229" t="s">
        <v>84</v>
      </c>
      <c r="BS1229" s="3">
        <v>43782</v>
      </c>
      <c r="BT1229" s="5">
        <v>0.61111111111111105</v>
      </c>
      <c r="BU1229" t="s">
        <v>1685</v>
      </c>
      <c r="BV1229" t="s">
        <v>86</v>
      </c>
      <c r="BY1229">
        <v>4073.52</v>
      </c>
      <c r="CA1229" t="s">
        <v>435</v>
      </c>
      <c r="CC1229" t="s">
        <v>1205</v>
      </c>
      <c r="CD1229">
        <v>3760</v>
      </c>
      <c r="CE1229" t="s">
        <v>88</v>
      </c>
      <c r="CF1229" s="3">
        <v>43783</v>
      </c>
      <c r="CI1229">
        <v>4</v>
      </c>
      <c r="CJ1229">
        <v>1</v>
      </c>
      <c r="CK1229">
        <v>21</v>
      </c>
      <c r="CL1229" t="s">
        <v>89</v>
      </c>
    </row>
    <row r="1230" spans="1:90">
      <c r="A1230" t="s">
        <v>72</v>
      </c>
      <c r="B1230" t="s">
        <v>73</v>
      </c>
      <c r="C1230" t="s">
        <v>74</v>
      </c>
      <c r="E1230" t="str">
        <f>"FES1162722504"</f>
        <v>FES1162722504</v>
      </c>
      <c r="F1230" s="3">
        <v>43781</v>
      </c>
      <c r="G1230">
        <v>202005</v>
      </c>
      <c r="H1230" t="s">
        <v>75</v>
      </c>
      <c r="I1230" t="s">
        <v>76</v>
      </c>
      <c r="J1230" t="s">
        <v>77</v>
      </c>
      <c r="K1230" t="s">
        <v>78</v>
      </c>
      <c r="L1230" t="s">
        <v>106</v>
      </c>
      <c r="M1230" t="s">
        <v>107</v>
      </c>
      <c r="N1230" t="s">
        <v>1401</v>
      </c>
      <c r="O1230" t="s">
        <v>82</v>
      </c>
      <c r="P1230" t="str">
        <f>"2170716721                    "</f>
        <v xml:space="preserve">2170716721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8.58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 s="4">
        <v>50.45</v>
      </c>
      <c r="BM1230" s="4">
        <v>7.57</v>
      </c>
      <c r="BN1230" s="4">
        <v>58.02</v>
      </c>
      <c r="BO1230" s="4">
        <v>58.02</v>
      </c>
      <c r="BQ1230" t="s">
        <v>109</v>
      </c>
      <c r="BR1230" t="s">
        <v>84</v>
      </c>
      <c r="BS1230" s="3">
        <v>43782</v>
      </c>
      <c r="BT1230" s="5">
        <v>0.41666666666666669</v>
      </c>
      <c r="BU1230" t="s">
        <v>1402</v>
      </c>
      <c r="BV1230" t="s">
        <v>86</v>
      </c>
      <c r="BY1230">
        <v>1200</v>
      </c>
      <c r="CA1230" t="s">
        <v>87</v>
      </c>
      <c r="CC1230" t="s">
        <v>107</v>
      </c>
      <c r="CD1230">
        <v>6001</v>
      </c>
      <c r="CE1230" t="s">
        <v>147</v>
      </c>
      <c r="CF1230" s="3">
        <v>43783</v>
      </c>
      <c r="CI1230">
        <v>1</v>
      </c>
      <c r="CJ1230">
        <v>1</v>
      </c>
      <c r="CK1230">
        <v>21</v>
      </c>
      <c r="CL1230" t="s">
        <v>89</v>
      </c>
    </row>
    <row r="1231" spans="1:90">
      <c r="A1231" t="s">
        <v>72</v>
      </c>
      <c r="B1231" t="s">
        <v>73</v>
      </c>
      <c r="C1231" t="s">
        <v>74</v>
      </c>
      <c r="E1231" t="str">
        <f>"FES1162722483"</f>
        <v>FES1162722483</v>
      </c>
      <c r="F1231" s="3">
        <v>43781</v>
      </c>
      <c r="G1231">
        <v>202005</v>
      </c>
      <c r="H1231" t="s">
        <v>75</v>
      </c>
      <c r="I1231" t="s">
        <v>76</v>
      </c>
      <c r="J1231" t="s">
        <v>77</v>
      </c>
      <c r="K1231" t="s">
        <v>78</v>
      </c>
      <c r="L1231" t="s">
        <v>101</v>
      </c>
      <c r="M1231" t="s">
        <v>102</v>
      </c>
      <c r="N1231" t="s">
        <v>1763</v>
      </c>
      <c r="O1231" t="s">
        <v>82</v>
      </c>
      <c r="P1231" t="str">
        <f>"2170716690                    "</f>
        <v xml:space="preserve">2170716690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8.58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 s="4">
        <v>50.45</v>
      </c>
      <c r="BM1231" s="4">
        <v>7.57</v>
      </c>
      <c r="BN1231" s="4">
        <v>58.02</v>
      </c>
      <c r="BO1231" s="4">
        <v>58.02</v>
      </c>
      <c r="BR1231" t="s">
        <v>84</v>
      </c>
      <c r="BS1231" s="3">
        <v>43782</v>
      </c>
      <c r="BT1231" s="5">
        <v>0.45069444444444445</v>
      </c>
      <c r="BU1231" t="s">
        <v>1764</v>
      </c>
      <c r="BV1231" t="s">
        <v>89</v>
      </c>
      <c r="BW1231" t="s">
        <v>1691</v>
      </c>
      <c r="BX1231" t="s">
        <v>474</v>
      </c>
      <c r="BY1231">
        <v>1200</v>
      </c>
      <c r="CA1231" t="s">
        <v>183</v>
      </c>
      <c r="CC1231" t="s">
        <v>102</v>
      </c>
      <c r="CD1231">
        <v>200</v>
      </c>
      <c r="CE1231" t="s">
        <v>147</v>
      </c>
      <c r="CF1231" s="3">
        <v>43783</v>
      </c>
      <c r="CI1231">
        <v>1</v>
      </c>
      <c r="CJ1231">
        <v>1</v>
      </c>
      <c r="CK1231">
        <v>21</v>
      </c>
      <c r="CL1231" t="s">
        <v>89</v>
      </c>
    </row>
    <row r="1232" spans="1:90">
      <c r="A1232" t="s">
        <v>72</v>
      </c>
      <c r="B1232" t="s">
        <v>73</v>
      </c>
      <c r="C1232" t="s">
        <v>74</v>
      </c>
      <c r="E1232" t="str">
        <f>"FES1162722572"</f>
        <v>FES1162722572</v>
      </c>
      <c r="F1232" s="3">
        <v>43781</v>
      </c>
      <c r="G1232">
        <v>202005</v>
      </c>
      <c r="H1232" t="s">
        <v>75</v>
      </c>
      <c r="I1232" t="s">
        <v>76</v>
      </c>
      <c r="J1232" t="s">
        <v>77</v>
      </c>
      <c r="K1232" t="s">
        <v>78</v>
      </c>
      <c r="L1232" t="s">
        <v>124</v>
      </c>
      <c r="M1232" t="s">
        <v>125</v>
      </c>
      <c r="N1232" t="s">
        <v>218</v>
      </c>
      <c r="O1232" t="s">
        <v>82</v>
      </c>
      <c r="P1232" t="str">
        <f>"2170716808                    "</f>
        <v xml:space="preserve">2170716808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6.71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 s="4">
        <v>39.42</v>
      </c>
      <c r="BM1232" s="4">
        <v>5.91</v>
      </c>
      <c r="BN1232" s="4">
        <v>45.33</v>
      </c>
      <c r="BO1232" s="4">
        <v>45.33</v>
      </c>
      <c r="BQ1232" t="s">
        <v>121</v>
      </c>
      <c r="BR1232" t="s">
        <v>84</v>
      </c>
      <c r="BS1232" s="3">
        <v>43782</v>
      </c>
      <c r="BT1232" s="5">
        <v>0.36874999999999997</v>
      </c>
      <c r="BU1232" t="s">
        <v>1659</v>
      </c>
      <c r="BV1232" t="s">
        <v>86</v>
      </c>
      <c r="BY1232">
        <v>1200</v>
      </c>
      <c r="CC1232" t="s">
        <v>125</v>
      </c>
      <c r="CD1232">
        <v>2094</v>
      </c>
      <c r="CE1232" t="s">
        <v>147</v>
      </c>
      <c r="CF1232" s="3">
        <v>43784</v>
      </c>
      <c r="CI1232">
        <v>1</v>
      </c>
      <c r="CJ1232">
        <v>1</v>
      </c>
      <c r="CK1232">
        <v>22</v>
      </c>
      <c r="CL1232" t="s">
        <v>89</v>
      </c>
    </row>
    <row r="1233" spans="1:90">
      <c r="A1233" t="s">
        <v>72</v>
      </c>
      <c r="B1233" t="s">
        <v>73</v>
      </c>
      <c r="C1233" t="s">
        <v>74</v>
      </c>
      <c r="E1233" t="str">
        <f>"FES1162722503"</f>
        <v>FES1162722503</v>
      </c>
      <c r="F1233" s="3">
        <v>43781</v>
      </c>
      <c r="G1233">
        <v>202005</v>
      </c>
      <c r="H1233" t="s">
        <v>75</v>
      </c>
      <c r="I1233" t="s">
        <v>76</v>
      </c>
      <c r="J1233" t="s">
        <v>77</v>
      </c>
      <c r="K1233" t="s">
        <v>78</v>
      </c>
      <c r="L1233" t="s">
        <v>133</v>
      </c>
      <c r="M1233" t="s">
        <v>134</v>
      </c>
      <c r="N1233" t="s">
        <v>1765</v>
      </c>
      <c r="O1233" t="s">
        <v>82</v>
      </c>
      <c r="P1233" t="str">
        <f>"2170716719                    "</f>
        <v xml:space="preserve">2170716719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8.58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 s="4">
        <v>50.45</v>
      </c>
      <c r="BM1233" s="4">
        <v>7.57</v>
      </c>
      <c r="BN1233" s="4">
        <v>58.02</v>
      </c>
      <c r="BO1233" s="4">
        <v>58.02</v>
      </c>
      <c r="BQ1233" t="s">
        <v>109</v>
      </c>
      <c r="BR1233" t="s">
        <v>84</v>
      </c>
      <c r="BS1233" s="3">
        <v>43782</v>
      </c>
      <c r="BT1233" s="5">
        <v>0.4375</v>
      </c>
      <c r="BU1233" t="s">
        <v>1766</v>
      </c>
      <c r="BV1233" t="s">
        <v>86</v>
      </c>
      <c r="BY1233">
        <v>1200</v>
      </c>
      <c r="CA1233" t="s">
        <v>698</v>
      </c>
      <c r="CC1233" t="s">
        <v>134</v>
      </c>
      <c r="CD1233">
        <v>5201</v>
      </c>
      <c r="CE1233" t="s">
        <v>147</v>
      </c>
      <c r="CF1233" s="3">
        <v>43784</v>
      </c>
      <c r="CI1233">
        <v>1</v>
      </c>
      <c r="CJ1233">
        <v>1</v>
      </c>
      <c r="CK1233">
        <v>21</v>
      </c>
      <c r="CL1233" t="s">
        <v>89</v>
      </c>
    </row>
    <row r="1234" spans="1:90">
      <c r="A1234" t="s">
        <v>72</v>
      </c>
      <c r="B1234" t="s">
        <v>73</v>
      </c>
      <c r="C1234" t="s">
        <v>74</v>
      </c>
      <c r="E1234" t="str">
        <f>"FES1162722584"</f>
        <v>FES1162722584</v>
      </c>
      <c r="F1234" s="3">
        <v>43781</v>
      </c>
      <c r="G1234">
        <v>202005</v>
      </c>
      <c r="H1234" t="s">
        <v>75</v>
      </c>
      <c r="I1234" t="s">
        <v>76</v>
      </c>
      <c r="J1234" t="s">
        <v>77</v>
      </c>
      <c r="K1234" t="s">
        <v>78</v>
      </c>
      <c r="L1234" t="s">
        <v>106</v>
      </c>
      <c r="M1234" t="s">
        <v>107</v>
      </c>
      <c r="N1234" t="s">
        <v>301</v>
      </c>
      <c r="O1234" t="s">
        <v>82</v>
      </c>
      <c r="P1234" t="str">
        <f>"2170716825                    "</f>
        <v xml:space="preserve">2170716825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8.58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 s="4">
        <v>50.45</v>
      </c>
      <c r="BM1234" s="4">
        <v>7.57</v>
      </c>
      <c r="BN1234" s="4">
        <v>58.02</v>
      </c>
      <c r="BO1234" s="4">
        <v>58.02</v>
      </c>
      <c r="BQ1234" t="s">
        <v>302</v>
      </c>
      <c r="BR1234" t="s">
        <v>84</v>
      </c>
      <c r="BS1234" s="3">
        <v>43782</v>
      </c>
      <c r="BT1234" s="5">
        <v>0.3520833333333333</v>
      </c>
      <c r="BU1234" t="s">
        <v>534</v>
      </c>
      <c r="BV1234" t="s">
        <v>86</v>
      </c>
      <c r="BY1234">
        <v>1200</v>
      </c>
      <c r="CA1234" t="s">
        <v>244</v>
      </c>
      <c r="CC1234" t="s">
        <v>107</v>
      </c>
      <c r="CD1234">
        <v>6001</v>
      </c>
      <c r="CE1234" t="s">
        <v>147</v>
      </c>
      <c r="CF1234" s="3">
        <v>43783</v>
      </c>
      <c r="CI1234">
        <v>1</v>
      </c>
      <c r="CJ1234">
        <v>1</v>
      </c>
      <c r="CK1234">
        <v>21</v>
      </c>
      <c r="CL1234" t="s">
        <v>89</v>
      </c>
    </row>
    <row r="1235" spans="1:90">
      <c r="A1235" t="s">
        <v>72</v>
      </c>
      <c r="B1235" t="s">
        <v>73</v>
      </c>
      <c r="C1235" t="s">
        <v>74</v>
      </c>
      <c r="E1235" t="str">
        <f>"FES1162722596"</f>
        <v>FES1162722596</v>
      </c>
      <c r="F1235" s="3">
        <v>43781</v>
      </c>
      <c r="G1235">
        <v>202005</v>
      </c>
      <c r="H1235" t="s">
        <v>75</v>
      </c>
      <c r="I1235" t="s">
        <v>76</v>
      </c>
      <c r="J1235" t="s">
        <v>77</v>
      </c>
      <c r="K1235" t="s">
        <v>78</v>
      </c>
      <c r="L1235" t="s">
        <v>202</v>
      </c>
      <c r="M1235" t="s">
        <v>203</v>
      </c>
      <c r="N1235" t="s">
        <v>521</v>
      </c>
      <c r="O1235" t="s">
        <v>82</v>
      </c>
      <c r="P1235" t="str">
        <f>"2170716841                    "</f>
        <v xml:space="preserve">2170716841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6.71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 s="4">
        <v>39.42</v>
      </c>
      <c r="BM1235" s="4">
        <v>5.91</v>
      </c>
      <c r="BN1235" s="4">
        <v>45.33</v>
      </c>
      <c r="BO1235" s="4">
        <v>45.33</v>
      </c>
      <c r="BQ1235" t="s">
        <v>109</v>
      </c>
      <c r="BR1235" t="s">
        <v>84</v>
      </c>
      <c r="BS1235" s="3">
        <v>43782</v>
      </c>
      <c r="BT1235" s="5">
        <v>0.40972222222222227</v>
      </c>
      <c r="BU1235" t="s">
        <v>1767</v>
      </c>
      <c r="BV1235" t="s">
        <v>86</v>
      </c>
      <c r="BY1235">
        <v>1200</v>
      </c>
      <c r="CA1235" t="s">
        <v>123</v>
      </c>
      <c r="CC1235" t="s">
        <v>203</v>
      </c>
      <c r="CD1235">
        <v>1428</v>
      </c>
      <c r="CE1235" t="s">
        <v>147</v>
      </c>
      <c r="CF1235" s="3">
        <v>43784</v>
      </c>
      <c r="CI1235">
        <v>1</v>
      </c>
      <c r="CJ1235">
        <v>1</v>
      </c>
      <c r="CK1235">
        <v>22</v>
      </c>
      <c r="CL1235" t="s">
        <v>89</v>
      </c>
    </row>
    <row r="1236" spans="1:90">
      <c r="A1236" t="s">
        <v>72</v>
      </c>
      <c r="B1236" t="s">
        <v>73</v>
      </c>
      <c r="C1236" t="s">
        <v>74</v>
      </c>
      <c r="E1236" t="str">
        <f>"FES1162722511"</f>
        <v>FES1162722511</v>
      </c>
      <c r="F1236" s="3">
        <v>43781</v>
      </c>
      <c r="G1236">
        <v>202005</v>
      </c>
      <c r="H1236" t="s">
        <v>75</v>
      </c>
      <c r="I1236" t="s">
        <v>76</v>
      </c>
      <c r="J1236" t="s">
        <v>77</v>
      </c>
      <c r="K1236" t="s">
        <v>78</v>
      </c>
      <c r="L1236" t="s">
        <v>1768</v>
      </c>
      <c r="M1236" t="s">
        <v>1769</v>
      </c>
      <c r="N1236" t="s">
        <v>1770</v>
      </c>
      <c r="O1236" t="s">
        <v>82</v>
      </c>
      <c r="P1236" t="str">
        <f>"2170716731                    "</f>
        <v xml:space="preserve">2170716731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39.159999999999997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5</v>
      </c>
      <c r="BJ1236">
        <v>2.7</v>
      </c>
      <c r="BK1236">
        <v>5</v>
      </c>
      <c r="BL1236" s="4">
        <v>230.2</v>
      </c>
      <c r="BM1236" s="4">
        <v>34.53</v>
      </c>
      <c r="BN1236" s="4">
        <v>264.73</v>
      </c>
      <c r="BO1236" s="4">
        <v>264.73</v>
      </c>
      <c r="BQ1236" t="s">
        <v>121</v>
      </c>
      <c r="BR1236" t="s">
        <v>84</v>
      </c>
      <c r="BS1236" s="3">
        <v>43783</v>
      </c>
      <c r="BT1236" s="5">
        <v>0.58333333333333337</v>
      </c>
      <c r="BU1236" t="s">
        <v>1771</v>
      </c>
      <c r="BV1236" t="s">
        <v>86</v>
      </c>
      <c r="BY1236">
        <v>13610.02</v>
      </c>
      <c r="CC1236" t="s">
        <v>1769</v>
      </c>
      <c r="CD1236">
        <v>6740</v>
      </c>
      <c r="CE1236" t="s">
        <v>88</v>
      </c>
      <c r="CF1236" s="3">
        <v>43790</v>
      </c>
      <c r="CI1236">
        <v>3</v>
      </c>
      <c r="CJ1236">
        <v>2</v>
      </c>
      <c r="CK1236">
        <v>23</v>
      </c>
      <c r="CL1236" t="s">
        <v>89</v>
      </c>
    </row>
    <row r="1237" spans="1:90">
      <c r="A1237" t="s">
        <v>72</v>
      </c>
      <c r="B1237" t="s">
        <v>73</v>
      </c>
      <c r="C1237" t="s">
        <v>74</v>
      </c>
      <c r="E1237" t="str">
        <f>"FES1162722537"</f>
        <v>FES1162722537</v>
      </c>
      <c r="F1237" s="3">
        <v>43781</v>
      </c>
      <c r="G1237">
        <v>202005</v>
      </c>
      <c r="H1237" t="s">
        <v>75</v>
      </c>
      <c r="I1237" t="s">
        <v>76</v>
      </c>
      <c r="J1237" t="s">
        <v>77</v>
      </c>
      <c r="K1237" t="s">
        <v>78</v>
      </c>
      <c r="L1237" t="s">
        <v>339</v>
      </c>
      <c r="M1237" t="s">
        <v>340</v>
      </c>
      <c r="N1237" t="s">
        <v>718</v>
      </c>
      <c r="O1237" t="s">
        <v>82</v>
      </c>
      <c r="P1237" t="str">
        <f>"2170716769                    "</f>
        <v xml:space="preserve">2170716769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8.58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0.2</v>
      </c>
      <c r="BJ1237">
        <v>1.4</v>
      </c>
      <c r="BK1237">
        <v>1.5</v>
      </c>
      <c r="BL1237" s="4">
        <v>50.45</v>
      </c>
      <c r="BM1237" s="4">
        <v>7.57</v>
      </c>
      <c r="BN1237" s="4">
        <v>58.02</v>
      </c>
      <c r="BO1237" s="4">
        <v>58.02</v>
      </c>
      <c r="BR1237" t="s">
        <v>84</v>
      </c>
      <c r="BS1237" s="3">
        <v>43782</v>
      </c>
      <c r="BT1237" s="5">
        <v>0.43055555555555558</v>
      </c>
      <c r="BU1237" t="s">
        <v>1132</v>
      </c>
      <c r="BV1237" t="s">
        <v>86</v>
      </c>
      <c r="BY1237">
        <v>6780.15</v>
      </c>
      <c r="CA1237" t="s">
        <v>720</v>
      </c>
      <c r="CC1237" t="s">
        <v>340</v>
      </c>
      <c r="CD1237">
        <v>157</v>
      </c>
      <c r="CE1237" t="s">
        <v>147</v>
      </c>
      <c r="CF1237" s="3">
        <v>43783</v>
      </c>
      <c r="CI1237">
        <v>1</v>
      </c>
      <c r="CJ1237">
        <v>1</v>
      </c>
      <c r="CK1237">
        <v>21</v>
      </c>
      <c r="CL1237" t="s">
        <v>89</v>
      </c>
    </row>
    <row r="1238" spans="1:90">
      <c r="A1238" t="s">
        <v>72</v>
      </c>
      <c r="B1238" t="s">
        <v>73</v>
      </c>
      <c r="C1238" t="s">
        <v>74</v>
      </c>
      <c r="E1238" t="str">
        <f>"FES1162722603"</f>
        <v>FES1162722603</v>
      </c>
      <c r="F1238" s="3">
        <v>43781</v>
      </c>
      <c r="G1238">
        <v>202005</v>
      </c>
      <c r="H1238" t="s">
        <v>75</v>
      </c>
      <c r="I1238" t="s">
        <v>76</v>
      </c>
      <c r="J1238" t="s">
        <v>77</v>
      </c>
      <c r="K1238" t="s">
        <v>78</v>
      </c>
      <c r="L1238" t="s">
        <v>691</v>
      </c>
      <c r="M1238" t="s">
        <v>692</v>
      </c>
      <c r="N1238" t="s">
        <v>1772</v>
      </c>
      <c r="O1238" t="s">
        <v>82</v>
      </c>
      <c r="P1238" t="str">
        <f>"2170716852                    "</f>
        <v xml:space="preserve">2170716852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6.71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 s="4">
        <v>39.42</v>
      </c>
      <c r="BM1238" s="4">
        <v>5.91</v>
      </c>
      <c r="BN1238" s="4">
        <v>45.33</v>
      </c>
      <c r="BO1238" s="4">
        <v>45.33</v>
      </c>
      <c r="BQ1238" t="s">
        <v>1773</v>
      </c>
      <c r="BR1238" t="s">
        <v>84</v>
      </c>
      <c r="BS1238" s="3">
        <v>43782</v>
      </c>
      <c r="BT1238" s="5">
        <v>0.375</v>
      </c>
      <c r="BU1238" t="s">
        <v>694</v>
      </c>
      <c r="BV1238" t="s">
        <v>86</v>
      </c>
      <c r="BY1238">
        <v>1200</v>
      </c>
      <c r="CC1238" t="s">
        <v>692</v>
      </c>
      <c r="CD1238">
        <v>1559</v>
      </c>
      <c r="CE1238" t="s">
        <v>147</v>
      </c>
      <c r="CF1238" s="3">
        <v>43783</v>
      </c>
      <c r="CI1238">
        <v>1</v>
      </c>
      <c r="CJ1238">
        <v>1</v>
      </c>
      <c r="CK1238">
        <v>22</v>
      </c>
      <c r="CL1238" t="s">
        <v>89</v>
      </c>
    </row>
    <row r="1239" spans="1:90">
      <c r="A1239" t="s">
        <v>72</v>
      </c>
      <c r="B1239" t="s">
        <v>73</v>
      </c>
      <c r="C1239" t="s">
        <v>74</v>
      </c>
      <c r="E1239" t="str">
        <f>"FES1162722521"</f>
        <v>FES1162722521</v>
      </c>
      <c r="F1239" s="3">
        <v>43781</v>
      </c>
      <c r="G1239">
        <v>202005</v>
      </c>
      <c r="H1239" t="s">
        <v>75</v>
      </c>
      <c r="I1239" t="s">
        <v>76</v>
      </c>
      <c r="J1239" t="s">
        <v>77</v>
      </c>
      <c r="K1239" t="s">
        <v>78</v>
      </c>
      <c r="L1239" t="s">
        <v>172</v>
      </c>
      <c r="M1239" t="s">
        <v>173</v>
      </c>
      <c r="N1239" t="s">
        <v>330</v>
      </c>
      <c r="O1239" t="s">
        <v>82</v>
      </c>
      <c r="P1239" t="str">
        <f>"217071674                     "</f>
        <v xml:space="preserve">217071674 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12.07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 s="4">
        <v>70.95</v>
      </c>
      <c r="BM1239" s="4">
        <v>10.64</v>
      </c>
      <c r="BN1239" s="4">
        <v>81.59</v>
      </c>
      <c r="BO1239" s="4">
        <v>81.59</v>
      </c>
      <c r="BQ1239" t="s">
        <v>109</v>
      </c>
      <c r="BR1239" t="s">
        <v>84</v>
      </c>
      <c r="BS1239" s="3">
        <v>43782</v>
      </c>
      <c r="BT1239" s="5">
        <v>0.36249999999999999</v>
      </c>
      <c r="BU1239" t="s">
        <v>1774</v>
      </c>
      <c r="BV1239" t="s">
        <v>86</v>
      </c>
      <c r="BY1239">
        <v>1200</v>
      </c>
      <c r="CC1239" t="s">
        <v>173</v>
      </c>
      <c r="CD1239">
        <v>1754</v>
      </c>
      <c r="CE1239" t="s">
        <v>147</v>
      </c>
      <c r="CF1239" s="3">
        <v>43783</v>
      </c>
      <c r="CI1239">
        <v>1</v>
      </c>
      <c r="CJ1239">
        <v>1</v>
      </c>
      <c r="CK1239">
        <v>24</v>
      </c>
      <c r="CL1239" t="s">
        <v>89</v>
      </c>
    </row>
    <row r="1240" spans="1:90">
      <c r="A1240" t="s">
        <v>72</v>
      </c>
      <c r="B1240" t="s">
        <v>73</v>
      </c>
      <c r="C1240" t="s">
        <v>74</v>
      </c>
      <c r="E1240" t="str">
        <f>"FES1162722464"</f>
        <v>FES1162722464</v>
      </c>
      <c r="F1240" s="3">
        <v>43781</v>
      </c>
      <c r="G1240">
        <v>202005</v>
      </c>
      <c r="H1240" t="s">
        <v>75</v>
      </c>
      <c r="I1240" t="s">
        <v>76</v>
      </c>
      <c r="J1240" t="s">
        <v>77</v>
      </c>
      <c r="K1240" t="s">
        <v>78</v>
      </c>
      <c r="L1240" t="s">
        <v>605</v>
      </c>
      <c r="M1240" t="s">
        <v>606</v>
      </c>
      <c r="N1240" t="s">
        <v>1775</v>
      </c>
      <c r="O1240" t="s">
        <v>82</v>
      </c>
      <c r="P1240" t="str">
        <f>"2170716171                    "</f>
        <v xml:space="preserve">2170716171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12.07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 s="4">
        <v>70.95</v>
      </c>
      <c r="BM1240" s="4">
        <v>10.64</v>
      </c>
      <c r="BN1240" s="4">
        <v>81.59</v>
      </c>
      <c r="BO1240" s="4">
        <v>81.59</v>
      </c>
      <c r="BQ1240" t="s">
        <v>1776</v>
      </c>
      <c r="BR1240" t="s">
        <v>84</v>
      </c>
      <c r="BS1240" s="3">
        <v>43782</v>
      </c>
      <c r="BT1240" s="5">
        <v>0.43402777777777773</v>
      </c>
      <c r="BU1240" t="s">
        <v>1777</v>
      </c>
      <c r="BV1240" t="s">
        <v>86</v>
      </c>
      <c r="BY1240">
        <v>1200</v>
      </c>
      <c r="CA1240" t="s">
        <v>889</v>
      </c>
      <c r="CC1240" t="s">
        <v>606</v>
      </c>
      <c r="CD1240">
        <v>208</v>
      </c>
      <c r="CE1240" t="s">
        <v>147</v>
      </c>
      <c r="CF1240" s="3">
        <v>43783</v>
      </c>
      <c r="CI1240">
        <v>1</v>
      </c>
      <c r="CJ1240">
        <v>1</v>
      </c>
      <c r="CK1240">
        <v>24</v>
      </c>
      <c r="CL1240" t="s">
        <v>89</v>
      </c>
    </row>
    <row r="1241" spans="1:90">
      <c r="A1241" t="s">
        <v>72</v>
      </c>
      <c r="B1241" t="s">
        <v>73</v>
      </c>
      <c r="C1241" t="s">
        <v>74</v>
      </c>
      <c r="E1241" t="str">
        <f>"FES1162722520"</f>
        <v>FES1162722520</v>
      </c>
      <c r="F1241" s="3">
        <v>43781</v>
      </c>
      <c r="G1241">
        <v>202005</v>
      </c>
      <c r="H1241" t="s">
        <v>75</v>
      </c>
      <c r="I1241" t="s">
        <v>76</v>
      </c>
      <c r="J1241" t="s">
        <v>77</v>
      </c>
      <c r="K1241" t="s">
        <v>78</v>
      </c>
      <c r="L1241" t="s">
        <v>214</v>
      </c>
      <c r="M1241" t="s">
        <v>214</v>
      </c>
      <c r="N1241" t="s">
        <v>314</v>
      </c>
      <c r="O1241" t="s">
        <v>82</v>
      </c>
      <c r="P1241" t="str">
        <f>"2170714847                    "</f>
        <v xml:space="preserve">2170714847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35.409999999999997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2</v>
      </c>
      <c r="BI1241">
        <v>4.4000000000000004</v>
      </c>
      <c r="BJ1241">
        <v>4.0999999999999996</v>
      </c>
      <c r="BK1241">
        <v>4.5</v>
      </c>
      <c r="BL1241" s="4">
        <v>208.13</v>
      </c>
      <c r="BM1241" s="4">
        <v>31.22</v>
      </c>
      <c r="BN1241" s="4">
        <v>239.35</v>
      </c>
      <c r="BO1241" s="4">
        <v>239.35</v>
      </c>
      <c r="BQ1241" t="s">
        <v>109</v>
      </c>
      <c r="BR1241" t="s">
        <v>84</v>
      </c>
      <c r="BS1241" s="3">
        <v>43782</v>
      </c>
      <c r="BT1241" s="5">
        <v>0.50902777777777775</v>
      </c>
      <c r="BU1241" t="s">
        <v>1343</v>
      </c>
      <c r="BV1241" t="s">
        <v>86</v>
      </c>
      <c r="BY1241">
        <v>20586.13</v>
      </c>
      <c r="CA1241" t="s">
        <v>217</v>
      </c>
      <c r="CC1241" t="s">
        <v>214</v>
      </c>
      <c r="CD1241">
        <v>7646</v>
      </c>
      <c r="CE1241" t="s">
        <v>147</v>
      </c>
      <c r="CF1241" s="3">
        <v>43783</v>
      </c>
      <c r="CI1241">
        <v>1</v>
      </c>
      <c r="CJ1241">
        <v>1</v>
      </c>
      <c r="CK1241">
        <v>23</v>
      </c>
      <c r="CL1241" t="s">
        <v>89</v>
      </c>
    </row>
    <row r="1242" spans="1:90">
      <c r="A1242" t="s">
        <v>72</v>
      </c>
      <c r="B1242" t="s">
        <v>73</v>
      </c>
      <c r="C1242" t="s">
        <v>74</v>
      </c>
      <c r="E1242" t="str">
        <f>"FES1162722546"</f>
        <v>FES1162722546</v>
      </c>
      <c r="F1242" s="3">
        <v>43781</v>
      </c>
      <c r="G1242">
        <v>202005</v>
      </c>
      <c r="H1242" t="s">
        <v>75</v>
      </c>
      <c r="I1242" t="s">
        <v>76</v>
      </c>
      <c r="J1242" t="s">
        <v>77</v>
      </c>
      <c r="K1242" t="s">
        <v>78</v>
      </c>
      <c r="L1242" t="s">
        <v>225</v>
      </c>
      <c r="M1242" t="s">
        <v>226</v>
      </c>
      <c r="N1242" t="s">
        <v>227</v>
      </c>
      <c r="O1242" t="s">
        <v>82</v>
      </c>
      <c r="P1242" t="str">
        <f>"2170716779                    "</f>
        <v xml:space="preserve">2170716779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8.58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 s="4">
        <v>50.45</v>
      </c>
      <c r="BM1242" s="4">
        <v>7.57</v>
      </c>
      <c r="BN1242" s="4">
        <v>58.02</v>
      </c>
      <c r="BO1242" s="4">
        <v>58.02</v>
      </c>
      <c r="BQ1242" t="s">
        <v>121</v>
      </c>
      <c r="BR1242" t="s">
        <v>84</v>
      </c>
      <c r="BS1242" s="3">
        <v>43782</v>
      </c>
      <c r="BT1242" s="5">
        <v>0.33124999999999999</v>
      </c>
      <c r="BU1242" t="s">
        <v>228</v>
      </c>
      <c r="BV1242" t="s">
        <v>86</v>
      </c>
      <c r="BY1242">
        <v>1200</v>
      </c>
      <c r="CA1242" t="s">
        <v>229</v>
      </c>
      <c r="CC1242" t="s">
        <v>226</v>
      </c>
      <c r="CD1242">
        <v>4026</v>
      </c>
      <c r="CE1242" t="s">
        <v>147</v>
      </c>
      <c r="CF1242" s="3">
        <v>43783</v>
      </c>
      <c r="CI1242">
        <v>1</v>
      </c>
      <c r="CJ1242">
        <v>1</v>
      </c>
      <c r="CK1242">
        <v>21</v>
      </c>
      <c r="CL1242" t="s">
        <v>89</v>
      </c>
    </row>
    <row r="1243" spans="1:90">
      <c r="A1243" t="s">
        <v>72</v>
      </c>
      <c r="B1243" t="s">
        <v>73</v>
      </c>
      <c r="C1243" t="s">
        <v>74</v>
      </c>
      <c r="E1243" t="str">
        <f>"FES1162722569"</f>
        <v>FES1162722569</v>
      </c>
      <c r="F1243" s="3">
        <v>43781</v>
      </c>
      <c r="G1243">
        <v>202005</v>
      </c>
      <c r="H1243" t="s">
        <v>75</v>
      </c>
      <c r="I1243" t="s">
        <v>76</v>
      </c>
      <c r="J1243" t="s">
        <v>77</v>
      </c>
      <c r="K1243" t="s">
        <v>78</v>
      </c>
      <c r="L1243" t="s">
        <v>124</v>
      </c>
      <c r="M1243" t="s">
        <v>125</v>
      </c>
      <c r="N1243" t="s">
        <v>218</v>
      </c>
      <c r="O1243" t="s">
        <v>82</v>
      </c>
      <c r="P1243" t="str">
        <f>"2170716804                    "</f>
        <v xml:space="preserve">2170716804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6.71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 s="4">
        <v>39.42</v>
      </c>
      <c r="BM1243" s="4">
        <v>5.91</v>
      </c>
      <c r="BN1243" s="4">
        <v>45.33</v>
      </c>
      <c r="BO1243" s="4">
        <v>45.33</v>
      </c>
      <c r="BQ1243" t="s">
        <v>121</v>
      </c>
      <c r="BR1243" t="s">
        <v>84</v>
      </c>
      <c r="BS1243" s="3">
        <v>43782</v>
      </c>
      <c r="BT1243" s="5">
        <v>0.36944444444444446</v>
      </c>
      <c r="BU1243" t="s">
        <v>1659</v>
      </c>
      <c r="BV1243" t="s">
        <v>86</v>
      </c>
      <c r="BY1243">
        <v>1200</v>
      </c>
      <c r="CC1243" t="s">
        <v>125</v>
      </c>
      <c r="CD1243">
        <v>2094</v>
      </c>
      <c r="CE1243" t="s">
        <v>147</v>
      </c>
      <c r="CF1243" s="3">
        <v>43784</v>
      </c>
      <c r="CI1243">
        <v>1</v>
      </c>
      <c r="CJ1243">
        <v>1</v>
      </c>
      <c r="CK1243">
        <v>22</v>
      </c>
      <c r="CL1243" t="s">
        <v>89</v>
      </c>
    </row>
    <row r="1244" spans="1:90">
      <c r="A1244" t="s">
        <v>72</v>
      </c>
      <c r="B1244" t="s">
        <v>73</v>
      </c>
      <c r="C1244" t="s">
        <v>74</v>
      </c>
      <c r="E1244" t="str">
        <f>"FES1162722524"</f>
        <v>FES1162722524</v>
      </c>
      <c r="F1244" s="3">
        <v>43781</v>
      </c>
      <c r="G1244">
        <v>202005</v>
      </c>
      <c r="H1244" t="s">
        <v>75</v>
      </c>
      <c r="I1244" t="s">
        <v>76</v>
      </c>
      <c r="J1244" t="s">
        <v>77</v>
      </c>
      <c r="K1244" t="s">
        <v>78</v>
      </c>
      <c r="L1244" t="s">
        <v>214</v>
      </c>
      <c r="M1244" t="s">
        <v>214</v>
      </c>
      <c r="N1244" t="s">
        <v>1523</v>
      </c>
      <c r="O1244" t="s">
        <v>82</v>
      </c>
      <c r="P1244" t="str">
        <f>"2170711519                    "</f>
        <v xml:space="preserve">2170711519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24.14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3</v>
      </c>
      <c r="BJ1244">
        <v>1.1000000000000001</v>
      </c>
      <c r="BK1244">
        <v>3</v>
      </c>
      <c r="BL1244" s="4">
        <v>141.9</v>
      </c>
      <c r="BM1244" s="4">
        <v>21.29</v>
      </c>
      <c r="BN1244" s="4">
        <v>163.19</v>
      </c>
      <c r="BO1244" s="4">
        <v>163.19</v>
      </c>
      <c r="BQ1244" t="s">
        <v>121</v>
      </c>
      <c r="BR1244" t="s">
        <v>84</v>
      </c>
      <c r="BS1244" s="3">
        <v>43782</v>
      </c>
      <c r="BT1244" s="5">
        <v>0.51666666666666672</v>
      </c>
      <c r="BU1244" t="s">
        <v>706</v>
      </c>
      <c r="BV1244" t="s">
        <v>86</v>
      </c>
      <c r="BY1244">
        <v>5483.2</v>
      </c>
      <c r="CA1244" t="s">
        <v>217</v>
      </c>
      <c r="CC1244" t="s">
        <v>214</v>
      </c>
      <c r="CD1244">
        <v>7646</v>
      </c>
      <c r="CE1244" t="s">
        <v>88</v>
      </c>
      <c r="CF1244" s="3">
        <v>43783</v>
      </c>
      <c r="CI1244">
        <v>1</v>
      </c>
      <c r="CJ1244">
        <v>1</v>
      </c>
      <c r="CK1244">
        <v>23</v>
      </c>
      <c r="CL1244" t="s">
        <v>89</v>
      </c>
    </row>
    <row r="1245" spans="1:90">
      <c r="A1245" t="s">
        <v>72</v>
      </c>
      <c r="B1245" t="s">
        <v>73</v>
      </c>
      <c r="C1245" t="s">
        <v>74</v>
      </c>
      <c r="E1245" t="str">
        <f>"FES1162722529"</f>
        <v>FES1162722529</v>
      </c>
      <c r="F1245" s="3">
        <v>43781</v>
      </c>
      <c r="G1245">
        <v>202005</v>
      </c>
      <c r="H1245" t="s">
        <v>75</v>
      </c>
      <c r="I1245" t="s">
        <v>76</v>
      </c>
      <c r="J1245" t="s">
        <v>77</v>
      </c>
      <c r="K1245" t="s">
        <v>78</v>
      </c>
      <c r="L1245" t="s">
        <v>176</v>
      </c>
      <c r="M1245" t="s">
        <v>177</v>
      </c>
      <c r="N1245" t="s">
        <v>1778</v>
      </c>
      <c r="O1245" t="s">
        <v>82</v>
      </c>
      <c r="P1245" t="str">
        <f>"217071758                     "</f>
        <v xml:space="preserve">217071758 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8.58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 s="4">
        <v>50.45</v>
      </c>
      <c r="BM1245" s="4">
        <v>7.57</v>
      </c>
      <c r="BN1245" s="4">
        <v>58.02</v>
      </c>
      <c r="BO1245" s="4">
        <v>58.02</v>
      </c>
      <c r="BQ1245" t="s">
        <v>161</v>
      </c>
      <c r="BR1245" t="s">
        <v>84</v>
      </c>
      <c r="BS1245" s="3">
        <v>43782</v>
      </c>
      <c r="BT1245" s="5">
        <v>0.3666666666666667</v>
      </c>
      <c r="BU1245" t="s">
        <v>1779</v>
      </c>
      <c r="BV1245" t="s">
        <v>86</v>
      </c>
      <c r="BY1245">
        <v>1200</v>
      </c>
      <c r="CA1245" t="s">
        <v>1339</v>
      </c>
      <c r="CC1245" t="s">
        <v>177</v>
      </c>
      <c r="CD1245">
        <v>4037</v>
      </c>
      <c r="CE1245" t="s">
        <v>147</v>
      </c>
      <c r="CF1245" s="3">
        <v>43783</v>
      </c>
      <c r="CI1245">
        <v>1</v>
      </c>
      <c r="CJ1245">
        <v>1</v>
      </c>
      <c r="CK1245">
        <v>21</v>
      </c>
      <c r="CL1245" t="s">
        <v>89</v>
      </c>
    </row>
    <row r="1246" spans="1:90">
      <c r="A1246" t="s">
        <v>72</v>
      </c>
      <c r="B1246" t="s">
        <v>73</v>
      </c>
      <c r="C1246" t="s">
        <v>74</v>
      </c>
      <c r="E1246" t="str">
        <f>"FES1162722443"</f>
        <v>FES1162722443</v>
      </c>
      <c r="F1246" s="3">
        <v>43781</v>
      </c>
      <c r="G1246">
        <v>202005</v>
      </c>
      <c r="H1246" t="s">
        <v>75</v>
      </c>
      <c r="I1246" t="s">
        <v>76</v>
      </c>
      <c r="J1246" t="s">
        <v>77</v>
      </c>
      <c r="K1246" t="s">
        <v>78</v>
      </c>
      <c r="L1246" t="s">
        <v>101</v>
      </c>
      <c r="M1246" t="s">
        <v>102</v>
      </c>
      <c r="N1246" t="s">
        <v>768</v>
      </c>
      <c r="O1246" t="s">
        <v>82</v>
      </c>
      <c r="P1246" t="str">
        <f>"2170716659                    "</f>
        <v xml:space="preserve">2170716659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10.73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2.5</v>
      </c>
      <c r="BJ1246">
        <v>0.9</v>
      </c>
      <c r="BK1246">
        <v>2.5</v>
      </c>
      <c r="BL1246" s="4">
        <v>63.06</v>
      </c>
      <c r="BM1246" s="4">
        <v>9.4600000000000009</v>
      </c>
      <c r="BN1246" s="4">
        <v>72.52</v>
      </c>
      <c r="BO1246" s="4">
        <v>72.52</v>
      </c>
      <c r="BQ1246" t="s">
        <v>121</v>
      </c>
      <c r="BR1246" t="s">
        <v>84</v>
      </c>
      <c r="BS1246" s="3">
        <v>43782</v>
      </c>
      <c r="BT1246" s="5">
        <v>0.375</v>
      </c>
      <c r="BU1246" t="s">
        <v>1780</v>
      </c>
      <c r="BV1246" t="s">
        <v>86</v>
      </c>
      <c r="BY1246">
        <v>4319.0600000000004</v>
      </c>
      <c r="CA1246" t="s">
        <v>1781</v>
      </c>
      <c r="CC1246" t="s">
        <v>102</v>
      </c>
      <c r="CD1246">
        <v>117</v>
      </c>
      <c r="CE1246" t="s">
        <v>88</v>
      </c>
      <c r="CF1246" s="3">
        <v>43784</v>
      </c>
      <c r="CI1246">
        <v>1</v>
      </c>
      <c r="CJ1246">
        <v>1</v>
      </c>
      <c r="CK1246">
        <v>21</v>
      </c>
      <c r="CL1246" t="s">
        <v>89</v>
      </c>
    </row>
    <row r="1247" spans="1:90">
      <c r="A1247" t="s">
        <v>72</v>
      </c>
      <c r="B1247" t="s">
        <v>73</v>
      </c>
      <c r="C1247" t="s">
        <v>74</v>
      </c>
      <c r="E1247" t="str">
        <f>"FES1162722448"</f>
        <v>FES1162722448</v>
      </c>
      <c r="F1247" s="3">
        <v>43781</v>
      </c>
      <c r="G1247">
        <v>202005</v>
      </c>
      <c r="H1247" t="s">
        <v>75</v>
      </c>
      <c r="I1247" t="s">
        <v>76</v>
      </c>
      <c r="J1247" t="s">
        <v>77</v>
      </c>
      <c r="K1247" t="s">
        <v>78</v>
      </c>
      <c r="L1247" t="s">
        <v>101</v>
      </c>
      <c r="M1247" t="s">
        <v>102</v>
      </c>
      <c r="N1247" t="s">
        <v>1782</v>
      </c>
      <c r="O1247" t="s">
        <v>82</v>
      </c>
      <c r="P1247" t="str">
        <f>"2170716665                    "</f>
        <v xml:space="preserve">2170716665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8.58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 s="4">
        <v>50.45</v>
      </c>
      <c r="BM1247" s="4">
        <v>7.57</v>
      </c>
      <c r="BN1247" s="4">
        <v>58.02</v>
      </c>
      <c r="BO1247" s="4">
        <v>58.02</v>
      </c>
      <c r="BQ1247" t="s">
        <v>1783</v>
      </c>
      <c r="BR1247" t="s">
        <v>84</v>
      </c>
      <c r="BS1247" s="3">
        <v>43782</v>
      </c>
      <c r="BT1247" s="5">
        <v>0.4236111111111111</v>
      </c>
      <c r="BU1247" t="s">
        <v>1784</v>
      </c>
      <c r="BV1247" t="s">
        <v>86</v>
      </c>
      <c r="BY1247">
        <v>1200</v>
      </c>
      <c r="CA1247" t="s">
        <v>183</v>
      </c>
      <c r="CC1247" t="s">
        <v>102</v>
      </c>
      <c r="CD1247">
        <v>200</v>
      </c>
      <c r="CE1247" t="s">
        <v>147</v>
      </c>
      <c r="CF1247" s="3">
        <v>43783</v>
      </c>
      <c r="CI1247">
        <v>1</v>
      </c>
      <c r="CJ1247">
        <v>1</v>
      </c>
      <c r="CK1247">
        <v>21</v>
      </c>
      <c r="CL1247" t="s">
        <v>89</v>
      </c>
    </row>
    <row r="1248" spans="1:90">
      <c r="A1248" t="s">
        <v>72</v>
      </c>
      <c r="B1248" t="s">
        <v>73</v>
      </c>
      <c r="C1248" t="s">
        <v>74</v>
      </c>
      <c r="E1248" t="str">
        <f>"FES1162722452"</f>
        <v>FES1162722452</v>
      </c>
      <c r="F1248" s="3">
        <v>43781</v>
      </c>
      <c r="G1248">
        <v>202005</v>
      </c>
      <c r="H1248" t="s">
        <v>75</v>
      </c>
      <c r="I1248" t="s">
        <v>76</v>
      </c>
      <c r="J1248" t="s">
        <v>77</v>
      </c>
      <c r="K1248" t="s">
        <v>78</v>
      </c>
      <c r="L1248" t="s">
        <v>112</v>
      </c>
      <c r="M1248" t="s">
        <v>113</v>
      </c>
      <c r="N1248" t="s">
        <v>1380</v>
      </c>
      <c r="O1248" t="s">
        <v>82</v>
      </c>
      <c r="P1248" t="str">
        <f>"2170712725                    "</f>
        <v xml:space="preserve">2170712725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8.58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 s="4">
        <v>50.45</v>
      </c>
      <c r="BM1248" s="4">
        <v>7.57</v>
      </c>
      <c r="BN1248" s="4">
        <v>58.02</v>
      </c>
      <c r="BO1248" s="4">
        <v>58.02</v>
      </c>
      <c r="BQ1248" t="s">
        <v>121</v>
      </c>
      <c r="BR1248" t="s">
        <v>84</v>
      </c>
      <c r="BS1248" s="3">
        <v>43782</v>
      </c>
      <c r="BT1248" s="5">
        <v>0.54166666666666663</v>
      </c>
      <c r="BU1248" t="s">
        <v>1785</v>
      </c>
      <c r="BV1248" t="s">
        <v>89</v>
      </c>
      <c r="BW1248" t="s">
        <v>144</v>
      </c>
      <c r="BX1248" t="s">
        <v>145</v>
      </c>
      <c r="BY1248">
        <v>1200</v>
      </c>
      <c r="CC1248" t="s">
        <v>113</v>
      </c>
      <c r="CD1248">
        <v>4051</v>
      </c>
      <c r="CE1248" t="s">
        <v>147</v>
      </c>
      <c r="CF1248" s="3">
        <v>43783</v>
      </c>
      <c r="CI1248">
        <v>1</v>
      </c>
      <c r="CJ1248">
        <v>1</v>
      </c>
      <c r="CK1248">
        <v>21</v>
      </c>
      <c r="CL1248" t="s">
        <v>89</v>
      </c>
    </row>
    <row r="1249" spans="1:90">
      <c r="A1249" t="s">
        <v>72</v>
      </c>
      <c r="B1249" t="s">
        <v>73</v>
      </c>
      <c r="C1249" t="s">
        <v>74</v>
      </c>
      <c r="E1249" t="str">
        <f>"FES1162722598"</f>
        <v>FES1162722598</v>
      </c>
      <c r="F1249" s="3">
        <v>43781</v>
      </c>
      <c r="G1249">
        <v>202005</v>
      </c>
      <c r="H1249" t="s">
        <v>75</v>
      </c>
      <c r="I1249" t="s">
        <v>76</v>
      </c>
      <c r="J1249" t="s">
        <v>77</v>
      </c>
      <c r="K1249" t="s">
        <v>78</v>
      </c>
      <c r="L1249" t="s">
        <v>431</v>
      </c>
      <c r="M1249" t="s">
        <v>432</v>
      </c>
      <c r="N1249" t="s">
        <v>436</v>
      </c>
      <c r="O1249" t="s">
        <v>82</v>
      </c>
      <c r="P1249" t="str">
        <f>"2170716845                    "</f>
        <v xml:space="preserve">2170716845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8.58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 s="4">
        <v>50.45</v>
      </c>
      <c r="BM1249" s="4">
        <v>7.57</v>
      </c>
      <c r="BN1249" s="4">
        <v>58.02</v>
      </c>
      <c r="BO1249" s="4">
        <v>58.02</v>
      </c>
      <c r="BR1249" t="s">
        <v>84</v>
      </c>
      <c r="BS1249" s="3">
        <v>43782</v>
      </c>
      <c r="BT1249" s="5">
        <v>0.52083333333333337</v>
      </c>
      <c r="BU1249" t="s">
        <v>1717</v>
      </c>
      <c r="BV1249" t="s">
        <v>86</v>
      </c>
      <c r="BY1249">
        <v>1200</v>
      </c>
      <c r="CA1249" t="s">
        <v>435</v>
      </c>
      <c r="CC1249" t="s">
        <v>432</v>
      </c>
      <c r="CD1249">
        <v>3699</v>
      </c>
      <c r="CE1249" t="s">
        <v>147</v>
      </c>
      <c r="CF1249" s="3">
        <v>43783</v>
      </c>
      <c r="CI1249">
        <v>1</v>
      </c>
      <c r="CJ1249">
        <v>1</v>
      </c>
      <c r="CK1249">
        <v>21</v>
      </c>
      <c r="CL1249" t="s">
        <v>89</v>
      </c>
    </row>
    <row r="1250" spans="1:90">
      <c r="A1250" t="s">
        <v>72</v>
      </c>
      <c r="B1250" t="s">
        <v>73</v>
      </c>
      <c r="C1250" t="s">
        <v>74</v>
      </c>
      <c r="E1250" t="str">
        <f>"FES1162722135"</f>
        <v>FES1162722135</v>
      </c>
      <c r="F1250" s="3">
        <v>43781</v>
      </c>
      <c r="G1250">
        <v>202005</v>
      </c>
      <c r="H1250" t="s">
        <v>75</v>
      </c>
      <c r="I1250" t="s">
        <v>76</v>
      </c>
      <c r="J1250" t="s">
        <v>77</v>
      </c>
      <c r="K1250" t="s">
        <v>78</v>
      </c>
      <c r="L1250" t="s">
        <v>124</v>
      </c>
      <c r="M1250" t="s">
        <v>125</v>
      </c>
      <c r="N1250" t="s">
        <v>1786</v>
      </c>
      <c r="O1250" t="s">
        <v>82</v>
      </c>
      <c r="P1250" t="str">
        <f>"2170716535                    "</f>
        <v xml:space="preserve">2170716535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6.71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 s="4">
        <v>39.42</v>
      </c>
      <c r="BM1250" s="4">
        <v>5.91</v>
      </c>
      <c r="BN1250" s="4">
        <v>45.33</v>
      </c>
      <c r="BO1250" s="4">
        <v>45.33</v>
      </c>
      <c r="BR1250" t="s">
        <v>84</v>
      </c>
      <c r="BS1250" s="3">
        <v>43782</v>
      </c>
      <c r="BT1250" s="5">
        <v>0.30972222222222223</v>
      </c>
      <c r="BU1250" t="s">
        <v>595</v>
      </c>
      <c r="BV1250" t="s">
        <v>86</v>
      </c>
      <c r="BY1250">
        <v>1200</v>
      </c>
      <c r="CA1250" t="s">
        <v>837</v>
      </c>
      <c r="CC1250" t="s">
        <v>125</v>
      </c>
      <c r="CD1250">
        <v>2094</v>
      </c>
      <c r="CE1250" t="s">
        <v>147</v>
      </c>
      <c r="CF1250" s="3">
        <v>43784</v>
      </c>
      <c r="CI1250">
        <v>1</v>
      </c>
      <c r="CJ1250">
        <v>1</v>
      </c>
      <c r="CK1250">
        <v>22</v>
      </c>
      <c r="CL1250" t="s">
        <v>89</v>
      </c>
    </row>
    <row r="1251" spans="1:90">
      <c r="A1251" t="s">
        <v>72</v>
      </c>
      <c r="B1251" t="s">
        <v>73</v>
      </c>
      <c r="C1251" t="s">
        <v>74</v>
      </c>
      <c r="E1251" t="str">
        <f>"FES1162722461"</f>
        <v>FES1162722461</v>
      </c>
      <c r="F1251" s="3">
        <v>43781</v>
      </c>
      <c r="G1251">
        <v>202005</v>
      </c>
      <c r="H1251" t="s">
        <v>75</v>
      </c>
      <c r="I1251" t="s">
        <v>76</v>
      </c>
      <c r="J1251" t="s">
        <v>77</v>
      </c>
      <c r="K1251" t="s">
        <v>78</v>
      </c>
      <c r="L1251" t="s">
        <v>339</v>
      </c>
      <c r="M1251" t="s">
        <v>340</v>
      </c>
      <c r="N1251" t="s">
        <v>1787</v>
      </c>
      <c r="O1251" t="s">
        <v>82</v>
      </c>
      <c r="P1251" t="str">
        <f>"217071581                     "</f>
        <v xml:space="preserve">217071581 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8.58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 s="4">
        <v>50.45</v>
      </c>
      <c r="BM1251" s="4">
        <v>7.57</v>
      </c>
      <c r="BN1251" s="4">
        <v>58.02</v>
      </c>
      <c r="BO1251" s="4">
        <v>58.02</v>
      </c>
      <c r="BQ1251" t="s">
        <v>109</v>
      </c>
      <c r="BR1251" t="s">
        <v>84</v>
      </c>
      <c r="BS1251" s="3">
        <v>43784</v>
      </c>
      <c r="BT1251" s="5">
        <v>0.60625000000000007</v>
      </c>
      <c r="BU1251" t="s">
        <v>517</v>
      </c>
      <c r="BV1251" t="s">
        <v>89</v>
      </c>
      <c r="BY1251">
        <v>1200</v>
      </c>
      <c r="CA1251" t="s">
        <v>1788</v>
      </c>
      <c r="CC1251" t="s">
        <v>340</v>
      </c>
      <c r="CD1251">
        <v>157</v>
      </c>
      <c r="CE1251" t="s">
        <v>147</v>
      </c>
      <c r="CF1251" s="3">
        <v>43787</v>
      </c>
      <c r="CI1251">
        <v>1</v>
      </c>
      <c r="CJ1251">
        <v>3</v>
      </c>
      <c r="CK1251">
        <v>21</v>
      </c>
      <c r="CL1251" t="s">
        <v>89</v>
      </c>
    </row>
    <row r="1252" spans="1:90">
      <c r="A1252" t="s">
        <v>72</v>
      </c>
      <c r="B1252" t="s">
        <v>73</v>
      </c>
      <c r="C1252" t="s">
        <v>74</v>
      </c>
      <c r="E1252" t="str">
        <f>"FES1162722612"</f>
        <v>FES1162722612</v>
      </c>
      <c r="F1252" s="3">
        <v>43781</v>
      </c>
      <c r="G1252">
        <v>202005</v>
      </c>
      <c r="H1252" t="s">
        <v>75</v>
      </c>
      <c r="I1252" t="s">
        <v>76</v>
      </c>
      <c r="J1252" t="s">
        <v>77</v>
      </c>
      <c r="K1252" t="s">
        <v>78</v>
      </c>
      <c r="L1252" t="s">
        <v>90</v>
      </c>
      <c r="M1252" t="s">
        <v>91</v>
      </c>
      <c r="N1252" t="s">
        <v>950</v>
      </c>
      <c r="O1252" t="s">
        <v>82</v>
      </c>
      <c r="P1252" t="str">
        <f>"21707168763                   "</f>
        <v xml:space="preserve">21707168763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8.58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 s="4">
        <v>50.45</v>
      </c>
      <c r="BM1252" s="4">
        <v>7.57</v>
      </c>
      <c r="BN1252" s="4">
        <v>58.02</v>
      </c>
      <c r="BO1252" s="4">
        <v>58.02</v>
      </c>
      <c r="BQ1252" t="s">
        <v>121</v>
      </c>
      <c r="BR1252" t="s">
        <v>84</v>
      </c>
      <c r="BS1252" s="3">
        <v>43782</v>
      </c>
      <c r="BT1252" s="5">
        <v>0.375</v>
      </c>
      <c r="BU1252" t="s">
        <v>1789</v>
      </c>
      <c r="BV1252" t="s">
        <v>86</v>
      </c>
      <c r="BY1252">
        <v>1200</v>
      </c>
      <c r="CC1252" t="s">
        <v>91</v>
      </c>
      <c r="CD1252">
        <v>7530</v>
      </c>
      <c r="CE1252" t="s">
        <v>147</v>
      </c>
      <c r="CF1252" s="3">
        <v>43783</v>
      </c>
      <c r="CI1252">
        <v>1</v>
      </c>
      <c r="CJ1252">
        <v>1</v>
      </c>
      <c r="CK1252">
        <v>21</v>
      </c>
      <c r="CL1252" t="s">
        <v>89</v>
      </c>
    </row>
    <row r="1253" spans="1:90">
      <c r="A1253" t="s">
        <v>72</v>
      </c>
      <c r="B1253" t="s">
        <v>73</v>
      </c>
      <c r="C1253" t="s">
        <v>74</v>
      </c>
      <c r="E1253" t="str">
        <f>"FES1162722522"</f>
        <v>FES1162722522</v>
      </c>
      <c r="F1253" s="3">
        <v>43781</v>
      </c>
      <c r="G1253">
        <v>202005</v>
      </c>
      <c r="H1253" t="s">
        <v>75</v>
      </c>
      <c r="I1253" t="s">
        <v>76</v>
      </c>
      <c r="J1253" t="s">
        <v>77</v>
      </c>
      <c r="K1253" t="s">
        <v>78</v>
      </c>
      <c r="L1253" t="s">
        <v>106</v>
      </c>
      <c r="M1253" t="s">
        <v>107</v>
      </c>
      <c r="N1253" t="s">
        <v>108</v>
      </c>
      <c r="O1253" t="s">
        <v>82</v>
      </c>
      <c r="P1253" t="str">
        <f>"2170716748                    "</f>
        <v xml:space="preserve">2170716748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49.33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11.3</v>
      </c>
      <c r="BJ1253">
        <v>7.3</v>
      </c>
      <c r="BK1253">
        <v>11.5</v>
      </c>
      <c r="BL1253" s="4">
        <v>289.94</v>
      </c>
      <c r="BM1253" s="4">
        <v>43.49</v>
      </c>
      <c r="BN1253" s="4">
        <v>333.43</v>
      </c>
      <c r="BO1253" s="4">
        <v>333.43</v>
      </c>
      <c r="BQ1253" t="s">
        <v>109</v>
      </c>
      <c r="BR1253" t="s">
        <v>84</v>
      </c>
      <c r="BS1253" s="3">
        <v>43782</v>
      </c>
      <c r="BT1253" s="5">
        <v>0.39166666666666666</v>
      </c>
      <c r="BU1253" t="s">
        <v>110</v>
      </c>
      <c r="BV1253" t="s">
        <v>86</v>
      </c>
      <c r="BY1253">
        <v>36426.82</v>
      </c>
      <c r="CA1253" t="s">
        <v>111</v>
      </c>
      <c r="CC1253" t="s">
        <v>107</v>
      </c>
      <c r="CD1253">
        <v>6001</v>
      </c>
      <c r="CE1253" t="s">
        <v>88</v>
      </c>
      <c r="CF1253" s="3">
        <v>43783</v>
      </c>
      <c r="CI1253">
        <v>1</v>
      </c>
      <c r="CJ1253">
        <v>1</v>
      </c>
      <c r="CK1253">
        <v>21</v>
      </c>
      <c r="CL1253" t="s">
        <v>89</v>
      </c>
    </row>
    <row r="1254" spans="1:90">
      <c r="A1254" t="s">
        <v>72</v>
      </c>
      <c r="B1254" t="s">
        <v>73</v>
      </c>
      <c r="C1254" t="s">
        <v>74</v>
      </c>
      <c r="E1254" t="str">
        <f>"FES1162722528"</f>
        <v>FES1162722528</v>
      </c>
      <c r="F1254" s="3">
        <v>43781</v>
      </c>
      <c r="G1254">
        <v>202005</v>
      </c>
      <c r="H1254" t="s">
        <v>75</v>
      </c>
      <c r="I1254" t="s">
        <v>76</v>
      </c>
      <c r="J1254" t="s">
        <v>77</v>
      </c>
      <c r="K1254" t="s">
        <v>78</v>
      </c>
      <c r="L1254" t="s">
        <v>202</v>
      </c>
      <c r="M1254" t="s">
        <v>203</v>
      </c>
      <c r="N1254" t="s">
        <v>1790</v>
      </c>
      <c r="O1254" t="s">
        <v>82</v>
      </c>
      <c r="P1254" t="str">
        <f>"2170716754                    "</f>
        <v xml:space="preserve">2170716754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6.71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 s="4">
        <v>39.42</v>
      </c>
      <c r="BM1254" s="4">
        <v>5.91</v>
      </c>
      <c r="BN1254" s="4">
        <v>45.33</v>
      </c>
      <c r="BO1254" s="4">
        <v>45.33</v>
      </c>
      <c r="BQ1254" t="s">
        <v>1791</v>
      </c>
      <c r="BR1254" t="s">
        <v>84</v>
      </c>
      <c r="BS1254" s="3">
        <v>43782</v>
      </c>
      <c r="BT1254" s="5">
        <v>0.43194444444444446</v>
      </c>
      <c r="BU1254" t="s">
        <v>1792</v>
      </c>
      <c r="BV1254" t="s">
        <v>86</v>
      </c>
      <c r="BY1254">
        <v>1200</v>
      </c>
      <c r="CA1254" t="s">
        <v>1793</v>
      </c>
      <c r="CC1254" t="s">
        <v>203</v>
      </c>
      <c r="CD1254">
        <v>1401</v>
      </c>
      <c r="CE1254" t="s">
        <v>147</v>
      </c>
      <c r="CF1254" s="3">
        <v>43783</v>
      </c>
      <c r="CI1254">
        <v>1</v>
      </c>
      <c r="CJ1254">
        <v>1</v>
      </c>
      <c r="CK1254">
        <v>22</v>
      </c>
      <c r="CL1254" t="s">
        <v>89</v>
      </c>
    </row>
    <row r="1255" spans="1:90">
      <c r="A1255" t="s">
        <v>72</v>
      </c>
      <c r="B1255" t="s">
        <v>73</v>
      </c>
      <c r="C1255" t="s">
        <v>74</v>
      </c>
      <c r="E1255" t="str">
        <f>"FES1162722606"</f>
        <v>FES1162722606</v>
      </c>
      <c r="F1255" s="3">
        <v>43781</v>
      </c>
      <c r="G1255">
        <v>202005</v>
      </c>
      <c r="H1255" t="s">
        <v>75</v>
      </c>
      <c r="I1255" t="s">
        <v>76</v>
      </c>
      <c r="J1255" t="s">
        <v>77</v>
      </c>
      <c r="K1255" t="s">
        <v>78</v>
      </c>
      <c r="L1255" t="s">
        <v>90</v>
      </c>
      <c r="M1255" t="s">
        <v>91</v>
      </c>
      <c r="N1255" t="s">
        <v>1610</v>
      </c>
      <c r="O1255" t="s">
        <v>82</v>
      </c>
      <c r="P1255" t="str">
        <f>"2170716855                    "</f>
        <v xml:space="preserve">2170716855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8.58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 s="4">
        <v>50.45</v>
      </c>
      <c r="BM1255" s="4">
        <v>7.57</v>
      </c>
      <c r="BN1255" s="4">
        <v>58.02</v>
      </c>
      <c r="BO1255" s="4">
        <v>58.02</v>
      </c>
      <c r="BQ1255" t="s">
        <v>121</v>
      </c>
      <c r="BR1255" t="s">
        <v>84</v>
      </c>
      <c r="BS1255" s="3">
        <v>43782</v>
      </c>
      <c r="BT1255" s="5">
        <v>0.48055555555555557</v>
      </c>
      <c r="BU1255" t="s">
        <v>1794</v>
      </c>
      <c r="BV1255" t="s">
        <v>86</v>
      </c>
      <c r="BY1255">
        <v>1200</v>
      </c>
      <c r="CA1255" t="s">
        <v>1795</v>
      </c>
      <c r="CC1255" t="s">
        <v>91</v>
      </c>
      <c r="CD1255">
        <v>7975</v>
      </c>
      <c r="CE1255" t="s">
        <v>147</v>
      </c>
      <c r="CF1255" s="3">
        <v>43783</v>
      </c>
      <c r="CI1255">
        <v>1</v>
      </c>
      <c r="CJ1255">
        <v>1</v>
      </c>
      <c r="CK1255">
        <v>21</v>
      </c>
      <c r="CL1255" t="s">
        <v>89</v>
      </c>
    </row>
    <row r="1256" spans="1:90">
      <c r="A1256" t="s">
        <v>72</v>
      </c>
      <c r="B1256" t="s">
        <v>73</v>
      </c>
      <c r="C1256" t="s">
        <v>74</v>
      </c>
      <c r="E1256" t="str">
        <f>"FES1162722590"</f>
        <v>FES1162722590</v>
      </c>
      <c r="F1256" s="3">
        <v>43781</v>
      </c>
      <c r="G1256">
        <v>202005</v>
      </c>
      <c r="H1256" t="s">
        <v>75</v>
      </c>
      <c r="I1256" t="s">
        <v>76</v>
      </c>
      <c r="J1256" t="s">
        <v>77</v>
      </c>
      <c r="K1256" t="s">
        <v>78</v>
      </c>
      <c r="L1256" t="s">
        <v>75</v>
      </c>
      <c r="M1256" t="s">
        <v>76</v>
      </c>
      <c r="N1256" t="s">
        <v>1141</v>
      </c>
      <c r="O1256" t="s">
        <v>82</v>
      </c>
      <c r="P1256" t="str">
        <f>"2170716833                    "</f>
        <v xml:space="preserve">2170716833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6.71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 s="4">
        <v>39.42</v>
      </c>
      <c r="BM1256" s="4">
        <v>5.91</v>
      </c>
      <c r="BN1256" s="4">
        <v>45.33</v>
      </c>
      <c r="BO1256" s="4">
        <v>45.33</v>
      </c>
      <c r="BR1256" t="s">
        <v>84</v>
      </c>
      <c r="BS1256" s="3">
        <v>43782</v>
      </c>
      <c r="BT1256" s="5">
        <v>0.28125</v>
      </c>
      <c r="BU1256" t="s">
        <v>1142</v>
      </c>
      <c r="BV1256" t="s">
        <v>86</v>
      </c>
      <c r="BY1256">
        <v>1200</v>
      </c>
      <c r="CA1256" t="s">
        <v>368</v>
      </c>
      <c r="CC1256" t="s">
        <v>76</v>
      </c>
      <c r="CD1256">
        <v>1600</v>
      </c>
      <c r="CE1256" t="s">
        <v>147</v>
      </c>
      <c r="CF1256" s="3">
        <v>43783</v>
      </c>
      <c r="CI1256">
        <v>1</v>
      </c>
      <c r="CJ1256">
        <v>1</v>
      </c>
      <c r="CK1256">
        <v>22</v>
      </c>
      <c r="CL1256" t="s">
        <v>89</v>
      </c>
    </row>
    <row r="1257" spans="1:90">
      <c r="A1257" t="s">
        <v>72</v>
      </c>
      <c r="B1257" t="s">
        <v>73</v>
      </c>
      <c r="C1257" t="s">
        <v>74</v>
      </c>
      <c r="E1257" t="str">
        <f>"FES1162722608"</f>
        <v>FES1162722608</v>
      </c>
      <c r="F1257" s="3">
        <v>43781</v>
      </c>
      <c r="G1257">
        <v>202005</v>
      </c>
      <c r="H1257" t="s">
        <v>75</v>
      </c>
      <c r="I1257" t="s">
        <v>76</v>
      </c>
      <c r="J1257" t="s">
        <v>77</v>
      </c>
      <c r="K1257" t="s">
        <v>78</v>
      </c>
      <c r="L1257" t="s">
        <v>304</v>
      </c>
      <c r="M1257" t="s">
        <v>305</v>
      </c>
      <c r="N1257" t="s">
        <v>1796</v>
      </c>
      <c r="O1257" t="s">
        <v>82</v>
      </c>
      <c r="P1257" t="str">
        <f>"2170716857                    "</f>
        <v xml:space="preserve">2170716857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16.63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 s="4">
        <v>97.75</v>
      </c>
      <c r="BM1257" s="4">
        <v>14.66</v>
      </c>
      <c r="BN1257" s="4">
        <v>112.41</v>
      </c>
      <c r="BO1257" s="4">
        <v>112.41</v>
      </c>
      <c r="BQ1257" t="s">
        <v>109</v>
      </c>
      <c r="BR1257" t="s">
        <v>84</v>
      </c>
      <c r="BS1257" s="3">
        <v>43782</v>
      </c>
      <c r="BT1257" s="5">
        <v>0.41666666666666669</v>
      </c>
      <c r="BU1257" t="s">
        <v>1797</v>
      </c>
      <c r="BV1257" t="s">
        <v>86</v>
      </c>
      <c r="BY1257">
        <v>1200</v>
      </c>
      <c r="CC1257" t="s">
        <v>305</v>
      </c>
      <c r="CD1257">
        <v>5605</v>
      </c>
      <c r="CE1257" t="s">
        <v>147</v>
      </c>
      <c r="CF1257" s="3">
        <v>43784</v>
      </c>
      <c r="CI1257">
        <v>4</v>
      </c>
      <c r="CJ1257">
        <v>1</v>
      </c>
      <c r="CK1257">
        <v>23</v>
      </c>
      <c r="CL1257" t="s">
        <v>89</v>
      </c>
    </row>
    <row r="1258" spans="1:90">
      <c r="A1258" t="s">
        <v>72</v>
      </c>
      <c r="B1258" t="s">
        <v>73</v>
      </c>
      <c r="C1258" t="s">
        <v>74</v>
      </c>
      <c r="E1258" t="str">
        <f>"FES1162722532"</f>
        <v>FES1162722532</v>
      </c>
      <c r="F1258" s="3">
        <v>43781</v>
      </c>
      <c r="G1258">
        <v>202005</v>
      </c>
      <c r="H1258" t="s">
        <v>75</v>
      </c>
      <c r="I1258" t="s">
        <v>76</v>
      </c>
      <c r="J1258" t="s">
        <v>77</v>
      </c>
      <c r="K1258" t="s">
        <v>78</v>
      </c>
      <c r="L1258" t="s">
        <v>133</v>
      </c>
      <c r="M1258" t="s">
        <v>134</v>
      </c>
      <c r="N1258" t="s">
        <v>310</v>
      </c>
      <c r="O1258" t="s">
        <v>82</v>
      </c>
      <c r="P1258" t="str">
        <f>"2170716763                    "</f>
        <v xml:space="preserve">2170716763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64.34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6.1</v>
      </c>
      <c r="BJ1258">
        <v>14.7</v>
      </c>
      <c r="BK1258">
        <v>15</v>
      </c>
      <c r="BL1258" s="4">
        <v>378.17</v>
      </c>
      <c r="BM1258" s="4">
        <v>56.73</v>
      </c>
      <c r="BN1258" s="4">
        <v>434.9</v>
      </c>
      <c r="BO1258" s="4">
        <v>434.9</v>
      </c>
      <c r="BQ1258" t="s">
        <v>121</v>
      </c>
      <c r="BR1258" t="s">
        <v>84</v>
      </c>
      <c r="BS1258" s="3">
        <v>43782</v>
      </c>
      <c r="BT1258" s="5">
        <v>0.43402777777777773</v>
      </c>
      <c r="BU1258" t="s">
        <v>1798</v>
      </c>
      <c r="BV1258" t="s">
        <v>86</v>
      </c>
      <c r="BY1258">
        <v>73256.5</v>
      </c>
      <c r="CA1258" t="s">
        <v>1799</v>
      </c>
      <c r="CC1258" t="s">
        <v>134</v>
      </c>
      <c r="CD1258">
        <v>5201</v>
      </c>
      <c r="CE1258" t="s">
        <v>88</v>
      </c>
      <c r="CF1258" s="3">
        <v>43784</v>
      </c>
      <c r="CI1258">
        <v>1</v>
      </c>
      <c r="CJ1258">
        <v>1</v>
      </c>
      <c r="CK1258">
        <v>21</v>
      </c>
      <c r="CL1258" t="s">
        <v>89</v>
      </c>
    </row>
    <row r="1259" spans="1:90">
      <c r="A1259" t="s">
        <v>72</v>
      </c>
      <c r="B1259" t="s">
        <v>73</v>
      </c>
      <c r="C1259" t="s">
        <v>74</v>
      </c>
      <c r="E1259" t="str">
        <f>"FES1162722582"</f>
        <v>FES1162722582</v>
      </c>
      <c r="F1259" s="3">
        <v>43781</v>
      </c>
      <c r="G1259">
        <v>202005</v>
      </c>
      <c r="H1259" t="s">
        <v>75</v>
      </c>
      <c r="I1259" t="s">
        <v>76</v>
      </c>
      <c r="J1259" t="s">
        <v>77</v>
      </c>
      <c r="K1259" t="s">
        <v>78</v>
      </c>
      <c r="L1259" t="s">
        <v>124</v>
      </c>
      <c r="M1259" t="s">
        <v>125</v>
      </c>
      <c r="N1259" t="s">
        <v>218</v>
      </c>
      <c r="O1259" t="s">
        <v>82</v>
      </c>
      <c r="P1259" t="str">
        <f>"2170716823                    "</f>
        <v xml:space="preserve">2170716823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9.1199999999999992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3.1</v>
      </c>
      <c r="BJ1259">
        <v>2.6</v>
      </c>
      <c r="BK1259">
        <v>3.5</v>
      </c>
      <c r="BL1259" s="4">
        <v>53.59</v>
      </c>
      <c r="BM1259" s="4">
        <v>8.0399999999999991</v>
      </c>
      <c r="BN1259" s="4">
        <v>61.63</v>
      </c>
      <c r="BO1259" s="4">
        <v>61.63</v>
      </c>
      <c r="BQ1259" t="s">
        <v>121</v>
      </c>
      <c r="BR1259" t="s">
        <v>84</v>
      </c>
      <c r="BS1259" s="3">
        <v>43782</v>
      </c>
      <c r="BT1259" s="5">
        <v>0.37152777777777773</v>
      </c>
      <c r="BU1259" t="s">
        <v>1800</v>
      </c>
      <c r="BV1259" t="s">
        <v>86</v>
      </c>
      <c r="BY1259">
        <v>13202.42</v>
      </c>
      <c r="CC1259" t="s">
        <v>125</v>
      </c>
      <c r="CD1259">
        <v>2094</v>
      </c>
      <c r="CE1259" t="s">
        <v>88</v>
      </c>
      <c r="CF1259" s="3">
        <v>43784</v>
      </c>
      <c r="CI1259">
        <v>1</v>
      </c>
      <c r="CJ1259">
        <v>1</v>
      </c>
      <c r="CK1259">
        <v>22</v>
      </c>
      <c r="CL1259" t="s">
        <v>89</v>
      </c>
    </row>
    <row r="1260" spans="1:90">
      <c r="A1260" t="s">
        <v>72</v>
      </c>
      <c r="B1260" t="s">
        <v>73</v>
      </c>
      <c r="C1260" t="s">
        <v>74</v>
      </c>
      <c r="E1260" t="str">
        <f>"FES1162722391"</f>
        <v>FES1162722391</v>
      </c>
      <c r="F1260" s="3">
        <v>43781</v>
      </c>
      <c r="G1260">
        <v>202005</v>
      </c>
      <c r="H1260" t="s">
        <v>75</v>
      </c>
      <c r="I1260" t="s">
        <v>76</v>
      </c>
      <c r="J1260" t="s">
        <v>77</v>
      </c>
      <c r="K1260" t="s">
        <v>78</v>
      </c>
      <c r="L1260" t="s">
        <v>112</v>
      </c>
      <c r="M1260" t="s">
        <v>113</v>
      </c>
      <c r="N1260" t="s">
        <v>160</v>
      </c>
      <c r="O1260" t="s">
        <v>82</v>
      </c>
      <c r="P1260" t="str">
        <f>"2170716598                    "</f>
        <v xml:space="preserve">2170716598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19.3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4.0999999999999996</v>
      </c>
      <c r="BJ1260">
        <v>3.1</v>
      </c>
      <c r="BK1260">
        <v>4.5</v>
      </c>
      <c r="BL1260" s="4">
        <v>113.47</v>
      </c>
      <c r="BM1260" s="4">
        <v>17.02</v>
      </c>
      <c r="BN1260" s="4">
        <v>130.49</v>
      </c>
      <c r="BO1260" s="4">
        <v>130.49</v>
      </c>
      <c r="BQ1260" t="s">
        <v>161</v>
      </c>
      <c r="BR1260" t="s">
        <v>84</v>
      </c>
      <c r="BS1260" s="3">
        <v>43782</v>
      </c>
      <c r="BT1260" s="5">
        <v>0.36388888888888887</v>
      </c>
      <c r="BU1260" t="s">
        <v>1360</v>
      </c>
      <c r="BV1260" t="s">
        <v>86</v>
      </c>
      <c r="BY1260">
        <v>15256.84</v>
      </c>
      <c r="CA1260" t="s">
        <v>163</v>
      </c>
      <c r="CC1260" t="s">
        <v>113</v>
      </c>
      <c r="CD1260">
        <v>4000</v>
      </c>
      <c r="CE1260" t="s">
        <v>88</v>
      </c>
      <c r="CF1260" s="3">
        <v>43783</v>
      </c>
      <c r="CI1260">
        <v>1</v>
      </c>
      <c r="CJ1260">
        <v>1</v>
      </c>
      <c r="CK1260">
        <v>21</v>
      </c>
      <c r="CL1260" t="s">
        <v>89</v>
      </c>
    </row>
    <row r="1261" spans="1:90">
      <c r="A1261" t="s">
        <v>72</v>
      </c>
      <c r="B1261" t="s">
        <v>73</v>
      </c>
      <c r="C1261" t="s">
        <v>74</v>
      </c>
      <c r="E1261" t="str">
        <f>"FES1162722559"</f>
        <v>FES1162722559</v>
      </c>
      <c r="F1261" s="3">
        <v>43781</v>
      </c>
      <c r="G1261">
        <v>202005</v>
      </c>
      <c r="H1261" t="s">
        <v>75</v>
      </c>
      <c r="I1261" t="s">
        <v>76</v>
      </c>
      <c r="J1261" t="s">
        <v>77</v>
      </c>
      <c r="K1261" t="s">
        <v>78</v>
      </c>
      <c r="L1261" t="s">
        <v>783</v>
      </c>
      <c r="M1261" t="s">
        <v>784</v>
      </c>
      <c r="N1261" t="s">
        <v>785</v>
      </c>
      <c r="O1261" t="s">
        <v>82</v>
      </c>
      <c r="P1261" t="str">
        <f>"2170716794                    "</f>
        <v xml:space="preserve">2170716794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20.39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2.4</v>
      </c>
      <c r="BJ1261">
        <v>0.8</v>
      </c>
      <c r="BK1261">
        <v>2.5</v>
      </c>
      <c r="BL1261" s="4">
        <v>119.83</v>
      </c>
      <c r="BM1261" s="4">
        <v>17.97</v>
      </c>
      <c r="BN1261" s="4">
        <v>137.80000000000001</v>
      </c>
      <c r="BO1261" s="4">
        <v>137.80000000000001</v>
      </c>
      <c r="BQ1261" t="s">
        <v>109</v>
      </c>
      <c r="BR1261" t="s">
        <v>84</v>
      </c>
      <c r="BS1261" s="3">
        <v>43782</v>
      </c>
      <c r="BT1261" s="5">
        <v>0.43263888888888885</v>
      </c>
      <c r="BU1261" t="s">
        <v>786</v>
      </c>
      <c r="BV1261" t="s">
        <v>86</v>
      </c>
      <c r="BY1261">
        <v>4109.8900000000003</v>
      </c>
      <c r="CA1261" t="s">
        <v>1801</v>
      </c>
      <c r="CC1261" t="s">
        <v>784</v>
      </c>
      <c r="CD1261">
        <v>9880</v>
      </c>
      <c r="CE1261" t="s">
        <v>88</v>
      </c>
      <c r="CF1261" s="3">
        <v>43784</v>
      </c>
      <c r="CI1261">
        <v>1</v>
      </c>
      <c r="CJ1261">
        <v>1</v>
      </c>
      <c r="CK1261">
        <v>23</v>
      </c>
      <c r="CL1261" t="s">
        <v>89</v>
      </c>
    </row>
    <row r="1262" spans="1:90">
      <c r="A1262" t="s">
        <v>72</v>
      </c>
      <c r="B1262" t="s">
        <v>73</v>
      </c>
      <c r="C1262" t="s">
        <v>74</v>
      </c>
      <c r="E1262" t="str">
        <f>"FES1162722392"</f>
        <v>FES1162722392</v>
      </c>
      <c r="F1262" s="3">
        <v>43781</v>
      </c>
      <c r="G1262">
        <v>202005</v>
      </c>
      <c r="H1262" t="s">
        <v>75</v>
      </c>
      <c r="I1262" t="s">
        <v>76</v>
      </c>
      <c r="J1262" t="s">
        <v>77</v>
      </c>
      <c r="K1262" t="s">
        <v>78</v>
      </c>
      <c r="L1262" t="s">
        <v>112</v>
      </c>
      <c r="M1262" t="s">
        <v>113</v>
      </c>
      <c r="N1262" t="s">
        <v>669</v>
      </c>
      <c r="O1262" t="s">
        <v>82</v>
      </c>
      <c r="P1262" t="str">
        <f>"2170716600                    "</f>
        <v xml:space="preserve">2170716600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19.3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4.4000000000000004</v>
      </c>
      <c r="BJ1262">
        <v>3.2</v>
      </c>
      <c r="BK1262">
        <v>4.5</v>
      </c>
      <c r="BL1262" s="4">
        <v>113.47</v>
      </c>
      <c r="BM1262" s="4">
        <v>17.02</v>
      </c>
      <c r="BN1262" s="4">
        <v>130.49</v>
      </c>
      <c r="BO1262" s="4">
        <v>130.49</v>
      </c>
      <c r="BQ1262" t="s">
        <v>109</v>
      </c>
      <c r="BR1262" t="s">
        <v>84</v>
      </c>
      <c r="BS1262" s="3">
        <v>43782</v>
      </c>
      <c r="BT1262" s="5">
        <v>0.49722222222222223</v>
      </c>
      <c r="BU1262" t="s">
        <v>1802</v>
      </c>
      <c r="BV1262" t="s">
        <v>89</v>
      </c>
      <c r="BW1262" t="s">
        <v>144</v>
      </c>
      <c r="BX1262" t="s">
        <v>145</v>
      </c>
      <c r="BY1262">
        <v>16132.48</v>
      </c>
      <c r="CA1262" t="s">
        <v>1755</v>
      </c>
      <c r="CC1262" t="s">
        <v>113</v>
      </c>
      <c r="CD1262">
        <v>4001</v>
      </c>
      <c r="CE1262" t="s">
        <v>88</v>
      </c>
      <c r="CF1262" s="3">
        <v>43783</v>
      </c>
      <c r="CI1262">
        <v>1</v>
      </c>
      <c r="CJ1262">
        <v>1</v>
      </c>
      <c r="CK1262">
        <v>21</v>
      </c>
      <c r="CL1262" t="s">
        <v>89</v>
      </c>
    </row>
    <row r="1263" spans="1:90">
      <c r="A1263" t="s">
        <v>72</v>
      </c>
      <c r="B1263" t="s">
        <v>73</v>
      </c>
      <c r="C1263" t="s">
        <v>74</v>
      </c>
      <c r="E1263" t="str">
        <f>"FES1162722470"</f>
        <v>FES1162722470</v>
      </c>
      <c r="F1263" s="3">
        <v>43781</v>
      </c>
      <c r="G1263">
        <v>202005</v>
      </c>
      <c r="H1263" t="s">
        <v>75</v>
      </c>
      <c r="I1263" t="s">
        <v>76</v>
      </c>
      <c r="J1263" t="s">
        <v>77</v>
      </c>
      <c r="K1263" t="s">
        <v>78</v>
      </c>
      <c r="L1263" t="s">
        <v>101</v>
      </c>
      <c r="M1263" t="s">
        <v>102</v>
      </c>
      <c r="N1263" t="s">
        <v>1782</v>
      </c>
      <c r="O1263" t="s">
        <v>82</v>
      </c>
      <c r="P1263" t="str">
        <f>"2170716674                    "</f>
        <v xml:space="preserve">2170716674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15.02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1.6</v>
      </c>
      <c r="BJ1263">
        <v>3.1</v>
      </c>
      <c r="BK1263">
        <v>3.5</v>
      </c>
      <c r="BL1263" s="4">
        <v>88.27</v>
      </c>
      <c r="BM1263" s="4">
        <v>13.24</v>
      </c>
      <c r="BN1263" s="4">
        <v>101.51</v>
      </c>
      <c r="BO1263" s="4">
        <v>101.51</v>
      </c>
      <c r="BQ1263" t="s">
        <v>121</v>
      </c>
      <c r="BR1263" t="s">
        <v>84</v>
      </c>
      <c r="BS1263" s="3">
        <v>43782</v>
      </c>
      <c r="BT1263" s="5">
        <v>0.4236111111111111</v>
      </c>
      <c r="BU1263" t="s">
        <v>1784</v>
      </c>
      <c r="BV1263" t="s">
        <v>86</v>
      </c>
      <c r="BY1263">
        <v>15590.4</v>
      </c>
      <c r="CA1263" t="s">
        <v>183</v>
      </c>
      <c r="CC1263" t="s">
        <v>102</v>
      </c>
      <c r="CD1263">
        <v>200</v>
      </c>
      <c r="CE1263" t="s">
        <v>88</v>
      </c>
      <c r="CF1263" s="3">
        <v>43783</v>
      </c>
      <c r="CI1263">
        <v>1</v>
      </c>
      <c r="CJ1263">
        <v>1</v>
      </c>
      <c r="CK1263">
        <v>21</v>
      </c>
      <c r="CL1263" t="s">
        <v>89</v>
      </c>
    </row>
    <row r="1264" spans="1:90">
      <c r="A1264" t="s">
        <v>72</v>
      </c>
      <c r="B1264" t="s">
        <v>73</v>
      </c>
      <c r="C1264" t="s">
        <v>74</v>
      </c>
      <c r="E1264" t="str">
        <f>"FES1162722439"</f>
        <v>FES1162722439</v>
      </c>
      <c r="F1264" s="3">
        <v>43781</v>
      </c>
      <c r="G1264">
        <v>202005</v>
      </c>
      <c r="H1264" t="s">
        <v>75</v>
      </c>
      <c r="I1264" t="s">
        <v>76</v>
      </c>
      <c r="J1264" t="s">
        <v>77</v>
      </c>
      <c r="K1264" t="s">
        <v>78</v>
      </c>
      <c r="L1264" t="s">
        <v>90</v>
      </c>
      <c r="M1264" t="s">
        <v>91</v>
      </c>
      <c r="N1264" t="s">
        <v>1481</v>
      </c>
      <c r="O1264" t="s">
        <v>82</v>
      </c>
      <c r="P1264" t="str">
        <f>"2170716653                    "</f>
        <v xml:space="preserve">2170716653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32.17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7.1</v>
      </c>
      <c r="BJ1264">
        <v>3.2</v>
      </c>
      <c r="BK1264">
        <v>7.5</v>
      </c>
      <c r="BL1264" s="4">
        <v>189.1</v>
      </c>
      <c r="BM1264" s="4">
        <v>28.37</v>
      </c>
      <c r="BN1264" s="4">
        <v>217.47</v>
      </c>
      <c r="BO1264" s="4">
        <v>217.47</v>
      </c>
      <c r="BQ1264" t="s">
        <v>121</v>
      </c>
      <c r="BR1264" t="s">
        <v>84</v>
      </c>
      <c r="BS1264" s="3">
        <v>43782</v>
      </c>
      <c r="BT1264" s="5">
        <v>0.38958333333333334</v>
      </c>
      <c r="BU1264" t="s">
        <v>1803</v>
      </c>
      <c r="BV1264" t="s">
        <v>86</v>
      </c>
      <c r="BY1264">
        <v>15873.36</v>
      </c>
      <c r="CA1264" t="s">
        <v>1238</v>
      </c>
      <c r="CC1264" t="s">
        <v>91</v>
      </c>
      <c r="CD1264">
        <v>7441</v>
      </c>
      <c r="CE1264" t="s">
        <v>88</v>
      </c>
      <c r="CF1264" s="3">
        <v>43783</v>
      </c>
      <c r="CI1264">
        <v>1</v>
      </c>
      <c r="CJ1264">
        <v>1</v>
      </c>
      <c r="CK1264">
        <v>21</v>
      </c>
      <c r="CL1264" t="s">
        <v>89</v>
      </c>
    </row>
    <row r="1265" spans="1:90">
      <c r="A1265" t="s">
        <v>72</v>
      </c>
      <c r="B1265" t="s">
        <v>73</v>
      </c>
      <c r="C1265" t="s">
        <v>74</v>
      </c>
      <c r="E1265" t="str">
        <f>"FES1162722463"</f>
        <v>FES1162722463</v>
      </c>
      <c r="F1265" s="3">
        <v>43781</v>
      </c>
      <c r="G1265">
        <v>202005</v>
      </c>
      <c r="H1265" t="s">
        <v>75</v>
      </c>
      <c r="I1265" t="s">
        <v>76</v>
      </c>
      <c r="J1265" t="s">
        <v>77</v>
      </c>
      <c r="K1265" t="s">
        <v>78</v>
      </c>
      <c r="L1265" t="s">
        <v>101</v>
      </c>
      <c r="M1265" t="s">
        <v>102</v>
      </c>
      <c r="N1265" t="s">
        <v>768</v>
      </c>
      <c r="O1265" t="s">
        <v>82</v>
      </c>
      <c r="P1265" t="str">
        <f>"2170715967                    "</f>
        <v xml:space="preserve">2170715967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8.58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0.2</v>
      </c>
      <c r="BJ1265">
        <v>0.7</v>
      </c>
      <c r="BK1265">
        <v>1</v>
      </c>
      <c r="BL1265" s="4">
        <v>50.45</v>
      </c>
      <c r="BM1265" s="4">
        <v>7.57</v>
      </c>
      <c r="BN1265" s="4">
        <v>58.02</v>
      </c>
      <c r="BO1265" s="4">
        <v>58.02</v>
      </c>
      <c r="BQ1265" t="s">
        <v>121</v>
      </c>
      <c r="BR1265" t="s">
        <v>84</v>
      </c>
      <c r="BS1265" s="3">
        <v>43782</v>
      </c>
      <c r="BT1265" s="5">
        <v>0.375</v>
      </c>
      <c r="BU1265" t="s">
        <v>1780</v>
      </c>
      <c r="BV1265" t="s">
        <v>86</v>
      </c>
      <c r="BY1265">
        <v>3687.16</v>
      </c>
      <c r="CA1265" t="s">
        <v>105</v>
      </c>
      <c r="CC1265" t="s">
        <v>102</v>
      </c>
      <c r="CD1265">
        <v>117</v>
      </c>
      <c r="CE1265" t="s">
        <v>88</v>
      </c>
      <c r="CF1265" s="3">
        <v>43784</v>
      </c>
      <c r="CI1265">
        <v>1</v>
      </c>
      <c r="CJ1265">
        <v>1</v>
      </c>
      <c r="CK1265">
        <v>21</v>
      </c>
      <c r="CL1265" t="s">
        <v>89</v>
      </c>
    </row>
    <row r="1266" spans="1:90">
      <c r="A1266" t="s">
        <v>72</v>
      </c>
      <c r="B1266" t="s">
        <v>73</v>
      </c>
      <c r="C1266" t="s">
        <v>74</v>
      </c>
      <c r="E1266" t="str">
        <f>"FES1162722480"</f>
        <v>FES1162722480</v>
      </c>
      <c r="F1266" s="3">
        <v>43781</v>
      </c>
      <c r="G1266">
        <v>202005</v>
      </c>
      <c r="H1266" t="s">
        <v>75</v>
      </c>
      <c r="I1266" t="s">
        <v>76</v>
      </c>
      <c r="J1266" t="s">
        <v>77</v>
      </c>
      <c r="K1266" t="s">
        <v>78</v>
      </c>
      <c r="L1266" t="s">
        <v>482</v>
      </c>
      <c r="M1266" t="s">
        <v>483</v>
      </c>
      <c r="N1266" t="s">
        <v>449</v>
      </c>
      <c r="O1266" t="s">
        <v>82</v>
      </c>
      <c r="P1266" t="str">
        <f>"2170715693                    "</f>
        <v xml:space="preserve">2170715693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6.71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1.6</v>
      </c>
      <c r="BJ1266">
        <v>0.5</v>
      </c>
      <c r="BK1266">
        <v>2</v>
      </c>
      <c r="BL1266" s="4">
        <v>39.42</v>
      </c>
      <c r="BM1266" s="4">
        <v>5.91</v>
      </c>
      <c r="BN1266" s="4">
        <v>45.33</v>
      </c>
      <c r="BO1266" s="4">
        <v>45.33</v>
      </c>
      <c r="BQ1266" t="s">
        <v>109</v>
      </c>
      <c r="BR1266" t="s">
        <v>84</v>
      </c>
      <c r="BS1266" s="3">
        <v>43782</v>
      </c>
      <c r="BT1266" s="5">
        <v>0.34166666666666662</v>
      </c>
      <c r="BU1266" t="s">
        <v>1271</v>
      </c>
      <c r="BV1266" t="s">
        <v>86</v>
      </c>
      <c r="BY1266">
        <v>2655.24</v>
      </c>
      <c r="CA1266" t="s">
        <v>1804</v>
      </c>
      <c r="CC1266" t="s">
        <v>483</v>
      </c>
      <c r="CD1266">
        <v>1459</v>
      </c>
      <c r="CE1266" t="s">
        <v>88</v>
      </c>
      <c r="CF1266" s="3">
        <v>43784</v>
      </c>
      <c r="CI1266">
        <v>1</v>
      </c>
      <c r="CJ1266">
        <v>1</v>
      </c>
      <c r="CK1266">
        <v>22</v>
      </c>
      <c r="CL1266" t="s">
        <v>89</v>
      </c>
    </row>
    <row r="1267" spans="1:90">
      <c r="A1267" t="s">
        <v>72</v>
      </c>
      <c r="B1267" t="s">
        <v>73</v>
      </c>
      <c r="C1267" t="s">
        <v>74</v>
      </c>
      <c r="E1267" t="str">
        <f>"FES11627226091"</f>
        <v>FES11627226091</v>
      </c>
      <c r="F1267" s="3">
        <v>43781</v>
      </c>
      <c r="G1267">
        <v>202005</v>
      </c>
      <c r="H1267" t="s">
        <v>75</v>
      </c>
      <c r="I1267" t="s">
        <v>76</v>
      </c>
      <c r="J1267" t="s">
        <v>77</v>
      </c>
      <c r="K1267" t="s">
        <v>78</v>
      </c>
      <c r="L1267" t="s">
        <v>431</v>
      </c>
      <c r="M1267" t="s">
        <v>432</v>
      </c>
      <c r="N1267" t="s">
        <v>433</v>
      </c>
      <c r="O1267" t="s">
        <v>82</v>
      </c>
      <c r="P1267" t="str">
        <f>"2170716842                    "</f>
        <v xml:space="preserve">2170716842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8.58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1.6</v>
      </c>
      <c r="BJ1267">
        <v>0.8</v>
      </c>
      <c r="BK1267">
        <v>2</v>
      </c>
      <c r="BL1267" s="4">
        <v>50.45</v>
      </c>
      <c r="BM1267" s="4">
        <v>7.57</v>
      </c>
      <c r="BN1267" s="4">
        <v>58.02</v>
      </c>
      <c r="BO1267" s="4">
        <v>58.02</v>
      </c>
      <c r="BQ1267" t="s">
        <v>121</v>
      </c>
      <c r="BR1267" t="s">
        <v>84</v>
      </c>
      <c r="BS1267" s="3">
        <v>43782</v>
      </c>
      <c r="BT1267" s="5">
        <v>0.54861111111111105</v>
      </c>
      <c r="BU1267" t="s">
        <v>1451</v>
      </c>
      <c r="BV1267" t="s">
        <v>86</v>
      </c>
      <c r="BY1267">
        <v>3772.91</v>
      </c>
      <c r="CA1267" t="s">
        <v>435</v>
      </c>
      <c r="CC1267" t="s">
        <v>432</v>
      </c>
      <c r="CD1267">
        <v>3699</v>
      </c>
      <c r="CE1267" t="s">
        <v>88</v>
      </c>
      <c r="CI1267">
        <v>1</v>
      </c>
      <c r="CJ1267">
        <v>1</v>
      </c>
      <c r="CK1267">
        <v>21</v>
      </c>
      <c r="CL1267" t="s">
        <v>89</v>
      </c>
    </row>
    <row r="1268" spans="1:90">
      <c r="A1268" t="s">
        <v>72</v>
      </c>
      <c r="B1268" t="s">
        <v>73</v>
      </c>
      <c r="C1268" t="s">
        <v>74</v>
      </c>
      <c r="E1268" t="str">
        <f>"FES1162722508"</f>
        <v>FES1162722508</v>
      </c>
      <c r="F1268" s="3">
        <v>43781</v>
      </c>
      <c r="G1268">
        <v>202005</v>
      </c>
      <c r="H1268" t="s">
        <v>75</v>
      </c>
      <c r="I1268" t="s">
        <v>76</v>
      </c>
      <c r="J1268" t="s">
        <v>77</v>
      </c>
      <c r="K1268" t="s">
        <v>78</v>
      </c>
      <c r="L1268" t="s">
        <v>75</v>
      </c>
      <c r="M1268" t="s">
        <v>76</v>
      </c>
      <c r="N1268" t="s">
        <v>360</v>
      </c>
      <c r="O1268" t="s">
        <v>82</v>
      </c>
      <c r="P1268" t="str">
        <f>"2170716727                    "</f>
        <v xml:space="preserve">2170716727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21.17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9.9</v>
      </c>
      <c r="BJ1268">
        <v>10.8</v>
      </c>
      <c r="BK1268">
        <v>11</v>
      </c>
      <c r="BL1268" s="4">
        <v>124.44</v>
      </c>
      <c r="BM1268" s="4">
        <v>18.670000000000002</v>
      </c>
      <c r="BN1268" s="4">
        <v>143.11000000000001</v>
      </c>
      <c r="BO1268" s="4">
        <v>143.11000000000001</v>
      </c>
      <c r="BQ1268" t="s">
        <v>109</v>
      </c>
      <c r="BR1268" t="s">
        <v>84</v>
      </c>
      <c r="BS1268" s="3">
        <v>43782</v>
      </c>
      <c r="BT1268" s="5">
        <v>0.3263888888888889</v>
      </c>
      <c r="BU1268" t="s">
        <v>1805</v>
      </c>
      <c r="BV1268" t="s">
        <v>86</v>
      </c>
      <c r="BY1268">
        <v>54134.78</v>
      </c>
      <c r="CA1268" t="s">
        <v>797</v>
      </c>
      <c r="CC1268" t="s">
        <v>76</v>
      </c>
      <c r="CD1268">
        <v>1645</v>
      </c>
      <c r="CE1268" t="s">
        <v>88</v>
      </c>
      <c r="CF1268" s="3">
        <v>43784</v>
      </c>
      <c r="CI1268">
        <v>1</v>
      </c>
      <c r="CJ1268">
        <v>1</v>
      </c>
      <c r="CK1268">
        <v>22</v>
      </c>
      <c r="CL1268" t="s">
        <v>89</v>
      </c>
    </row>
    <row r="1269" spans="1:90">
      <c r="A1269" t="s">
        <v>72</v>
      </c>
      <c r="B1269" t="s">
        <v>73</v>
      </c>
      <c r="C1269" t="s">
        <v>74</v>
      </c>
      <c r="E1269" t="str">
        <f>"FES1162722385"</f>
        <v>FES1162722385</v>
      </c>
      <c r="F1269" s="3">
        <v>43781</v>
      </c>
      <c r="G1269">
        <v>202005</v>
      </c>
      <c r="H1269" t="s">
        <v>75</v>
      </c>
      <c r="I1269" t="s">
        <v>76</v>
      </c>
      <c r="J1269" t="s">
        <v>77</v>
      </c>
      <c r="K1269" t="s">
        <v>78</v>
      </c>
      <c r="L1269" t="s">
        <v>90</v>
      </c>
      <c r="M1269" t="s">
        <v>91</v>
      </c>
      <c r="N1269" t="s">
        <v>527</v>
      </c>
      <c r="O1269" t="s">
        <v>82</v>
      </c>
      <c r="P1269" t="str">
        <f>"2170716594                    "</f>
        <v xml:space="preserve">2170716594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19.3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4</v>
      </c>
      <c r="BJ1269">
        <v>4.0999999999999996</v>
      </c>
      <c r="BK1269">
        <v>4.5</v>
      </c>
      <c r="BL1269" s="4">
        <v>113.47</v>
      </c>
      <c r="BM1269" s="4">
        <v>17.02</v>
      </c>
      <c r="BN1269" s="4">
        <v>130.49</v>
      </c>
      <c r="BO1269" s="4">
        <v>130.49</v>
      </c>
      <c r="BQ1269" t="s">
        <v>109</v>
      </c>
      <c r="BR1269" t="s">
        <v>84</v>
      </c>
      <c r="BS1269" s="3">
        <v>43782</v>
      </c>
      <c r="BT1269" s="5">
        <v>0.34236111111111112</v>
      </c>
      <c r="BU1269" t="s">
        <v>724</v>
      </c>
      <c r="BV1269" t="s">
        <v>86</v>
      </c>
      <c r="BY1269">
        <v>20358</v>
      </c>
      <c r="CA1269" t="s">
        <v>221</v>
      </c>
      <c r="CC1269" t="s">
        <v>91</v>
      </c>
      <c r="CD1269">
        <v>7405</v>
      </c>
      <c r="CE1269" t="s">
        <v>88</v>
      </c>
      <c r="CF1269" s="3">
        <v>43783</v>
      </c>
      <c r="CI1269">
        <v>1</v>
      </c>
      <c r="CJ1269">
        <v>1</v>
      </c>
      <c r="CK1269">
        <v>21</v>
      </c>
      <c r="CL1269" t="s">
        <v>89</v>
      </c>
    </row>
    <row r="1270" spans="1:90">
      <c r="A1270" t="s">
        <v>72</v>
      </c>
      <c r="B1270" t="s">
        <v>73</v>
      </c>
      <c r="C1270" t="s">
        <v>74</v>
      </c>
      <c r="E1270" t="str">
        <f>"FES1162722456"</f>
        <v>FES1162722456</v>
      </c>
      <c r="F1270" s="3">
        <v>43781</v>
      </c>
      <c r="G1270">
        <v>202005</v>
      </c>
      <c r="H1270" t="s">
        <v>75</v>
      </c>
      <c r="I1270" t="s">
        <v>76</v>
      </c>
      <c r="J1270" t="s">
        <v>77</v>
      </c>
      <c r="K1270" t="s">
        <v>78</v>
      </c>
      <c r="L1270" t="s">
        <v>184</v>
      </c>
      <c r="M1270" t="s">
        <v>185</v>
      </c>
      <c r="N1270" t="s">
        <v>735</v>
      </c>
      <c r="O1270" t="s">
        <v>82</v>
      </c>
      <c r="P1270" t="str">
        <f>"2170714910                    "</f>
        <v xml:space="preserve">2170714910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15.55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4.9000000000000004</v>
      </c>
      <c r="BJ1270">
        <v>7.3</v>
      </c>
      <c r="BK1270">
        <v>7.5</v>
      </c>
      <c r="BL1270" s="4">
        <v>91.38</v>
      </c>
      <c r="BM1270" s="4">
        <v>13.71</v>
      </c>
      <c r="BN1270" s="4">
        <v>105.09</v>
      </c>
      <c r="BO1270" s="4">
        <v>105.09</v>
      </c>
      <c r="BQ1270" t="s">
        <v>121</v>
      </c>
      <c r="BR1270" t="s">
        <v>84</v>
      </c>
      <c r="BS1270" s="3">
        <v>43782</v>
      </c>
      <c r="BT1270" s="5">
        <v>0.41875000000000001</v>
      </c>
      <c r="BU1270" t="s">
        <v>1806</v>
      </c>
      <c r="BV1270" t="s">
        <v>86</v>
      </c>
      <c r="BY1270">
        <v>36477.4</v>
      </c>
      <c r="CA1270" t="s">
        <v>123</v>
      </c>
      <c r="CC1270" t="s">
        <v>185</v>
      </c>
      <c r="CD1270">
        <v>1500</v>
      </c>
      <c r="CE1270" t="s">
        <v>88</v>
      </c>
      <c r="CF1270" s="3">
        <v>43783</v>
      </c>
      <c r="CI1270">
        <v>1</v>
      </c>
      <c r="CJ1270">
        <v>1</v>
      </c>
      <c r="CK1270">
        <v>22</v>
      </c>
      <c r="CL1270" t="s">
        <v>89</v>
      </c>
    </row>
    <row r="1271" spans="1:90">
      <c r="A1271" t="s">
        <v>72</v>
      </c>
      <c r="B1271" t="s">
        <v>73</v>
      </c>
      <c r="C1271" t="s">
        <v>74</v>
      </c>
      <c r="E1271" t="str">
        <f>"FES1162722534"</f>
        <v>FES1162722534</v>
      </c>
      <c r="F1271" s="3">
        <v>43781</v>
      </c>
      <c r="G1271">
        <v>202005</v>
      </c>
      <c r="H1271" t="s">
        <v>75</v>
      </c>
      <c r="I1271" t="s">
        <v>76</v>
      </c>
      <c r="J1271" t="s">
        <v>77</v>
      </c>
      <c r="K1271" t="s">
        <v>78</v>
      </c>
      <c r="L1271" t="s">
        <v>783</v>
      </c>
      <c r="M1271" t="s">
        <v>784</v>
      </c>
      <c r="N1271" t="s">
        <v>785</v>
      </c>
      <c r="O1271" t="s">
        <v>82</v>
      </c>
      <c r="P1271" t="str">
        <f>"2170714663                    "</f>
        <v xml:space="preserve">2170714663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121.79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11.2</v>
      </c>
      <c r="BJ1271">
        <v>15.6</v>
      </c>
      <c r="BK1271">
        <v>16</v>
      </c>
      <c r="BL1271" s="4">
        <v>715.87</v>
      </c>
      <c r="BM1271" s="4">
        <v>107.38</v>
      </c>
      <c r="BN1271" s="4">
        <v>823.25</v>
      </c>
      <c r="BO1271" s="4">
        <v>823.25</v>
      </c>
      <c r="BQ1271" t="s">
        <v>109</v>
      </c>
      <c r="BR1271" t="s">
        <v>84</v>
      </c>
      <c r="BS1271" s="3">
        <v>43782</v>
      </c>
      <c r="BT1271" s="5">
        <v>0.43263888888888885</v>
      </c>
      <c r="BU1271" t="s">
        <v>786</v>
      </c>
      <c r="BV1271" t="s">
        <v>86</v>
      </c>
      <c r="BY1271">
        <v>77761.58</v>
      </c>
      <c r="CA1271" t="s">
        <v>1801</v>
      </c>
      <c r="CC1271" t="s">
        <v>784</v>
      </c>
      <c r="CD1271">
        <v>9880</v>
      </c>
      <c r="CE1271" t="s">
        <v>88</v>
      </c>
      <c r="CF1271" s="3">
        <v>43784</v>
      </c>
      <c r="CI1271">
        <v>1</v>
      </c>
      <c r="CJ1271">
        <v>1</v>
      </c>
      <c r="CK1271">
        <v>23</v>
      </c>
      <c r="CL1271" t="s">
        <v>89</v>
      </c>
    </row>
    <row r="1272" spans="1:90">
      <c r="A1272" t="s">
        <v>72</v>
      </c>
      <c r="B1272" t="s">
        <v>73</v>
      </c>
      <c r="C1272" t="s">
        <v>74</v>
      </c>
      <c r="E1272" t="str">
        <f>"FES1162722562"</f>
        <v>FES1162722562</v>
      </c>
      <c r="F1272" s="3">
        <v>43781</v>
      </c>
      <c r="G1272">
        <v>202005</v>
      </c>
      <c r="H1272" t="s">
        <v>75</v>
      </c>
      <c r="I1272" t="s">
        <v>76</v>
      </c>
      <c r="J1272" t="s">
        <v>77</v>
      </c>
      <c r="K1272" t="s">
        <v>78</v>
      </c>
      <c r="L1272" t="s">
        <v>184</v>
      </c>
      <c r="M1272" t="s">
        <v>185</v>
      </c>
      <c r="N1272" t="s">
        <v>186</v>
      </c>
      <c r="O1272" t="s">
        <v>756</v>
      </c>
      <c r="P1272" t="str">
        <f>"2170716797                    "</f>
        <v xml:space="preserve">2170716797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11.97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2</v>
      </c>
      <c r="BI1272">
        <v>10.5</v>
      </c>
      <c r="BJ1272">
        <v>4.2</v>
      </c>
      <c r="BK1272">
        <v>11</v>
      </c>
      <c r="BL1272" s="4">
        <v>70.37</v>
      </c>
      <c r="BM1272" s="4">
        <v>10.56</v>
      </c>
      <c r="BN1272" s="4">
        <v>80.930000000000007</v>
      </c>
      <c r="BO1272" s="4">
        <v>80.930000000000007</v>
      </c>
      <c r="BP1272" t="s">
        <v>757</v>
      </c>
      <c r="BQ1272" t="s">
        <v>121</v>
      </c>
      <c r="BR1272" t="s">
        <v>84</v>
      </c>
      <c r="BS1272" s="3">
        <v>43782</v>
      </c>
      <c r="BT1272" s="5">
        <v>0.38541666666666669</v>
      </c>
      <c r="BU1272" t="s">
        <v>1807</v>
      </c>
      <c r="BV1272" t="s">
        <v>86</v>
      </c>
      <c r="BY1272">
        <v>20876.22</v>
      </c>
      <c r="CA1272" t="s">
        <v>849</v>
      </c>
      <c r="CC1272" t="s">
        <v>185</v>
      </c>
      <c r="CD1272">
        <v>1501</v>
      </c>
      <c r="CE1272" t="s">
        <v>88</v>
      </c>
      <c r="CF1272" s="3">
        <v>43783</v>
      </c>
      <c r="CI1272">
        <v>1</v>
      </c>
      <c r="CJ1272">
        <v>1</v>
      </c>
      <c r="CK1272">
        <v>32</v>
      </c>
      <c r="CL1272" t="s">
        <v>89</v>
      </c>
    </row>
    <row r="1273" spans="1:90">
      <c r="A1273" t="s">
        <v>72</v>
      </c>
      <c r="B1273" t="s">
        <v>73</v>
      </c>
      <c r="C1273" t="s">
        <v>74</v>
      </c>
      <c r="E1273" t="str">
        <f>"FES1162722573"</f>
        <v>FES1162722573</v>
      </c>
      <c r="F1273" s="3">
        <v>43781</v>
      </c>
      <c r="G1273">
        <v>202005</v>
      </c>
      <c r="H1273" t="s">
        <v>75</v>
      </c>
      <c r="I1273" t="s">
        <v>76</v>
      </c>
      <c r="J1273" t="s">
        <v>77</v>
      </c>
      <c r="K1273" t="s">
        <v>78</v>
      </c>
      <c r="L1273" t="s">
        <v>184</v>
      </c>
      <c r="M1273" t="s">
        <v>185</v>
      </c>
      <c r="N1273" t="s">
        <v>1314</v>
      </c>
      <c r="O1273" t="s">
        <v>82</v>
      </c>
      <c r="P1273" t="str">
        <f>"2170716810                    "</f>
        <v xml:space="preserve">2170716810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12.33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3.8</v>
      </c>
      <c r="BJ1273">
        <v>5.3</v>
      </c>
      <c r="BK1273">
        <v>5.5</v>
      </c>
      <c r="BL1273" s="4">
        <v>72.48</v>
      </c>
      <c r="BM1273" s="4">
        <v>10.87</v>
      </c>
      <c r="BN1273" s="4">
        <v>83.35</v>
      </c>
      <c r="BO1273" s="4">
        <v>83.35</v>
      </c>
      <c r="BQ1273" t="s">
        <v>109</v>
      </c>
      <c r="BR1273" t="s">
        <v>84</v>
      </c>
      <c r="BS1273" s="3">
        <v>43782</v>
      </c>
      <c r="BT1273" s="5">
        <v>0.33333333333333331</v>
      </c>
      <c r="BU1273" t="s">
        <v>1808</v>
      </c>
      <c r="BV1273" t="s">
        <v>86</v>
      </c>
      <c r="BY1273">
        <v>26585.72</v>
      </c>
      <c r="CA1273" t="s">
        <v>1809</v>
      </c>
      <c r="CC1273" t="s">
        <v>185</v>
      </c>
      <c r="CD1273">
        <v>1501</v>
      </c>
      <c r="CE1273" t="s">
        <v>88</v>
      </c>
      <c r="CF1273" s="3">
        <v>43784</v>
      </c>
      <c r="CI1273">
        <v>1</v>
      </c>
      <c r="CJ1273">
        <v>1</v>
      </c>
      <c r="CK1273">
        <v>22</v>
      </c>
      <c r="CL1273" t="s">
        <v>89</v>
      </c>
    </row>
    <row r="1274" spans="1:90">
      <c r="A1274" t="s">
        <v>72</v>
      </c>
      <c r="B1274" t="s">
        <v>73</v>
      </c>
      <c r="C1274" t="s">
        <v>74</v>
      </c>
      <c r="E1274" t="str">
        <f>"FES1162722401"</f>
        <v>FES1162722401</v>
      </c>
      <c r="F1274" s="3">
        <v>43781</v>
      </c>
      <c r="G1274">
        <v>202005</v>
      </c>
      <c r="H1274" t="s">
        <v>75</v>
      </c>
      <c r="I1274" t="s">
        <v>76</v>
      </c>
      <c r="J1274" t="s">
        <v>77</v>
      </c>
      <c r="K1274" t="s">
        <v>78</v>
      </c>
      <c r="L1274" t="s">
        <v>90</v>
      </c>
      <c r="M1274" t="s">
        <v>91</v>
      </c>
      <c r="N1274" t="s">
        <v>401</v>
      </c>
      <c r="O1274" t="s">
        <v>82</v>
      </c>
      <c r="P1274" t="str">
        <f>"2170716616                    "</f>
        <v xml:space="preserve">2170716616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38.6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2</v>
      </c>
      <c r="BI1274">
        <v>8.6999999999999993</v>
      </c>
      <c r="BJ1274">
        <v>5.7</v>
      </c>
      <c r="BK1274">
        <v>9</v>
      </c>
      <c r="BL1274" s="4">
        <v>226.91</v>
      </c>
      <c r="BM1274" s="4">
        <v>34.04</v>
      </c>
      <c r="BN1274" s="4">
        <v>260.95</v>
      </c>
      <c r="BO1274" s="4">
        <v>260.95</v>
      </c>
      <c r="BQ1274" t="s">
        <v>109</v>
      </c>
      <c r="BR1274" t="s">
        <v>84</v>
      </c>
      <c r="BS1274" s="3">
        <v>43782</v>
      </c>
      <c r="BT1274" s="5">
        <v>0.3743055555555555</v>
      </c>
      <c r="BU1274" t="s">
        <v>402</v>
      </c>
      <c r="BV1274" t="s">
        <v>86</v>
      </c>
      <c r="BY1274">
        <v>28320.3</v>
      </c>
      <c r="CA1274" t="s">
        <v>221</v>
      </c>
      <c r="CC1274" t="s">
        <v>91</v>
      </c>
      <c r="CD1274">
        <v>7441</v>
      </c>
      <c r="CE1274" t="s">
        <v>88</v>
      </c>
      <c r="CF1274" s="3">
        <v>43783</v>
      </c>
      <c r="CI1274">
        <v>1</v>
      </c>
      <c r="CJ1274">
        <v>1</v>
      </c>
      <c r="CK1274">
        <v>21</v>
      </c>
      <c r="CL1274" t="s">
        <v>89</v>
      </c>
    </row>
    <row r="1275" spans="1:90">
      <c r="A1275" t="s">
        <v>72</v>
      </c>
      <c r="B1275" t="s">
        <v>73</v>
      </c>
      <c r="C1275" t="s">
        <v>74</v>
      </c>
      <c r="E1275" t="str">
        <f>"FES1162722517"</f>
        <v>FES1162722517</v>
      </c>
      <c r="F1275" s="3">
        <v>43781</v>
      </c>
      <c r="G1275">
        <v>202005</v>
      </c>
      <c r="H1275" t="s">
        <v>75</v>
      </c>
      <c r="I1275" t="s">
        <v>76</v>
      </c>
      <c r="J1275" t="s">
        <v>77</v>
      </c>
      <c r="K1275" t="s">
        <v>78</v>
      </c>
      <c r="L1275" t="s">
        <v>482</v>
      </c>
      <c r="M1275" t="s">
        <v>483</v>
      </c>
      <c r="N1275" t="s">
        <v>594</v>
      </c>
      <c r="O1275" t="s">
        <v>82</v>
      </c>
      <c r="P1275" t="str">
        <f>"2170716740                    "</f>
        <v xml:space="preserve">2170716740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6.71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 s="4">
        <v>39.42</v>
      </c>
      <c r="BM1275" s="4">
        <v>5.91</v>
      </c>
      <c r="BN1275" s="4">
        <v>45.33</v>
      </c>
      <c r="BO1275" s="4">
        <v>45.33</v>
      </c>
      <c r="BQ1275" t="s">
        <v>109</v>
      </c>
      <c r="BR1275" t="s">
        <v>84</v>
      </c>
      <c r="BS1275" s="3">
        <v>43782</v>
      </c>
      <c r="BT1275" s="5">
        <v>0.34236111111111112</v>
      </c>
      <c r="BU1275" t="s">
        <v>595</v>
      </c>
      <c r="BV1275" t="s">
        <v>86</v>
      </c>
      <c r="BY1275">
        <v>1200</v>
      </c>
      <c r="CA1275" t="s">
        <v>1804</v>
      </c>
      <c r="CC1275" t="s">
        <v>483</v>
      </c>
      <c r="CD1275">
        <v>1459</v>
      </c>
      <c r="CE1275" t="s">
        <v>147</v>
      </c>
      <c r="CF1275" s="3">
        <v>43784</v>
      </c>
      <c r="CI1275">
        <v>1</v>
      </c>
      <c r="CJ1275">
        <v>1</v>
      </c>
      <c r="CK1275">
        <v>22</v>
      </c>
      <c r="CL1275" t="s">
        <v>89</v>
      </c>
    </row>
    <row r="1276" spans="1:90">
      <c r="A1276" t="s">
        <v>72</v>
      </c>
      <c r="B1276" t="s">
        <v>73</v>
      </c>
      <c r="C1276" t="s">
        <v>74</v>
      </c>
      <c r="E1276" t="str">
        <f>"FES1162722564"</f>
        <v>FES1162722564</v>
      </c>
      <c r="F1276" s="3">
        <v>43781</v>
      </c>
      <c r="G1276">
        <v>202005</v>
      </c>
      <c r="H1276" t="s">
        <v>75</v>
      </c>
      <c r="I1276" t="s">
        <v>76</v>
      </c>
      <c r="J1276" t="s">
        <v>77</v>
      </c>
      <c r="K1276" t="s">
        <v>78</v>
      </c>
      <c r="L1276" t="s">
        <v>90</v>
      </c>
      <c r="M1276" t="s">
        <v>91</v>
      </c>
      <c r="N1276" t="s">
        <v>576</v>
      </c>
      <c r="O1276" t="s">
        <v>82</v>
      </c>
      <c r="P1276" t="str">
        <f>"2170716798                    "</f>
        <v xml:space="preserve">2170716798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17.16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3.8</v>
      </c>
      <c r="BJ1276">
        <v>1.3</v>
      </c>
      <c r="BK1276">
        <v>4</v>
      </c>
      <c r="BL1276" s="4">
        <v>100.87</v>
      </c>
      <c r="BM1276" s="4">
        <v>15.13</v>
      </c>
      <c r="BN1276" s="4">
        <v>116</v>
      </c>
      <c r="BO1276" s="4">
        <v>116</v>
      </c>
      <c r="BQ1276" t="s">
        <v>109</v>
      </c>
      <c r="BR1276" t="s">
        <v>84</v>
      </c>
      <c r="BS1276" s="3">
        <v>43782</v>
      </c>
      <c r="BT1276" s="5">
        <v>0.45833333333333331</v>
      </c>
      <c r="BU1276" t="s">
        <v>577</v>
      </c>
      <c r="BV1276" t="s">
        <v>89</v>
      </c>
      <c r="BW1276" t="s">
        <v>596</v>
      </c>
      <c r="BX1276" t="s">
        <v>365</v>
      </c>
      <c r="BY1276">
        <v>6265.92</v>
      </c>
      <c r="CA1276" t="s">
        <v>213</v>
      </c>
      <c r="CC1276" t="s">
        <v>91</v>
      </c>
      <c r="CD1276">
        <v>7441</v>
      </c>
      <c r="CE1276" t="s">
        <v>88</v>
      </c>
      <c r="CF1276" s="3">
        <v>43783</v>
      </c>
      <c r="CI1276">
        <v>1</v>
      </c>
      <c r="CJ1276">
        <v>1</v>
      </c>
      <c r="CK1276">
        <v>21</v>
      </c>
      <c r="CL1276" t="s">
        <v>89</v>
      </c>
    </row>
    <row r="1277" spans="1:90">
      <c r="A1277" t="s">
        <v>72</v>
      </c>
      <c r="B1277" t="s">
        <v>73</v>
      </c>
      <c r="C1277" t="s">
        <v>74</v>
      </c>
      <c r="E1277" t="str">
        <f>"FES1162722513"</f>
        <v>FES1162722513</v>
      </c>
      <c r="F1277" s="3">
        <v>43781</v>
      </c>
      <c r="G1277">
        <v>202005</v>
      </c>
      <c r="H1277" t="s">
        <v>75</v>
      </c>
      <c r="I1277" t="s">
        <v>76</v>
      </c>
      <c r="J1277" t="s">
        <v>77</v>
      </c>
      <c r="K1277" t="s">
        <v>78</v>
      </c>
      <c r="L1277" t="s">
        <v>202</v>
      </c>
      <c r="M1277" t="s">
        <v>203</v>
      </c>
      <c r="N1277" t="s">
        <v>1810</v>
      </c>
      <c r="O1277" t="s">
        <v>82</v>
      </c>
      <c r="P1277" t="str">
        <f>"2170716735                    "</f>
        <v xml:space="preserve">2170716735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6.71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 s="4">
        <v>39.42</v>
      </c>
      <c r="BM1277" s="4">
        <v>5.91</v>
      </c>
      <c r="BN1277" s="4">
        <v>45.33</v>
      </c>
      <c r="BO1277" s="4">
        <v>45.33</v>
      </c>
      <c r="BQ1277" t="s">
        <v>1811</v>
      </c>
      <c r="BR1277" t="s">
        <v>84</v>
      </c>
      <c r="BS1277" s="3">
        <v>43782</v>
      </c>
      <c r="BT1277" s="5">
        <v>0.3979166666666667</v>
      </c>
      <c r="BU1277" t="s">
        <v>1812</v>
      </c>
      <c r="BV1277" t="s">
        <v>86</v>
      </c>
      <c r="BY1277">
        <v>1200</v>
      </c>
      <c r="CA1277" t="s">
        <v>123</v>
      </c>
      <c r="CC1277" t="s">
        <v>203</v>
      </c>
      <c r="CD1277">
        <v>1428</v>
      </c>
      <c r="CE1277" t="s">
        <v>147</v>
      </c>
      <c r="CF1277" s="3">
        <v>43784</v>
      </c>
      <c r="CI1277">
        <v>1</v>
      </c>
      <c r="CJ1277">
        <v>1</v>
      </c>
      <c r="CK1277">
        <v>22</v>
      </c>
      <c r="CL1277" t="s">
        <v>89</v>
      </c>
    </row>
    <row r="1278" spans="1:90">
      <c r="A1278" t="s">
        <v>72</v>
      </c>
      <c r="B1278" t="s">
        <v>73</v>
      </c>
      <c r="C1278" t="s">
        <v>74</v>
      </c>
      <c r="E1278" t="str">
        <f>"FES1162722554"</f>
        <v>FES1162722554</v>
      </c>
      <c r="F1278" s="3">
        <v>43781</v>
      </c>
      <c r="G1278">
        <v>202005</v>
      </c>
      <c r="H1278" t="s">
        <v>75</v>
      </c>
      <c r="I1278" t="s">
        <v>76</v>
      </c>
      <c r="J1278" t="s">
        <v>77</v>
      </c>
      <c r="K1278" t="s">
        <v>78</v>
      </c>
      <c r="L1278" t="s">
        <v>90</v>
      </c>
      <c r="M1278" t="s">
        <v>91</v>
      </c>
      <c r="N1278" t="s">
        <v>1813</v>
      </c>
      <c r="O1278" t="s">
        <v>82</v>
      </c>
      <c r="P1278" t="str">
        <f>"2170716788                    "</f>
        <v xml:space="preserve">2170716788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17.16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2.2000000000000002</v>
      </c>
      <c r="BJ1278">
        <v>3.7</v>
      </c>
      <c r="BK1278">
        <v>4</v>
      </c>
      <c r="BL1278" s="4">
        <v>100.87</v>
      </c>
      <c r="BM1278" s="4">
        <v>15.13</v>
      </c>
      <c r="BN1278" s="4">
        <v>116</v>
      </c>
      <c r="BO1278" s="4">
        <v>116</v>
      </c>
      <c r="BQ1278" t="s">
        <v>121</v>
      </c>
      <c r="BR1278" t="s">
        <v>84</v>
      </c>
      <c r="BS1278" s="3">
        <v>43782</v>
      </c>
      <c r="BT1278" s="5">
        <v>0.34027777777777773</v>
      </c>
      <c r="BU1278" t="s">
        <v>1814</v>
      </c>
      <c r="BV1278" t="s">
        <v>86</v>
      </c>
      <c r="BY1278">
        <v>18371.39</v>
      </c>
      <c r="CA1278" t="s">
        <v>540</v>
      </c>
      <c r="CC1278" t="s">
        <v>91</v>
      </c>
      <c r="CD1278">
        <v>7580</v>
      </c>
      <c r="CE1278" t="s">
        <v>88</v>
      </c>
      <c r="CF1278" s="3">
        <v>43783</v>
      </c>
      <c r="CI1278">
        <v>1</v>
      </c>
      <c r="CJ1278">
        <v>1</v>
      </c>
      <c r="CK1278">
        <v>21</v>
      </c>
      <c r="CL1278" t="s">
        <v>89</v>
      </c>
    </row>
    <row r="1279" spans="1:90">
      <c r="A1279" t="s">
        <v>72</v>
      </c>
      <c r="B1279" t="s">
        <v>73</v>
      </c>
      <c r="C1279" t="s">
        <v>74</v>
      </c>
      <c r="E1279" t="str">
        <f>"FES1162722533"</f>
        <v>FES1162722533</v>
      </c>
      <c r="F1279" s="3">
        <v>43781</v>
      </c>
      <c r="G1279">
        <v>202005</v>
      </c>
      <c r="H1279" t="s">
        <v>75</v>
      </c>
      <c r="I1279" t="s">
        <v>76</v>
      </c>
      <c r="J1279" t="s">
        <v>77</v>
      </c>
      <c r="K1279" t="s">
        <v>78</v>
      </c>
      <c r="L1279" t="s">
        <v>106</v>
      </c>
      <c r="M1279" t="s">
        <v>107</v>
      </c>
      <c r="N1279" t="s">
        <v>580</v>
      </c>
      <c r="O1279" t="s">
        <v>82</v>
      </c>
      <c r="P1279" t="str">
        <f>"2170715015                    "</f>
        <v xml:space="preserve">2170715015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8.58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 s="4">
        <v>50.45</v>
      </c>
      <c r="BM1279" s="4">
        <v>7.57</v>
      </c>
      <c r="BN1279" s="4">
        <v>58.02</v>
      </c>
      <c r="BO1279" s="4">
        <v>58.02</v>
      </c>
      <c r="BQ1279" t="s">
        <v>109</v>
      </c>
      <c r="BR1279" t="s">
        <v>84</v>
      </c>
      <c r="BS1279" s="3">
        <v>43782</v>
      </c>
      <c r="BT1279" s="5">
        <v>0.34652777777777777</v>
      </c>
      <c r="BU1279" t="s">
        <v>1639</v>
      </c>
      <c r="BV1279" t="s">
        <v>86</v>
      </c>
      <c r="BY1279">
        <v>1200</v>
      </c>
      <c r="CA1279" t="s">
        <v>773</v>
      </c>
      <c r="CC1279" t="s">
        <v>107</v>
      </c>
      <c r="CD1279">
        <v>6001</v>
      </c>
      <c r="CE1279" t="s">
        <v>147</v>
      </c>
      <c r="CF1279" s="3">
        <v>43783</v>
      </c>
      <c r="CI1279">
        <v>1</v>
      </c>
      <c r="CJ1279">
        <v>1</v>
      </c>
      <c r="CK1279">
        <v>21</v>
      </c>
      <c r="CL1279" t="s">
        <v>89</v>
      </c>
    </row>
    <row r="1280" spans="1:90">
      <c r="A1280" t="s">
        <v>72</v>
      </c>
      <c r="B1280" t="s">
        <v>73</v>
      </c>
      <c r="C1280" t="s">
        <v>74</v>
      </c>
      <c r="E1280" t="str">
        <f>"FES1162722581"</f>
        <v>FES1162722581</v>
      </c>
      <c r="F1280" s="3">
        <v>43781</v>
      </c>
      <c r="G1280">
        <v>202005</v>
      </c>
      <c r="H1280" t="s">
        <v>75</v>
      </c>
      <c r="I1280" t="s">
        <v>76</v>
      </c>
      <c r="J1280" t="s">
        <v>77</v>
      </c>
      <c r="K1280" t="s">
        <v>78</v>
      </c>
      <c r="L1280" t="s">
        <v>296</v>
      </c>
      <c r="M1280" t="s">
        <v>297</v>
      </c>
      <c r="N1280" t="s">
        <v>672</v>
      </c>
      <c r="O1280" t="s">
        <v>82</v>
      </c>
      <c r="P1280" t="str">
        <f>"2170716822                    "</f>
        <v xml:space="preserve">2170716822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16.63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 s="4">
        <v>97.75</v>
      </c>
      <c r="BM1280" s="4">
        <v>14.66</v>
      </c>
      <c r="BN1280" s="4">
        <v>112.41</v>
      </c>
      <c r="BO1280" s="4">
        <v>112.41</v>
      </c>
      <c r="BQ1280" t="s">
        <v>142</v>
      </c>
      <c r="BR1280" t="s">
        <v>84</v>
      </c>
      <c r="BS1280" s="3">
        <v>43783</v>
      </c>
      <c r="BT1280" s="5">
        <v>0.36249999999999999</v>
      </c>
      <c r="BU1280" t="s">
        <v>1815</v>
      </c>
      <c r="BV1280" t="s">
        <v>86</v>
      </c>
      <c r="BY1280">
        <v>1200</v>
      </c>
      <c r="CA1280" t="s">
        <v>1514</v>
      </c>
      <c r="CC1280" t="s">
        <v>297</v>
      </c>
      <c r="CD1280">
        <v>6850</v>
      </c>
      <c r="CE1280" t="s">
        <v>147</v>
      </c>
      <c r="CF1280" s="3">
        <v>43784</v>
      </c>
      <c r="CI1280">
        <v>3</v>
      </c>
      <c r="CJ1280">
        <v>2</v>
      </c>
      <c r="CK1280">
        <v>23</v>
      </c>
      <c r="CL1280" t="s">
        <v>89</v>
      </c>
    </row>
    <row r="1281" spans="1:90">
      <c r="A1281" t="s">
        <v>72</v>
      </c>
      <c r="B1281" t="s">
        <v>73</v>
      </c>
      <c r="C1281" t="s">
        <v>74</v>
      </c>
      <c r="E1281" t="str">
        <f>"FES1162722474"</f>
        <v>FES1162722474</v>
      </c>
      <c r="F1281" s="3">
        <v>43781</v>
      </c>
      <c r="G1281">
        <v>202005</v>
      </c>
      <c r="H1281" t="s">
        <v>75</v>
      </c>
      <c r="I1281" t="s">
        <v>76</v>
      </c>
      <c r="J1281" t="s">
        <v>77</v>
      </c>
      <c r="K1281" t="s">
        <v>78</v>
      </c>
      <c r="L1281" t="s">
        <v>482</v>
      </c>
      <c r="M1281" t="s">
        <v>483</v>
      </c>
      <c r="N1281" t="s">
        <v>1054</v>
      </c>
      <c r="O1281" t="s">
        <v>82</v>
      </c>
      <c r="P1281" t="str">
        <f>"2170716685                    "</f>
        <v xml:space="preserve">2170716685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6.71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 s="4">
        <v>39.42</v>
      </c>
      <c r="BM1281" s="4">
        <v>5.91</v>
      </c>
      <c r="BN1281" s="4">
        <v>45.33</v>
      </c>
      <c r="BO1281" s="4">
        <v>45.33</v>
      </c>
      <c r="BQ1281" t="s">
        <v>109</v>
      </c>
      <c r="BR1281" t="s">
        <v>84</v>
      </c>
      <c r="BS1281" s="3">
        <v>43782</v>
      </c>
      <c r="BT1281" s="5">
        <v>0.34930555555555554</v>
      </c>
      <c r="BU1281" t="s">
        <v>1055</v>
      </c>
      <c r="BV1281" t="s">
        <v>86</v>
      </c>
      <c r="BY1281">
        <v>1200</v>
      </c>
      <c r="CA1281" t="s">
        <v>486</v>
      </c>
      <c r="CC1281" t="s">
        <v>483</v>
      </c>
      <c r="CD1281">
        <v>1459</v>
      </c>
      <c r="CE1281" t="s">
        <v>147</v>
      </c>
      <c r="CF1281" s="3">
        <v>43784</v>
      </c>
      <c r="CI1281">
        <v>1</v>
      </c>
      <c r="CJ1281">
        <v>1</v>
      </c>
      <c r="CK1281">
        <v>22</v>
      </c>
      <c r="CL1281" t="s">
        <v>89</v>
      </c>
    </row>
    <row r="1282" spans="1:90">
      <c r="A1282" t="s">
        <v>72</v>
      </c>
      <c r="B1282" t="s">
        <v>73</v>
      </c>
      <c r="C1282" t="s">
        <v>74</v>
      </c>
      <c r="E1282" t="str">
        <f>"FES1162722586"</f>
        <v>FES1162722586</v>
      </c>
      <c r="F1282" s="3">
        <v>43781</v>
      </c>
      <c r="G1282">
        <v>202005</v>
      </c>
      <c r="H1282" t="s">
        <v>75</v>
      </c>
      <c r="I1282" t="s">
        <v>76</v>
      </c>
      <c r="J1282" t="s">
        <v>77</v>
      </c>
      <c r="K1282" t="s">
        <v>78</v>
      </c>
      <c r="L1282" t="s">
        <v>90</v>
      </c>
      <c r="M1282" t="s">
        <v>91</v>
      </c>
      <c r="N1282" t="s">
        <v>950</v>
      </c>
      <c r="O1282" t="s">
        <v>82</v>
      </c>
      <c r="P1282" t="str">
        <f>"2170716829                    "</f>
        <v xml:space="preserve">2170716829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8.58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 s="4">
        <v>50.45</v>
      </c>
      <c r="BM1282" s="4">
        <v>7.57</v>
      </c>
      <c r="BN1282" s="4">
        <v>58.02</v>
      </c>
      <c r="BO1282" s="4">
        <v>58.02</v>
      </c>
      <c r="BQ1282" t="s">
        <v>121</v>
      </c>
      <c r="BR1282" t="s">
        <v>84</v>
      </c>
      <c r="BS1282" s="3">
        <v>43782</v>
      </c>
      <c r="BT1282" s="5">
        <v>0.375</v>
      </c>
      <c r="BU1282" t="s">
        <v>1789</v>
      </c>
      <c r="BV1282" t="s">
        <v>86</v>
      </c>
      <c r="BY1282">
        <v>1200</v>
      </c>
      <c r="CC1282" t="s">
        <v>91</v>
      </c>
      <c r="CD1282">
        <v>7530</v>
      </c>
      <c r="CE1282" t="s">
        <v>147</v>
      </c>
      <c r="CF1282" s="3">
        <v>43783</v>
      </c>
      <c r="CI1282">
        <v>1</v>
      </c>
      <c r="CJ1282">
        <v>1</v>
      </c>
      <c r="CK1282">
        <v>21</v>
      </c>
      <c r="CL1282" t="s">
        <v>89</v>
      </c>
    </row>
    <row r="1283" spans="1:90">
      <c r="A1283" t="s">
        <v>72</v>
      </c>
      <c r="B1283" t="s">
        <v>73</v>
      </c>
      <c r="C1283" t="s">
        <v>74</v>
      </c>
      <c r="E1283" t="str">
        <f>"FES1162722471"</f>
        <v>FES1162722471</v>
      </c>
      <c r="F1283" s="3">
        <v>43781</v>
      </c>
      <c r="G1283">
        <v>202005</v>
      </c>
      <c r="H1283" t="s">
        <v>75</v>
      </c>
      <c r="I1283" t="s">
        <v>76</v>
      </c>
      <c r="J1283" t="s">
        <v>77</v>
      </c>
      <c r="K1283" t="s">
        <v>78</v>
      </c>
      <c r="L1283" t="s">
        <v>106</v>
      </c>
      <c r="M1283" t="s">
        <v>107</v>
      </c>
      <c r="N1283" t="s">
        <v>771</v>
      </c>
      <c r="O1283" t="s">
        <v>82</v>
      </c>
      <c r="P1283" t="str">
        <f>"2170716675                    "</f>
        <v xml:space="preserve">2170716675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8.58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 s="4">
        <v>50.45</v>
      </c>
      <c r="BM1283" s="4">
        <v>7.57</v>
      </c>
      <c r="BN1283" s="4">
        <v>58.02</v>
      </c>
      <c r="BO1283" s="4">
        <v>58.02</v>
      </c>
      <c r="BQ1283" t="s">
        <v>109</v>
      </c>
      <c r="BR1283" t="s">
        <v>84</v>
      </c>
      <c r="BS1283" s="3">
        <v>43782</v>
      </c>
      <c r="BT1283" s="5">
        <v>0.37986111111111115</v>
      </c>
      <c r="BU1283" t="s">
        <v>1816</v>
      </c>
      <c r="BV1283" t="s">
        <v>86</v>
      </c>
      <c r="BY1283">
        <v>1200</v>
      </c>
      <c r="CA1283" t="s">
        <v>773</v>
      </c>
      <c r="CC1283" t="s">
        <v>107</v>
      </c>
      <c r="CD1283">
        <v>6012</v>
      </c>
      <c r="CE1283" t="s">
        <v>147</v>
      </c>
      <c r="CF1283" s="3">
        <v>43783</v>
      </c>
      <c r="CI1283">
        <v>1</v>
      </c>
      <c r="CJ1283">
        <v>1</v>
      </c>
      <c r="CK1283">
        <v>21</v>
      </c>
      <c r="CL1283" t="s">
        <v>89</v>
      </c>
    </row>
    <row r="1284" spans="1:90">
      <c r="A1284" t="s">
        <v>72</v>
      </c>
      <c r="B1284" t="s">
        <v>73</v>
      </c>
      <c r="C1284" t="s">
        <v>74</v>
      </c>
      <c r="E1284" t="str">
        <f>"FES1162722594"</f>
        <v>FES1162722594</v>
      </c>
      <c r="F1284" s="3">
        <v>43781</v>
      </c>
      <c r="G1284">
        <v>202005</v>
      </c>
      <c r="H1284" t="s">
        <v>75</v>
      </c>
      <c r="I1284" t="s">
        <v>76</v>
      </c>
      <c r="J1284" t="s">
        <v>77</v>
      </c>
      <c r="K1284" t="s">
        <v>78</v>
      </c>
      <c r="L1284" t="s">
        <v>90</v>
      </c>
      <c r="M1284" t="s">
        <v>91</v>
      </c>
      <c r="N1284" t="s">
        <v>538</v>
      </c>
      <c r="O1284" t="s">
        <v>82</v>
      </c>
      <c r="P1284" t="str">
        <f>"2170716837                    "</f>
        <v xml:space="preserve">2170716837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8.58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 s="4">
        <v>50.45</v>
      </c>
      <c r="BM1284" s="4">
        <v>7.57</v>
      </c>
      <c r="BN1284" s="4">
        <v>58.02</v>
      </c>
      <c r="BO1284" s="4">
        <v>58.02</v>
      </c>
      <c r="BQ1284" t="s">
        <v>109</v>
      </c>
      <c r="BR1284" t="s">
        <v>84</v>
      </c>
      <c r="BS1284" s="3">
        <v>43782</v>
      </c>
      <c r="BT1284" s="5">
        <v>0.3347222222222222</v>
      </c>
      <c r="BU1284" t="s">
        <v>1817</v>
      </c>
      <c r="BV1284" t="s">
        <v>86</v>
      </c>
      <c r="BY1284">
        <v>1200</v>
      </c>
      <c r="CA1284" t="s">
        <v>540</v>
      </c>
      <c r="CC1284" t="s">
        <v>91</v>
      </c>
      <c r="CD1284">
        <v>7530</v>
      </c>
      <c r="CE1284" t="s">
        <v>147</v>
      </c>
      <c r="CF1284" s="3">
        <v>43783</v>
      </c>
      <c r="CI1284">
        <v>1</v>
      </c>
      <c r="CJ1284">
        <v>1</v>
      </c>
      <c r="CK1284">
        <v>21</v>
      </c>
      <c r="CL1284" t="s">
        <v>89</v>
      </c>
    </row>
    <row r="1285" spans="1:90">
      <c r="A1285" t="s">
        <v>72</v>
      </c>
      <c r="B1285" t="s">
        <v>73</v>
      </c>
      <c r="C1285" t="s">
        <v>74</v>
      </c>
      <c r="E1285" t="str">
        <f>"FES1162722451"</f>
        <v>FES1162722451</v>
      </c>
      <c r="F1285" s="3">
        <v>43781</v>
      </c>
      <c r="G1285">
        <v>202005</v>
      </c>
      <c r="H1285" t="s">
        <v>75</v>
      </c>
      <c r="I1285" t="s">
        <v>76</v>
      </c>
      <c r="J1285" t="s">
        <v>77</v>
      </c>
      <c r="K1285" t="s">
        <v>78</v>
      </c>
      <c r="L1285" t="s">
        <v>95</v>
      </c>
      <c r="M1285" t="s">
        <v>96</v>
      </c>
      <c r="N1285" t="s">
        <v>1818</v>
      </c>
      <c r="O1285" t="s">
        <v>82</v>
      </c>
      <c r="P1285" t="str">
        <f>"21707166668                   "</f>
        <v xml:space="preserve">21707166668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6.71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 s="4">
        <v>39.42</v>
      </c>
      <c r="BM1285" s="4">
        <v>5.91</v>
      </c>
      <c r="BN1285" s="4">
        <v>45.33</v>
      </c>
      <c r="BO1285" s="4">
        <v>45.33</v>
      </c>
      <c r="BR1285" t="s">
        <v>84</v>
      </c>
      <c r="BS1285" s="3">
        <v>43782</v>
      </c>
      <c r="BT1285" s="5">
        <v>0.36319444444444443</v>
      </c>
      <c r="BU1285" t="s">
        <v>295</v>
      </c>
      <c r="BV1285" t="s">
        <v>86</v>
      </c>
      <c r="BY1285">
        <v>1200</v>
      </c>
      <c r="CC1285" t="s">
        <v>96</v>
      </c>
      <c r="CD1285">
        <v>1451</v>
      </c>
      <c r="CE1285" t="s">
        <v>147</v>
      </c>
      <c r="CF1285" s="3">
        <v>43783</v>
      </c>
      <c r="CI1285">
        <v>1</v>
      </c>
      <c r="CJ1285">
        <v>1</v>
      </c>
      <c r="CK1285">
        <v>22</v>
      </c>
      <c r="CL1285" t="s">
        <v>89</v>
      </c>
    </row>
    <row r="1286" spans="1:90">
      <c r="A1286" t="s">
        <v>72</v>
      </c>
      <c r="B1286" t="s">
        <v>73</v>
      </c>
      <c r="C1286" t="s">
        <v>74</v>
      </c>
      <c r="E1286" t="str">
        <f>"FES1162722588"</f>
        <v>FES1162722588</v>
      </c>
      <c r="F1286" s="3">
        <v>43781</v>
      </c>
      <c r="G1286">
        <v>202005</v>
      </c>
      <c r="H1286" t="s">
        <v>75</v>
      </c>
      <c r="I1286" t="s">
        <v>76</v>
      </c>
      <c r="J1286" t="s">
        <v>77</v>
      </c>
      <c r="K1286" t="s">
        <v>78</v>
      </c>
      <c r="L1286" t="s">
        <v>75</v>
      </c>
      <c r="M1286" t="s">
        <v>76</v>
      </c>
      <c r="N1286" t="s">
        <v>1141</v>
      </c>
      <c r="O1286" t="s">
        <v>82</v>
      </c>
      <c r="P1286" t="str">
        <f>"2170716831                    "</f>
        <v xml:space="preserve">2170716831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6.71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 s="4">
        <v>39.42</v>
      </c>
      <c r="BM1286" s="4">
        <v>5.91</v>
      </c>
      <c r="BN1286" s="4">
        <v>45.33</v>
      </c>
      <c r="BO1286" s="4">
        <v>45.33</v>
      </c>
      <c r="BR1286" t="s">
        <v>84</v>
      </c>
      <c r="BS1286" s="3">
        <v>43782</v>
      </c>
      <c r="BT1286" s="5">
        <v>0.28333333333333333</v>
      </c>
      <c r="BU1286" t="s">
        <v>1142</v>
      </c>
      <c r="BV1286" t="s">
        <v>86</v>
      </c>
      <c r="BY1286">
        <v>1200</v>
      </c>
      <c r="CA1286" t="s">
        <v>368</v>
      </c>
      <c r="CC1286" t="s">
        <v>76</v>
      </c>
      <c r="CD1286">
        <v>1600</v>
      </c>
      <c r="CE1286" t="s">
        <v>147</v>
      </c>
      <c r="CF1286" s="3">
        <v>43783</v>
      </c>
      <c r="CI1286">
        <v>1</v>
      </c>
      <c r="CJ1286">
        <v>1</v>
      </c>
      <c r="CK1286">
        <v>22</v>
      </c>
      <c r="CL1286" t="s">
        <v>89</v>
      </c>
    </row>
    <row r="1287" spans="1:90">
      <c r="A1287" t="s">
        <v>72</v>
      </c>
      <c r="B1287" t="s">
        <v>73</v>
      </c>
      <c r="C1287" t="s">
        <v>74</v>
      </c>
      <c r="E1287" t="str">
        <f>"FES1162722457"</f>
        <v>FES1162722457</v>
      </c>
      <c r="F1287" s="3">
        <v>43781</v>
      </c>
      <c r="G1287">
        <v>202005</v>
      </c>
      <c r="H1287" t="s">
        <v>75</v>
      </c>
      <c r="I1287" t="s">
        <v>76</v>
      </c>
      <c r="J1287" t="s">
        <v>77</v>
      </c>
      <c r="K1287" t="s">
        <v>78</v>
      </c>
      <c r="L1287" t="s">
        <v>482</v>
      </c>
      <c r="M1287" t="s">
        <v>483</v>
      </c>
      <c r="N1287" t="s">
        <v>449</v>
      </c>
      <c r="O1287" t="s">
        <v>82</v>
      </c>
      <c r="P1287" t="str">
        <f>"2170715457                    "</f>
        <v xml:space="preserve">2170715457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6.71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 s="4">
        <v>39.42</v>
      </c>
      <c r="BM1287" s="4">
        <v>5.91</v>
      </c>
      <c r="BN1287" s="4">
        <v>45.33</v>
      </c>
      <c r="BO1287" s="4">
        <v>45.33</v>
      </c>
      <c r="BQ1287" t="s">
        <v>109</v>
      </c>
      <c r="BR1287" t="s">
        <v>84</v>
      </c>
      <c r="BS1287" s="3">
        <v>43782</v>
      </c>
      <c r="BT1287" s="5">
        <v>0.34166666666666662</v>
      </c>
      <c r="BU1287" t="s">
        <v>1271</v>
      </c>
      <c r="BV1287" t="s">
        <v>86</v>
      </c>
      <c r="BY1287">
        <v>1200</v>
      </c>
      <c r="CA1287" t="s">
        <v>1804</v>
      </c>
      <c r="CC1287" t="s">
        <v>483</v>
      </c>
      <c r="CD1287">
        <v>1459</v>
      </c>
      <c r="CE1287" t="s">
        <v>147</v>
      </c>
      <c r="CF1287" s="3">
        <v>43784</v>
      </c>
      <c r="CI1287">
        <v>1</v>
      </c>
      <c r="CJ1287">
        <v>1</v>
      </c>
      <c r="CK1287">
        <v>22</v>
      </c>
      <c r="CL1287" t="s">
        <v>89</v>
      </c>
    </row>
    <row r="1288" spans="1:90">
      <c r="A1288" t="s">
        <v>72</v>
      </c>
      <c r="B1288" t="s">
        <v>73</v>
      </c>
      <c r="C1288" t="s">
        <v>74</v>
      </c>
      <c r="E1288" t="str">
        <f>"FES1162722578"</f>
        <v>FES1162722578</v>
      </c>
      <c r="F1288" s="3">
        <v>43781</v>
      </c>
      <c r="G1288">
        <v>202005</v>
      </c>
      <c r="H1288" t="s">
        <v>75</v>
      </c>
      <c r="I1288" t="s">
        <v>76</v>
      </c>
      <c r="J1288" t="s">
        <v>77</v>
      </c>
      <c r="K1288" t="s">
        <v>78</v>
      </c>
      <c r="L1288" t="s">
        <v>783</v>
      </c>
      <c r="M1288" t="s">
        <v>784</v>
      </c>
      <c r="N1288" t="s">
        <v>785</v>
      </c>
      <c r="O1288" t="s">
        <v>82</v>
      </c>
      <c r="P1288" t="str">
        <f>"2170716817                    "</f>
        <v xml:space="preserve">2170716817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16.63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 s="4">
        <v>97.75</v>
      </c>
      <c r="BM1288" s="4">
        <v>14.66</v>
      </c>
      <c r="BN1288" s="4">
        <v>112.41</v>
      </c>
      <c r="BO1288" s="4">
        <v>112.41</v>
      </c>
      <c r="BQ1288" t="s">
        <v>109</v>
      </c>
      <c r="BR1288" t="s">
        <v>84</v>
      </c>
      <c r="BS1288" s="3">
        <v>43782</v>
      </c>
      <c r="BT1288" s="5">
        <v>0.43263888888888885</v>
      </c>
      <c r="BU1288" t="s">
        <v>786</v>
      </c>
      <c r="BV1288" t="s">
        <v>86</v>
      </c>
      <c r="BY1288">
        <v>1200</v>
      </c>
      <c r="CA1288" t="s">
        <v>1801</v>
      </c>
      <c r="CC1288" t="s">
        <v>784</v>
      </c>
      <c r="CD1288">
        <v>9880</v>
      </c>
      <c r="CE1288" t="s">
        <v>147</v>
      </c>
      <c r="CF1288" s="3">
        <v>43784</v>
      </c>
      <c r="CI1288">
        <v>1</v>
      </c>
      <c r="CJ1288">
        <v>1</v>
      </c>
      <c r="CK1288">
        <v>23</v>
      </c>
      <c r="CL1288" t="s">
        <v>89</v>
      </c>
    </row>
    <row r="1289" spans="1:90">
      <c r="A1289" t="s">
        <v>72</v>
      </c>
      <c r="B1289" t="s">
        <v>73</v>
      </c>
      <c r="C1289" t="s">
        <v>74</v>
      </c>
      <c r="E1289" t="str">
        <f>"FES1162722516"</f>
        <v>FES1162722516</v>
      </c>
      <c r="F1289" s="3">
        <v>43781</v>
      </c>
      <c r="G1289">
        <v>202005</v>
      </c>
      <c r="H1289" t="s">
        <v>75</v>
      </c>
      <c r="I1289" t="s">
        <v>76</v>
      </c>
      <c r="J1289" t="s">
        <v>77</v>
      </c>
      <c r="K1289" t="s">
        <v>78</v>
      </c>
      <c r="L1289" t="s">
        <v>95</v>
      </c>
      <c r="M1289" t="s">
        <v>96</v>
      </c>
      <c r="N1289" t="s">
        <v>557</v>
      </c>
      <c r="O1289" t="s">
        <v>82</v>
      </c>
      <c r="P1289" t="str">
        <f>"2170716739                    "</f>
        <v xml:space="preserve">2170716739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6.71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 s="4">
        <v>39.42</v>
      </c>
      <c r="BM1289" s="4">
        <v>5.91</v>
      </c>
      <c r="BN1289" s="4">
        <v>45.33</v>
      </c>
      <c r="BO1289" s="4">
        <v>45.33</v>
      </c>
      <c r="BQ1289" t="s">
        <v>1819</v>
      </c>
      <c r="BR1289" t="s">
        <v>84</v>
      </c>
      <c r="BS1289" s="3">
        <v>43782</v>
      </c>
      <c r="BT1289" s="5">
        <v>0.33333333333333331</v>
      </c>
      <c r="BU1289" t="s">
        <v>1820</v>
      </c>
      <c r="BV1289" t="s">
        <v>86</v>
      </c>
      <c r="BY1289">
        <v>1200</v>
      </c>
      <c r="CC1289" t="s">
        <v>96</v>
      </c>
      <c r="CD1289">
        <v>1451</v>
      </c>
      <c r="CE1289" t="s">
        <v>147</v>
      </c>
      <c r="CF1289" s="3">
        <v>43783</v>
      </c>
      <c r="CI1289">
        <v>1</v>
      </c>
      <c r="CJ1289">
        <v>1</v>
      </c>
      <c r="CK1289">
        <v>22</v>
      </c>
      <c r="CL1289" t="s">
        <v>89</v>
      </c>
    </row>
    <row r="1290" spans="1:90">
      <c r="A1290" t="s">
        <v>72</v>
      </c>
      <c r="B1290" t="s">
        <v>73</v>
      </c>
      <c r="C1290" t="s">
        <v>74</v>
      </c>
      <c r="E1290" t="str">
        <f>"FES1162722555"</f>
        <v>FES1162722555</v>
      </c>
      <c r="F1290" s="3">
        <v>43781</v>
      </c>
      <c r="G1290">
        <v>202005</v>
      </c>
      <c r="H1290" t="s">
        <v>75</v>
      </c>
      <c r="I1290" t="s">
        <v>76</v>
      </c>
      <c r="J1290" t="s">
        <v>77</v>
      </c>
      <c r="K1290" t="s">
        <v>78</v>
      </c>
      <c r="L1290" t="s">
        <v>101</v>
      </c>
      <c r="M1290" t="s">
        <v>102</v>
      </c>
      <c r="N1290" t="s">
        <v>867</v>
      </c>
      <c r="O1290" t="s">
        <v>82</v>
      </c>
      <c r="P1290" t="str">
        <f>"21707167890                   "</f>
        <v xml:space="preserve">21707167890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8.58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 s="4">
        <v>50.45</v>
      </c>
      <c r="BM1290" s="4">
        <v>7.57</v>
      </c>
      <c r="BN1290" s="4">
        <v>58.02</v>
      </c>
      <c r="BO1290" s="4">
        <v>58.02</v>
      </c>
      <c r="BR1290" t="s">
        <v>84</v>
      </c>
      <c r="BS1290" s="3">
        <v>43782</v>
      </c>
      <c r="BT1290" s="5">
        <v>0.3576388888888889</v>
      </c>
      <c r="BU1290" t="s">
        <v>733</v>
      </c>
      <c r="BV1290" t="s">
        <v>86</v>
      </c>
      <c r="BY1290">
        <v>1200</v>
      </c>
      <c r="CA1290" t="s">
        <v>343</v>
      </c>
      <c r="CC1290" t="s">
        <v>102</v>
      </c>
      <c r="CD1290">
        <v>1</v>
      </c>
      <c r="CE1290" t="s">
        <v>147</v>
      </c>
      <c r="CF1290" s="3">
        <v>43784</v>
      </c>
      <c r="CI1290">
        <v>1</v>
      </c>
      <c r="CJ1290">
        <v>1</v>
      </c>
      <c r="CK1290">
        <v>21</v>
      </c>
      <c r="CL1290" t="s">
        <v>89</v>
      </c>
    </row>
    <row r="1291" spans="1:90">
      <c r="A1291" t="s">
        <v>72</v>
      </c>
      <c r="B1291" t="s">
        <v>73</v>
      </c>
      <c r="C1291" t="s">
        <v>74</v>
      </c>
      <c r="E1291" t="str">
        <f>"FES1162722469"</f>
        <v>FES1162722469</v>
      </c>
      <c r="F1291" s="3">
        <v>43781</v>
      </c>
      <c r="G1291">
        <v>202005</v>
      </c>
      <c r="H1291" t="s">
        <v>75</v>
      </c>
      <c r="I1291" t="s">
        <v>76</v>
      </c>
      <c r="J1291" t="s">
        <v>77</v>
      </c>
      <c r="K1291" t="s">
        <v>78</v>
      </c>
      <c r="L1291" t="s">
        <v>482</v>
      </c>
      <c r="M1291" t="s">
        <v>483</v>
      </c>
      <c r="N1291" t="s">
        <v>968</v>
      </c>
      <c r="O1291" t="s">
        <v>82</v>
      </c>
      <c r="P1291" t="str">
        <f>"21707166741                   "</f>
        <v xml:space="preserve">21707166741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6.71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 s="4">
        <v>39.42</v>
      </c>
      <c r="BM1291" s="4">
        <v>5.91</v>
      </c>
      <c r="BN1291" s="4">
        <v>45.33</v>
      </c>
      <c r="BO1291" s="4">
        <v>45.33</v>
      </c>
      <c r="BQ1291" t="s">
        <v>109</v>
      </c>
      <c r="BR1291" t="s">
        <v>84</v>
      </c>
      <c r="BS1291" s="3">
        <v>43782</v>
      </c>
      <c r="BT1291" s="5">
        <v>0.3527777777777778</v>
      </c>
      <c r="BU1291" t="s">
        <v>969</v>
      </c>
      <c r="BV1291" t="s">
        <v>86</v>
      </c>
      <c r="BY1291">
        <v>1200</v>
      </c>
      <c r="CA1291" t="s">
        <v>486</v>
      </c>
      <c r="CC1291" t="s">
        <v>483</v>
      </c>
      <c r="CD1291">
        <v>1459</v>
      </c>
      <c r="CE1291" t="s">
        <v>147</v>
      </c>
      <c r="CF1291" s="3">
        <v>43784</v>
      </c>
      <c r="CI1291">
        <v>1</v>
      </c>
      <c r="CJ1291">
        <v>1</v>
      </c>
      <c r="CK1291">
        <v>22</v>
      </c>
      <c r="CL1291" t="s">
        <v>89</v>
      </c>
    </row>
    <row r="1292" spans="1:90">
      <c r="A1292" t="s">
        <v>72</v>
      </c>
      <c r="B1292" t="s">
        <v>73</v>
      </c>
      <c r="C1292" t="s">
        <v>74</v>
      </c>
      <c r="E1292" t="str">
        <f>"FES1162722577"</f>
        <v>FES1162722577</v>
      </c>
      <c r="F1292" s="3">
        <v>43781</v>
      </c>
      <c r="G1292">
        <v>202005</v>
      </c>
      <c r="H1292" t="s">
        <v>75</v>
      </c>
      <c r="I1292" t="s">
        <v>76</v>
      </c>
      <c r="J1292" t="s">
        <v>77</v>
      </c>
      <c r="K1292" t="s">
        <v>78</v>
      </c>
      <c r="L1292" t="s">
        <v>783</v>
      </c>
      <c r="M1292" t="s">
        <v>784</v>
      </c>
      <c r="N1292" t="s">
        <v>785</v>
      </c>
      <c r="O1292" t="s">
        <v>82</v>
      </c>
      <c r="P1292" t="str">
        <f>"2170716816                    "</f>
        <v xml:space="preserve">2170716816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16.63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 s="4">
        <v>97.75</v>
      </c>
      <c r="BM1292" s="4">
        <v>14.66</v>
      </c>
      <c r="BN1292" s="4">
        <v>112.41</v>
      </c>
      <c r="BO1292" s="4">
        <v>112.41</v>
      </c>
      <c r="BQ1292" t="s">
        <v>109</v>
      </c>
      <c r="BR1292" t="s">
        <v>84</v>
      </c>
      <c r="BS1292" s="3">
        <v>43782</v>
      </c>
      <c r="BT1292" s="5">
        <v>0.43263888888888885</v>
      </c>
      <c r="BU1292" t="s">
        <v>786</v>
      </c>
      <c r="BV1292" t="s">
        <v>86</v>
      </c>
      <c r="BY1292">
        <v>1200</v>
      </c>
      <c r="CA1292" t="s">
        <v>1801</v>
      </c>
      <c r="CC1292" t="s">
        <v>784</v>
      </c>
      <c r="CD1292">
        <v>9880</v>
      </c>
      <c r="CE1292" t="s">
        <v>147</v>
      </c>
      <c r="CF1292" s="3">
        <v>43784</v>
      </c>
      <c r="CI1292">
        <v>1</v>
      </c>
      <c r="CJ1292">
        <v>1</v>
      </c>
      <c r="CK1292">
        <v>23</v>
      </c>
      <c r="CL1292" t="s">
        <v>89</v>
      </c>
    </row>
    <row r="1293" spans="1:90">
      <c r="A1293" t="s">
        <v>72</v>
      </c>
      <c r="B1293" t="s">
        <v>73</v>
      </c>
      <c r="C1293" t="s">
        <v>74</v>
      </c>
      <c r="E1293" t="str">
        <f>"FES1162722418"</f>
        <v>FES1162722418</v>
      </c>
      <c r="F1293" s="3">
        <v>43781</v>
      </c>
      <c r="G1293">
        <v>202005</v>
      </c>
      <c r="H1293" t="s">
        <v>75</v>
      </c>
      <c r="I1293" t="s">
        <v>76</v>
      </c>
      <c r="J1293" t="s">
        <v>77</v>
      </c>
      <c r="K1293" t="s">
        <v>78</v>
      </c>
      <c r="L1293" t="s">
        <v>691</v>
      </c>
      <c r="M1293" t="s">
        <v>692</v>
      </c>
      <c r="N1293" t="s">
        <v>816</v>
      </c>
      <c r="O1293" t="s">
        <v>82</v>
      </c>
      <c r="P1293" t="str">
        <f>"2170716628                    "</f>
        <v xml:space="preserve">2170716628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6.71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 s="4">
        <v>39.42</v>
      </c>
      <c r="BM1293" s="4">
        <v>5.91</v>
      </c>
      <c r="BN1293" s="4">
        <v>45.33</v>
      </c>
      <c r="BO1293" s="4">
        <v>45.33</v>
      </c>
      <c r="BQ1293" t="s">
        <v>817</v>
      </c>
      <c r="BR1293" t="s">
        <v>84</v>
      </c>
      <c r="BS1293" s="3">
        <v>43782</v>
      </c>
      <c r="BT1293" s="5">
        <v>0.33333333333333331</v>
      </c>
      <c r="BU1293" t="s">
        <v>1767</v>
      </c>
      <c r="BV1293" t="s">
        <v>86</v>
      </c>
      <c r="BY1293">
        <v>1200</v>
      </c>
      <c r="CA1293" t="s">
        <v>1809</v>
      </c>
      <c r="CC1293" t="s">
        <v>692</v>
      </c>
      <c r="CD1293">
        <v>1559</v>
      </c>
      <c r="CE1293" t="s">
        <v>147</v>
      </c>
      <c r="CF1293" s="3">
        <v>43784</v>
      </c>
      <c r="CI1293">
        <v>1</v>
      </c>
      <c r="CJ1293">
        <v>1</v>
      </c>
      <c r="CK1293">
        <v>22</v>
      </c>
      <c r="CL1293" t="s">
        <v>89</v>
      </c>
    </row>
    <row r="1294" spans="1:90">
      <c r="A1294" t="s">
        <v>72</v>
      </c>
      <c r="B1294" t="s">
        <v>73</v>
      </c>
      <c r="C1294" t="s">
        <v>74</v>
      </c>
      <c r="E1294" t="str">
        <f>"FES1162722593"</f>
        <v>FES1162722593</v>
      </c>
      <c r="F1294" s="3">
        <v>43781</v>
      </c>
      <c r="G1294">
        <v>202005</v>
      </c>
      <c r="H1294" t="s">
        <v>75</v>
      </c>
      <c r="I1294" t="s">
        <v>76</v>
      </c>
      <c r="J1294" t="s">
        <v>77</v>
      </c>
      <c r="K1294" t="s">
        <v>78</v>
      </c>
      <c r="L1294" t="s">
        <v>176</v>
      </c>
      <c r="M1294" t="s">
        <v>177</v>
      </c>
      <c r="N1294" t="s">
        <v>1661</v>
      </c>
      <c r="O1294" t="s">
        <v>82</v>
      </c>
      <c r="P1294" t="str">
        <f>"2170716836                    "</f>
        <v xml:space="preserve">2170716836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8.58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 s="4">
        <v>50.45</v>
      </c>
      <c r="BM1294" s="4">
        <v>7.57</v>
      </c>
      <c r="BN1294" s="4">
        <v>58.02</v>
      </c>
      <c r="BO1294" s="4">
        <v>58.02</v>
      </c>
      <c r="BQ1294" t="s">
        <v>121</v>
      </c>
      <c r="BR1294" t="s">
        <v>84</v>
      </c>
      <c r="BS1294" s="3">
        <v>43782</v>
      </c>
      <c r="BT1294" s="5">
        <v>0.40902777777777777</v>
      </c>
      <c r="BU1294" t="s">
        <v>1759</v>
      </c>
      <c r="BV1294" t="s">
        <v>86</v>
      </c>
      <c r="BY1294">
        <v>1200</v>
      </c>
      <c r="CA1294" t="s">
        <v>180</v>
      </c>
      <c r="CC1294" t="s">
        <v>177</v>
      </c>
      <c r="CD1294">
        <v>3610</v>
      </c>
      <c r="CE1294" t="s">
        <v>147</v>
      </c>
      <c r="CF1294" s="3">
        <v>43783</v>
      </c>
      <c r="CI1294">
        <v>1</v>
      </c>
      <c r="CJ1294">
        <v>1</v>
      </c>
      <c r="CK1294">
        <v>21</v>
      </c>
      <c r="CL1294" t="s">
        <v>89</v>
      </c>
    </row>
    <row r="1295" spans="1:90">
      <c r="A1295" t="s">
        <v>72</v>
      </c>
      <c r="B1295" t="s">
        <v>73</v>
      </c>
      <c r="C1295" t="s">
        <v>74</v>
      </c>
      <c r="E1295" t="str">
        <f>"FES1162722422"</f>
        <v>FES1162722422</v>
      </c>
      <c r="F1295" s="3">
        <v>43781</v>
      </c>
      <c r="G1295">
        <v>202005</v>
      </c>
      <c r="H1295" t="s">
        <v>75</v>
      </c>
      <c r="I1295" t="s">
        <v>76</v>
      </c>
      <c r="J1295" t="s">
        <v>77</v>
      </c>
      <c r="K1295" t="s">
        <v>78</v>
      </c>
      <c r="L1295" t="s">
        <v>691</v>
      </c>
      <c r="M1295" t="s">
        <v>692</v>
      </c>
      <c r="N1295" t="s">
        <v>1217</v>
      </c>
      <c r="O1295" t="s">
        <v>82</v>
      </c>
      <c r="P1295" t="str">
        <f>"21707165633                   "</f>
        <v xml:space="preserve">21707165633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6.71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 s="4">
        <v>39.42</v>
      </c>
      <c r="BM1295" s="4">
        <v>5.91</v>
      </c>
      <c r="BN1295" s="4">
        <v>45.33</v>
      </c>
      <c r="BO1295" s="4">
        <v>45.33</v>
      </c>
      <c r="BQ1295" t="s">
        <v>109</v>
      </c>
      <c r="BR1295" t="s">
        <v>84</v>
      </c>
      <c r="BS1295" s="3">
        <v>43782</v>
      </c>
      <c r="BT1295" s="5">
        <v>0.41666666666666669</v>
      </c>
      <c r="BU1295" t="s">
        <v>1821</v>
      </c>
      <c r="BV1295" t="s">
        <v>86</v>
      </c>
      <c r="BY1295">
        <v>1200</v>
      </c>
      <c r="CA1295" t="s">
        <v>1804</v>
      </c>
      <c r="CC1295" t="s">
        <v>692</v>
      </c>
      <c r="CD1295">
        <v>1559</v>
      </c>
      <c r="CE1295" t="s">
        <v>147</v>
      </c>
      <c r="CF1295" s="3">
        <v>43784</v>
      </c>
      <c r="CI1295">
        <v>1</v>
      </c>
      <c r="CJ1295">
        <v>1</v>
      </c>
      <c r="CK1295">
        <v>22</v>
      </c>
      <c r="CL1295" t="s">
        <v>89</v>
      </c>
    </row>
    <row r="1296" spans="1:90">
      <c r="A1296" t="s">
        <v>72</v>
      </c>
      <c r="B1296" t="s">
        <v>73</v>
      </c>
      <c r="C1296" t="s">
        <v>74</v>
      </c>
      <c r="E1296" t="str">
        <f>"FES1162722530"</f>
        <v>FES1162722530</v>
      </c>
      <c r="F1296" s="3">
        <v>43781</v>
      </c>
      <c r="G1296">
        <v>202005</v>
      </c>
      <c r="H1296" t="s">
        <v>75</v>
      </c>
      <c r="I1296" t="s">
        <v>76</v>
      </c>
      <c r="J1296" t="s">
        <v>77</v>
      </c>
      <c r="K1296" t="s">
        <v>78</v>
      </c>
      <c r="L1296" t="s">
        <v>124</v>
      </c>
      <c r="M1296" t="s">
        <v>125</v>
      </c>
      <c r="N1296" t="s">
        <v>218</v>
      </c>
      <c r="O1296" t="s">
        <v>82</v>
      </c>
      <c r="P1296" t="str">
        <f>"2170716760                    "</f>
        <v xml:space="preserve">2170716760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16.350000000000001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7.8</v>
      </c>
      <c r="BJ1296">
        <v>1.3</v>
      </c>
      <c r="BK1296">
        <v>8</v>
      </c>
      <c r="BL1296" s="4">
        <v>96.1</v>
      </c>
      <c r="BM1296" s="4">
        <v>14.42</v>
      </c>
      <c r="BN1296" s="4">
        <v>110.52</v>
      </c>
      <c r="BO1296" s="4">
        <v>110.52</v>
      </c>
      <c r="BQ1296" t="s">
        <v>121</v>
      </c>
      <c r="BR1296" t="s">
        <v>84</v>
      </c>
      <c r="BS1296" s="3">
        <v>43782</v>
      </c>
      <c r="BT1296" s="5">
        <v>0.37013888888888885</v>
      </c>
      <c r="BU1296" t="s">
        <v>1659</v>
      </c>
      <c r="BV1296" t="s">
        <v>86</v>
      </c>
      <c r="BY1296">
        <v>6503.88</v>
      </c>
      <c r="CC1296" t="s">
        <v>125</v>
      </c>
      <c r="CD1296">
        <v>2094</v>
      </c>
      <c r="CE1296" t="s">
        <v>88</v>
      </c>
      <c r="CF1296" s="3">
        <v>43784</v>
      </c>
      <c r="CI1296">
        <v>1</v>
      </c>
      <c r="CJ1296">
        <v>1</v>
      </c>
      <c r="CK1296">
        <v>22</v>
      </c>
      <c r="CL1296" t="s">
        <v>89</v>
      </c>
    </row>
    <row r="1297" spans="1:90">
      <c r="A1297" t="s">
        <v>72</v>
      </c>
      <c r="B1297" t="s">
        <v>73</v>
      </c>
      <c r="C1297" t="s">
        <v>74</v>
      </c>
      <c r="E1297" t="str">
        <f>"FES1162722501"</f>
        <v>FES1162722501</v>
      </c>
      <c r="F1297" s="3">
        <v>43781</v>
      </c>
      <c r="G1297">
        <v>202005</v>
      </c>
      <c r="H1297" t="s">
        <v>75</v>
      </c>
      <c r="I1297" t="s">
        <v>76</v>
      </c>
      <c r="J1297" t="s">
        <v>77</v>
      </c>
      <c r="K1297" t="s">
        <v>78</v>
      </c>
      <c r="L1297" t="s">
        <v>202</v>
      </c>
      <c r="M1297" t="s">
        <v>203</v>
      </c>
      <c r="N1297" t="s">
        <v>1822</v>
      </c>
      <c r="O1297" t="s">
        <v>82</v>
      </c>
      <c r="P1297" t="str">
        <f>"2170716716                    "</f>
        <v xml:space="preserve">2170716716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6.71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 s="4">
        <v>39.42</v>
      </c>
      <c r="BM1297" s="4">
        <v>5.91</v>
      </c>
      <c r="BN1297" s="4">
        <v>45.33</v>
      </c>
      <c r="BO1297" s="4">
        <v>45.33</v>
      </c>
      <c r="BQ1297" t="s">
        <v>109</v>
      </c>
      <c r="BR1297" t="s">
        <v>84</v>
      </c>
      <c r="BS1297" s="3">
        <v>43782</v>
      </c>
      <c r="BT1297" s="5">
        <v>0.42569444444444443</v>
      </c>
      <c r="BU1297" t="s">
        <v>1823</v>
      </c>
      <c r="BV1297" t="s">
        <v>86</v>
      </c>
      <c r="BY1297">
        <v>1200</v>
      </c>
      <c r="CA1297" t="s">
        <v>1793</v>
      </c>
      <c r="CC1297" t="s">
        <v>203</v>
      </c>
      <c r="CD1297">
        <v>1401</v>
      </c>
      <c r="CE1297" t="s">
        <v>147</v>
      </c>
      <c r="CF1297" s="3">
        <v>43783</v>
      </c>
      <c r="CI1297">
        <v>1</v>
      </c>
      <c r="CJ1297">
        <v>1</v>
      </c>
      <c r="CK1297">
        <v>22</v>
      </c>
      <c r="CL1297" t="s">
        <v>89</v>
      </c>
    </row>
    <row r="1298" spans="1:90">
      <c r="A1298" t="s">
        <v>72</v>
      </c>
      <c r="B1298" t="s">
        <v>73</v>
      </c>
      <c r="C1298" t="s">
        <v>74</v>
      </c>
      <c r="E1298" t="str">
        <f>"FES1162722633"</f>
        <v>FES1162722633</v>
      </c>
      <c r="F1298" s="3">
        <v>43781</v>
      </c>
      <c r="G1298">
        <v>202005</v>
      </c>
      <c r="H1298" t="s">
        <v>75</v>
      </c>
      <c r="I1298" t="s">
        <v>76</v>
      </c>
      <c r="J1298" t="s">
        <v>77</v>
      </c>
      <c r="K1298" t="s">
        <v>78</v>
      </c>
      <c r="L1298" t="s">
        <v>112</v>
      </c>
      <c r="M1298" t="s">
        <v>113</v>
      </c>
      <c r="N1298" t="s">
        <v>423</v>
      </c>
      <c r="O1298" t="s">
        <v>82</v>
      </c>
      <c r="P1298" t="str">
        <f>"2170716886                    "</f>
        <v xml:space="preserve">2170716886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8.58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 s="4">
        <v>50.45</v>
      </c>
      <c r="BM1298" s="4">
        <v>7.57</v>
      </c>
      <c r="BN1298" s="4">
        <v>58.02</v>
      </c>
      <c r="BO1298" s="4">
        <v>58.02</v>
      </c>
      <c r="BQ1298" t="s">
        <v>424</v>
      </c>
      <c r="BR1298" t="s">
        <v>84</v>
      </c>
      <c r="BS1298" s="3">
        <v>43782</v>
      </c>
      <c r="BT1298" s="5">
        <v>0.30486111111111108</v>
      </c>
      <c r="BU1298" t="s">
        <v>425</v>
      </c>
      <c r="BV1298" t="s">
        <v>86</v>
      </c>
      <c r="BY1298">
        <v>1200</v>
      </c>
      <c r="CA1298" t="s">
        <v>426</v>
      </c>
      <c r="CC1298" t="s">
        <v>113</v>
      </c>
      <c r="CD1298">
        <v>4001</v>
      </c>
      <c r="CE1298" t="s">
        <v>147</v>
      </c>
      <c r="CF1298" s="3">
        <v>43783</v>
      </c>
      <c r="CI1298">
        <v>1</v>
      </c>
      <c r="CJ1298">
        <v>1</v>
      </c>
      <c r="CK1298">
        <v>21</v>
      </c>
      <c r="CL1298" t="s">
        <v>89</v>
      </c>
    </row>
    <row r="1299" spans="1:90">
      <c r="A1299" t="s">
        <v>72</v>
      </c>
      <c r="B1299" t="s">
        <v>73</v>
      </c>
      <c r="C1299" t="s">
        <v>74</v>
      </c>
      <c r="E1299" t="str">
        <f>"FES1162722435"</f>
        <v>FES1162722435</v>
      </c>
      <c r="F1299" s="3">
        <v>43781</v>
      </c>
      <c r="G1299">
        <v>202005</v>
      </c>
      <c r="H1299" t="s">
        <v>75</v>
      </c>
      <c r="I1299" t="s">
        <v>76</v>
      </c>
      <c r="J1299" t="s">
        <v>77</v>
      </c>
      <c r="K1299" t="s">
        <v>78</v>
      </c>
      <c r="L1299" t="s">
        <v>1268</v>
      </c>
      <c r="M1299" t="s">
        <v>1269</v>
      </c>
      <c r="N1299" t="s">
        <v>1270</v>
      </c>
      <c r="O1299" t="s">
        <v>82</v>
      </c>
      <c r="P1299" t="str">
        <f>"2170716412                    "</f>
        <v xml:space="preserve">2170716412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8.58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 s="4">
        <v>50.45</v>
      </c>
      <c r="BM1299" s="4">
        <v>7.57</v>
      </c>
      <c r="BN1299" s="4">
        <v>58.02</v>
      </c>
      <c r="BO1299" s="4">
        <v>58.02</v>
      </c>
      <c r="BQ1299" t="s">
        <v>109</v>
      </c>
      <c r="BR1299" t="s">
        <v>84</v>
      </c>
      <c r="BS1299" s="3">
        <v>43782</v>
      </c>
      <c r="BT1299" s="5">
        <v>0.48819444444444443</v>
      </c>
      <c r="BU1299" t="s">
        <v>1824</v>
      </c>
      <c r="BV1299" t="s">
        <v>86</v>
      </c>
      <c r="BY1299">
        <v>1200</v>
      </c>
      <c r="CA1299" t="s">
        <v>1668</v>
      </c>
      <c r="CC1299" t="s">
        <v>1269</v>
      </c>
      <c r="CD1299">
        <v>3290</v>
      </c>
      <c r="CE1299" t="s">
        <v>147</v>
      </c>
      <c r="CF1299" s="3">
        <v>43783</v>
      </c>
      <c r="CI1299">
        <v>1</v>
      </c>
      <c r="CJ1299">
        <v>1</v>
      </c>
      <c r="CK1299">
        <v>21</v>
      </c>
      <c r="CL1299" t="s">
        <v>89</v>
      </c>
    </row>
    <row r="1300" spans="1:90">
      <c r="A1300" t="s">
        <v>72</v>
      </c>
      <c r="B1300" t="s">
        <v>73</v>
      </c>
      <c r="C1300" t="s">
        <v>74</v>
      </c>
      <c r="E1300" t="str">
        <f>"FES1162722591"</f>
        <v>FES1162722591</v>
      </c>
      <c r="F1300" s="3">
        <v>43781</v>
      </c>
      <c r="G1300">
        <v>202005</v>
      </c>
      <c r="H1300" t="s">
        <v>75</v>
      </c>
      <c r="I1300" t="s">
        <v>76</v>
      </c>
      <c r="J1300" t="s">
        <v>77</v>
      </c>
      <c r="K1300" t="s">
        <v>78</v>
      </c>
      <c r="L1300" t="s">
        <v>133</v>
      </c>
      <c r="M1300" t="s">
        <v>134</v>
      </c>
      <c r="N1300" t="s">
        <v>135</v>
      </c>
      <c r="O1300" t="s">
        <v>82</v>
      </c>
      <c r="P1300" t="str">
        <f>"2170716834                    "</f>
        <v xml:space="preserve">2170716834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15.02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3.5</v>
      </c>
      <c r="BJ1300">
        <v>1.5</v>
      </c>
      <c r="BK1300">
        <v>3.5</v>
      </c>
      <c r="BL1300" s="4">
        <v>88.27</v>
      </c>
      <c r="BM1300" s="4">
        <v>13.24</v>
      </c>
      <c r="BN1300" s="4">
        <v>101.51</v>
      </c>
      <c r="BO1300" s="4">
        <v>101.51</v>
      </c>
      <c r="BQ1300" t="s">
        <v>109</v>
      </c>
      <c r="BR1300" t="s">
        <v>84</v>
      </c>
      <c r="BS1300" s="3">
        <v>43782</v>
      </c>
      <c r="BT1300" s="5">
        <v>0.43402777777777773</v>
      </c>
      <c r="BU1300" t="s">
        <v>136</v>
      </c>
      <c r="BV1300" t="s">
        <v>86</v>
      </c>
      <c r="BY1300">
        <v>7504.7</v>
      </c>
      <c r="CA1300" t="s">
        <v>137</v>
      </c>
      <c r="CC1300" t="s">
        <v>134</v>
      </c>
      <c r="CD1300">
        <v>5201</v>
      </c>
      <c r="CE1300" t="s">
        <v>88</v>
      </c>
      <c r="CF1300" s="3">
        <v>43784</v>
      </c>
      <c r="CI1300">
        <v>1</v>
      </c>
      <c r="CJ1300">
        <v>1</v>
      </c>
      <c r="CK1300">
        <v>21</v>
      </c>
      <c r="CL1300" t="s">
        <v>89</v>
      </c>
    </row>
    <row r="1301" spans="1:90">
      <c r="A1301" t="s">
        <v>72</v>
      </c>
      <c r="B1301" t="s">
        <v>73</v>
      </c>
      <c r="C1301" t="s">
        <v>74</v>
      </c>
      <c r="E1301" t="str">
        <f>"FES1162722449"</f>
        <v>FES1162722449</v>
      </c>
      <c r="F1301" s="3">
        <v>43781</v>
      </c>
      <c r="G1301">
        <v>202005</v>
      </c>
      <c r="H1301" t="s">
        <v>75</v>
      </c>
      <c r="I1301" t="s">
        <v>76</v>
      </c>
      <c r="J1301" t="s">
        <v>77</v>
      </c>
      <c r="K1301" t="s">
        <v>78</v>
      </c>
      <c r="L1301" t="s">
        <v>176</v>
      </c>
      <c r="M1301" t="s">
        <v>177</v>
      </c>
      <c r="N1301" t="s">
        <v>1751</v>
      </c>
      <c r="O1301" t="s">
        <v>82</v>
      </c>
      <c r="P1301" t="str">
        <f>"217071666665                  "</f>
        <v xml:space="preserve">217071666665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8.58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 s="4">
        <v>50.45</v>
      </c>
      <c r="BM1301" s="4">
        <v>7.57</v>
      </c>
      <c r="BN1301" s="4">
        <v>58.02</v>
      </c>
      <c r="BO1301" s="4">
        <v>58.02</v>
      </c>
      <c r="BQ1301" t="s">
        <v>1752</v>
      </c>
      <c r="BR1301" t="s">
        <v>84</v>
      </c>
      <c r="BS1301" s="3">
        <v>43782</v>
      </c>
      <c r="BT1301" s="5">
        <v>0.3833333333333333</v>
      </c>
      <c r="BU1301" t="s">
        <v>1753</v>
      </c>
      <c r="BV1301" t="s">
        <v>86</v>
      </c>
      <c r="BY1301">
        <v>1200</v>
      </c>
      <c r="CA1301" t="s">
        <v>224</v>
      </c>
      <c r="CC1301" t="s">
        <v>177</v>
      </c>
      <c r="CD1301">
        <v>3610</v>
      </c>
      <c r="CE1301" t="s">
        <v>147</v>
      </c>
      <c r="CF1301" s="3">
        <v>43783</v>
      </c>
      <c r="CI1301">
        <v>1</v>
      </c>
      <c r="CJ1301">
        <v>1</v>
      </c>
      <c r="CK1301">
        <v>21</v>
      </c>
      <c r="CL1301" t="s">
        <v>89</v>
      </c>
    </row>
    <row r="1302" spans="1:90">
      <c r="A1302" t="s">
        <v>72</v>
      </c>
      <c r="B1302" t="s">
        <v>73</v>
      </c>
      <c r="C1302" t="s">
        <v>74</v>
      </c>
      <c r="E1302" t="str">
        <f>"FES1162722453"</f>
        <v>FES1162722453</v>
      </c>
      <c r="F1302" s="3">
        <v>43781</v>
      </c>
      <c r="G1302">
        <v>202005</v>
      </c>
      <c r="H1302" t="s">
        <v>75</v>
      </c>
      <c r="I1302" t="s">
        <v>76</v>
      </c>
      <c r="J1302" t="s">
        <v>77</v>
      </c>
      <c r="K1302" t="s">
        <v>78</v>
      </c>
      <c r="L1302" t="s">
        <v>101</v>
      </c>
      <c r="M1302" t="s">
        <v>102</v>
      </c>
      <c r="N1302" t="s">
        <v>529</v>
      </c>
      <c r="O1302" t="s">
        <v>82</v>
      </c>
      <c r="P1302" t="str">
        <f>"2170713141                    "</f>
        <v xml:space="preserve">2170713141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8.58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 s="4">
        <v>50.45</v>
      </c>
      <c r="BM1302" s="4">
        <v>7.57</v>
      </c>
      <c r="BN1302" s="4">
        <v>58.02</v>
      </c>
      <c r="BO1302" s="4">
        <v>58.02</v>
      </c>
      <c r="BQ1302" t="s">
        <v>109</v>
      </c>
      <c r="BR1302" t="s">
        <v>84</v>
      </c>
      <c r="BS1302" s="3">
        <v>43782</v>
      </c>
      <c r="BT1302" s="5">
        <v>0.40277777777777773</v>
      </c>
      <c r="BU1302" t="s">
        <v>1550</v>
      </c>
      <c r="BV1302" t="s">
        <v>86</v>
      </c>
      <c r="BY1302">
        <v>1200</v>
      </c>
      <c r="CA1302" t="s">
        <v>1552</v>
      </c>
      <c r="CC1302" t="s">
        <v>102</v>
      </c>
      <c r="CD1302">
        <v>186</v>
      </c>
      <c r="CE1302" t="s">
        <v>147</v>
      </c>
      <c r="CF1302" s="3">
        <v>43783</v>
      </c>
      <c r="CI1302">
        <v>1</v>
      </c>
      <c r="CJ1302">
        <v>1</v>
      </c>
      <c r="CK1302">
        <v>21</v>
      </c>
      <c r="CL1302" t="s">
        <v>89</v>
      </c>
    </row>
    <row r="1303" spans="1:90">
      <c r="A1303" t="s">
        <v>72</v>
      </c>
      <c r="B1303" t="s">
        <v>73</v>
      </c>
      <c r="C1303" t="s">
        <v>74</v>
      </c>
      <c r="E1303" t="str">
        <f>"FES1162722442"</f>
        <v>FES1162722442</v>
      </c>
      <c r="F1303" s="3">
        <v>43781</v>
      </c>
      <c r="G1303">
        <v>202005</v>
      </c>
      <c r="H1303" t="s">
        <v>75</v>
      </c>
      <c r="I1303" t="s">
        <v>76</v>
      </c>
      <c r="J1303" t="s">
        <v>77</v>
      </c>
      <c r="K1303" t="s">
        <v>78</v>
      </c>
      <c r="L1303" t="s">
        <v>292</v>
      </c>
      <c r="M1303" t="s">
        <v>293</v>
      </c>
      <c r="N1303" t="s">
        <v>294</v>
      </c>
      <c r="O1303" t="s">
        <v>82</v>
      </c>
      <c r="P1303" t="str">
        <f>"2170716656                    "</f>
        <v xml:space="preserve">2170716656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16.63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1.7</v>
      </c>
      <c r="BJ1303">
        <v>0.6</v>
      </c>
      <c r="BK1303">
        <v>2</v>
      </c>
      <c r="BL1303" s="4">
        <v>97.75</v>
      </c>
      <c r="BM1303" s="4">
        <v>14.66</v>
      </c>
      <c r="BN1303" s="4">
        <v>112.41</v>
      </c>
      <c r="BO1303" s="4">
        <v>112.41</v>
      </c>
      <c r="BQ1303" t="s">
        <v>121</v>
      </c>
      <c r="BR1303" t="s">
        <v>84</v>
      </c>
      <c r="BS1303" s="3">
        <v>43782</v>
      </c>
      <c r="BT1303" s="5">
        <v>0.33333333333333331</v>
      </c>
      <c r="BU1303" t="s">
        <v>1733</v>
      </c>
      <c r="BV1303" t="s">
        <v>86</v>
      </c>
      <c r="BY1303">
        <v>2977.92</v>
      </c>
      <c r="CC1303" t="s">
        <v>293</v>
      </c>
      <c r="CD1303">
        <v>1947</v>
      </c>
      <c r="CE1303" t="s">
        <v>88</v>
      </c>
      <c r="CF1303" s="3">
        <v>43783</v>
      </c>
      <c r="CI1303">
        <v>1</v>
      </c>
      <c r="CJ1303">
        <v>1</v>
      </c>
      <c r="CK1303">
        <v>23</v>
      </c>
      <c r="CL1303" t="s">
        <v>89</v>
      </c>
    </row>
    <row r="1304" spans="1:90">
      <c r="A1304" t="s">
        <v>72</v>
      </c>
      <c r="B1304" t="s">
        <v>73</v>
      </c>
      <c r="C1304" t="s">
        <v>74</v>
      </c>
      <c r="E1304" t="str">
        <f>"FES1162722622"</f>
        <v>FES1162722622</v>
      </c>
      <c r="F1304" s="3">
        <v>43781</v>
      </c>
      <c r="G1304">
        <v>202005</v>
      </c>
      <c r="H1304" t="s">
        <v>75</v>
      </c>
      <c r="I1304" t="s">
        <v>76</v>
      </c>
      <c r="J1304" t="s">
        <v>77</v>
      </c>
      <c r="K1304" t="s">
        <v>78</v>
      </c>
      <c r="L1304" t="s">
        <v>90</v>
      </c>
      <c r="M1304" t="s">
        <v>91</v>
      </c>
      <c r="N1304" t="s">
        <v>1825</v>
      </c>
      <c r="O1304" t="s">
        <v>82</v>
      </c>
      <c r="P1304" t="str">
        <f>"2170716876                    "</f>
        <v xml:space="preserve">2170716876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8.58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1.7</v>
      </c>
      <c r="BJ1304">
        <v>0.9</v>
      </c>
      <c r="BK1304">
        <v>2</v>
      </c>
      <c r="BL1304" s="4">
        <v>50.45</v>
      </c>
      <c r="BM1304" s="4">
        <v>7.57</v>
      </c>
      <c r="BN1304" s="4">
        <v>58.02</v>
      </c>
      <c r="BO1304" s="4">
        <v>58.02</v>
      </c>
      <c r="BQ1304" t="s">
        <v>121</v>
      </c>
      <c r="BR1304" t="s">
        <v>84</v>
      </c>
      <c r="BS1304" s="3">
        <v>43782</v>
      </c>
      <c r="BT1304" s="5">
        <v>0.43263888888888885</v>
      </c>
      <c r="BU1304" t="s">
        <v>1826</v>
      </c>
      <c r="BV1304" t="s">
        <v>86</v>
      </c>
      <c r="BY1304">
        <v>4335</v>
      </c>
      <c r="CA1304" t="s">
        <v>323</v>
      </c>
      <c r="CC1304" t="s">
        <v>91</v>
      </c>
      <c r="CD1304">
        <v>7460</v>
      </c>
      <c r="CE1304" t="s">
        <v>88</v>
      </c>
      <c r="CF1304" s="3">
        <v>43783</v>
      </c>
      <c r="CI1304">
        <v>1</v>
      </c>
      <c r="CJ1304">
        <v>1</v>
      </c>
      <c r="CK1304">
        <v>21</v>
      </c>
      <c r="CL1304" t="s">
        <v>89</v>
      </c>
    </row>
    <row r="1305" spans="1:90">
      <c r="A1305" t="s">
        <v>72</v>
      </c>
      <c r="B1305" t="s">
        <v>73</v>
      </c>
      <c r="C1305" t="s">
        <v>74</v>
      </c>
      <c r="E1305" t="str">
        <f>"FES1162722510"</f>
        <v>FES1162722510</v>
      </c>
      <c r="F1305" s="3">
        <v>43781</v>
      </c>
      <c r="G1305">
        <v>202005</v>
      </c>
      <c r="H1305" t="s">
        <v>75</v>
      </c>
      <c r="I1305" t="s">
        <v>76</v>
      </c>
      <c r="J1305" t="s">
        <v>77</v>
      </c>
      <c r="K1305" t="s">
        <v>78</v>
      </c>
      <c r="L1305" t="s">
        <v>112</v>
      </c>
      <c r="M1305" t="s">
        <v>113</v>
      </c>
      <c r="N1305" t="s">
        <v>620</v>
      </c>
      <c r="O1305" t="s">
        <v>82</v>
      </c>
      <c r="P1305" t="str">
        <f>"2170716730                    "</f>
        <v xml:space="preserve">2170716730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8.58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 s="4">
        <v>50.45</v>
      </c>
      <c r="BM1305" s="4">
        <v>7.57</v>
      </c>
      <c r="BN1305" s="4">
        <v>58.02</v>
      </c>
      <c r="BO1305" s="4">
        <v>58.02</v>
      </c>
      <c r="BQ1305" t="s">
        <v>109</v>
      </c>
      <c r="BR1305" t="s">
        <v>84</v>
      </c>
      <c r="BS1305" s="3">
        <v>43782</v>
      </c>
      <c r="BT1305" s="5">
        <v>0.36388888888888887</v>
      </c>
      <c r="BU1305" t="s">
        <v>1827</v>
      </c>
      <c r="BV1305" t="s">
        <v>86</v>
      </c>
      <c r="BY1305">
        <v>1200</v>
      </c>
      <c r="CA1305" t="s">
        <v>255</v>
      </c>
      <c r="CC1305" t="s">
        <v>113</v>
      </c>
      <c r="CD1305">
        <v>4302</v>
      </c>
      <c r="CE1305" t="s">
        <v>147</v>
      </c>
      <c r="CF1305" s="3">
        <v>43783</v>
      </c>
      <c r="CI1305">
        <v>1</v>
      </c>
      <c r="CJ1305">
        <v>1</v>
      </c>
      <c r="CK1305">
        <v>21</v>
      </c>
      <c r="CL1305" t="s">
        <v>89</v>
      </c>
    </row>
    <row r="1306" spans="1:90">
      <c r="A1306" t="s">
        <v>72</v>
      </c>
      <c r="B1306" t="s">
        <v>73</v>
      </c>
      <c r="C1306" t="s">
        <v>74</v>
      </c>
      <c r="E1306" t="str">
        <f>"FES1162722618"</f>
        <v>FES1162722618</v>
      </c>
      <c r="F1306" s="3">
        <v>43781</v>
      </c>
      <c r="G1306">
        <v>202005</v>
      </c>
      <c r="H1306" t="s">
        <v>75</v>
      </c>
      <c r="I1306" t="s">
        <v>76</v>
      </c>
      <c r="J1306" t="s">
        <v>77</v>
      </c>
      <c r="K1306" t="s">
        <v>78</v>
      </c>
      <c r="L1306" t="s">
        <v>1651</v>
      </c>
      <c r="M1306" t="s">
        <v>1651</v>
      </c>
      <c r="N1306" t="s">
        <v>1652</v>
      </c>
      <c r="O1306" t="s">
        <v>82</v>
      </c>
      <c r="P1306" t="str">
        <f>"2170716868                    "</f>
        <v xml:space="preserve">2170716868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12.07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 s="4">
        <v>70.95</v>
      </c>
      <c r="BM1306" s="4">
        <v>10.64</v>
      </c>
      <c r="BN1306" s="4">
        <v>81.59</v>
      </c>
      <c r="BO1306" s="4">
        <v>81.59</v>
      </c>
      <c r="BQ1306" t="s">
        <v>161</v>
      </c>
      <c r="BR1306" t="s">
        <v>84</v>
      </c>
      <c r="BS1306" s="3">
        <v>43782</v>
      </c>
      <c r="BT1306" s="5">
        <v>0.4375</v>
      </c>
      <c r="BU1306" t="s">
        <v>1828</v>
      </c>
      <c r="BV1306" t="s">
        <v>86</v>
      </c>
      <c r="BY1306">
        <v>1200</v>
      </c>
      <c r="CA1306" t="s">
        <v>362</v>
      </c>
      <c r="CC1306" t="s">
        <v>1651</v>
      </c>
      <c r="CD1306">
        <v>1490</v>
      </c>
      <c r="CE1306" t="s">
        <v>147</v>
      </c>
      <c r="CF1306" s="3">
        <v>43784</v>
      </c>
      <c r="CI1306">
        <v>1</v>
      </c>
      <c r="CJ1306">
        <v>1</v>
      </c>
      <c r="CK1306">
        <v>24</v>
      </c>
      <c r="CL1306" t="s">
        <v>89</v>
      </c>
    </row>
    <row r="1307" spans="1:90">
      <c r="A1307" t="s">
        <v>72</v>
      </c>
      <c r="B1307" t="s">
        <v>73</v>
      </c>
      <c r="C1307" t="s">
        <v>74</v>
      </c>
      <c r="E1307" t="str">
        <f>"FES1162722519"</f>
        <v>FES1162722519</v>
      </c>
      <c r="F1307" s="3">
        <v>43781</v>
      </c>
      <c r="G1307">
        <v>202005</v>
      </c>
      <c r="H1307" t="s">
        <v>75</v>
      </c>
      <c r="I1307" t="s">
        <v>76</v>
      </c>
      <c r="J1307" t="s">
        <v>77</v>
      </c>
      <c r="K1307" t="s">
        <v>78</v>
      </c>
      <c r="L1307" t="s">
        <v>112</v>
      </c>
      <c r="M1307" t="s">
        <v>113</v>
      </c>
      <c r="N1307" t="s">
        <v>160</v>
      </c>
      <c r="O1307" t="s">
        <v>82</v>
      </c>
      <c r="P1307" t="str">
        <f>"2170716745                    "</f>
        <v xml:space="preserve">2170716745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8.58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 s="4">
        <v>50.45</v>
      </c>
      <c r="BM1307" s="4">
        <v>7.57</v>
      </c>
      <c r="BN1307" s="4">
        <v>58.02</v>
      </c>
      <c r="BO1307" s="4">
        <v>58.02</v>
      </c>
      <c r="BQ1307" t="s">
        <v>161</v>
      </c>
      <c r="BR1307" t="s">
        <v>84</v>
      </c>
      <c r="BS1307" s="3">
        <v>43782</v>
      </c>
      <c r="BT1307" s="5">
        <v>0.36388888888888887</v>
      </c>
      <c r="BU1307" t="s">
        <v>1360</v>
      </c>
      <c r="BV1307" t="s">
        <v>86</v>
      </c>
      <c r="BY1307">
        <v>1200</v>
      </c>
      <c r="CA1307" t="s">
        <v>163</v>
      </c>
      <c r="CC1307" t="s">
        <v>113</v>
      </c>
      <c r="CD1307">
        <v>4000</v>
      </c>
      <c r="CE1307" t="s">
        <v>147</v>
      </c>
      <c r="CF1307" s="3">
        <v>43783</v>
      </c>
      <c r="CI1307">
        <v>1</v>
      </c>
      <c r="CJ1307">
        <v>1</v>
      </c>
      <c r="CK1307">
        <v>21</v>
      </c>
      <c r="CL1307" t="s">
        <v>89</v>
      </c>
    </row>
    <row r="1308" spans="1:90">
      <c r="A1308" t="s">
        <v>72</v>
      </c>
      <c r="B1308" t="s">
        <v>73</v>
      </c>
      <c r="C1308" t="s">
        <v>74</v>
      </c>
      <c r="E1308" t="str">
        <f>"FES1162722570"</f>
        <v>FES1162722570</v>
      </c>
      <c r="F1308" s="3">
        <v>43781</v>
      </c>
      <c r="G1308">
        <v>202005</v>
      </c>
      <c r="H1308" t="s">
        <v>75</v>
      </c>
      <c r="I1308" t="s">
        <v>76</v>
      </c>
      <c r="J1308" t="s">
        <v>77</v>
      </c>
      <c r="K1308" t="s">
        <v>78</v>
      </c>
      <c r="L1308" t="s">
        <v>124</v>
      </c>
      <c r="M1308" t="s">
        <v>125</v>
      </c>
      <c r="N1308" t="s">
        <v>218</v>
      </c>
      <c r="O1308" t="s">
        <v>82</v>
      </c>
      <c r="P1308" t="str">
        <f>"2170716806                    "</f>
        <v xml:space="preserve">2170716806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6.71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 s="4">
        <v>39.42</v>
      </c>
      <c r="BM1308" s="4">
        <v>5.91</v>
      </c>
      <c r="BN1308" s="4">
        <v>45.33</v>
      </c>
      <c r="BO1308" s="4">
        <v>45.33</v>
      </c>
      <c r="BQ1308" t="s">
        <v>121</v>
      </c>
      <c r="BR1308" t="s">
        <v>84</v>
      </c>
      <c r="BS1308" s="3">
        <v>43782</v>
      </c>
      <c r="BT1308" s="5">
        <v>0.36944444444444446</v>
      </c>
      <c r="BU1308" t="s">
        <v>1659</v>
      </c>
      <c r="BV1308" t="s">
        <v>86</v>
      </c>
      <c r="BY1308">
        <v>1200</v>
      </c>
      <c r="CC1308" t="s">
        <v>125</v>
      </c>
      <c r="CD1308">
        <v>2094</v>
      </c>
      <c r="CE1308" t="s">
        <v>147</v>
      </c>
      <c r="CF1308" s="3">
        <v>43784</v>
      </c>
      <c r="CI1308">
        <v>1</v>
      </c>
      <c r="CJ1308">
        <v>1</v>
      </c>
      <c r="CK1308">
        <v>22</v>
      </c>
      <c r="CL1308" t="s">
        <v>89</v>
      </c>
    </row>
    <row r="1309" spans="1:90">
      <c r="A1309" t="s">
        <v>72</v>
      </c>
      <c r="B1309" t="s">
        <v>73</v>
      </c>
      <c r="C1309" t="s">
        <v>74</v>
      </c>
      <c r="E1309" t="str">
        <f>"FES1162722462"</f>
        <v>FES1162722462</v>
      </c>
      <c r="F1309" s="3">
        <v>43781</v>
      </c>
      <c r="G1309">
        <v>202005</v>
      </c>
      <c r="H1309" t="s">
        <v>75</v>
      </c>
      <c r="I1309" t="s">
        <v>76</v>
      </c>
      <c r="J1309" t="s">
        <v>77</v>
      </c>
      <c r="K1309" t="s">
        <v>78</v>
      </c>
      <c r="L1309" t="s">
        <v>653</v>
      </c>
      <c r="M1309" t="s">
        <v>654</v>
      </c>
      <c r="N1309" t="s">
        <v>655</v>
      </c>
      <c r="O1309" t="s">
        <v>82</v>
      </c>
      <c r="P1309" t="str">
        <f>"2170715964                    "</f>
        <v xml:space="preserve">2170715964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8.58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 s="4">
        <v>50.45</v>
      </c>
      <c r="BM1309" s="4">
        <v>7.57</v>
      </c>
      <c r="BN1309" s="4">
        <v>58.02</v>
      </c>
      <c r="BO1309" s="4">
        <v>58.02</v>
      </c>
      <c r="BQ1309" t="s">
        <v>109</v>
      </c>
      <c r="BR1309" t="s">
        <v>84</v>
      </c>
      <c r="BS1309" s="3">
        <v>43782</v>
      </c>
      <c r="BT1309" s="5">
        <v>0.4375</v>
      </c>
      <c r="BU1309" t="s">
        <v>1829</v>
      </c>
      <c r="BV1309" t="s">
        <v>86</v>
      </c>
      <c r="BY1309">
        <v>1200</v>
      </c>
      <c r="CC1309" t="s">
        <v>654</v>
      </c>
      <c r="CD1309">
        <v>4300</v>
      </c>
      <c r="CE1309" t="s">
        <v>147</v>
      </c>
      <c r="CF1309" s="3">
        <v>43783</v>
      </c>
      <c r="CI1309">
        <v>1</v>
      </c>
      <c r="CJ1309">
        <v>1</v>
      </c>
      <c r="CK1309">
        <v>21</v>
      </c>
      <c r="CL1309" t="s">
        <v>89</v>
      </c>
    </row>
    <row r="1310" spans="1:90">
      <c r="A1310" t="s">
        <v>72</v>
      </c>
      <c r="B1310" t="s">
        <v>73</v>
      </c>
      <c r="C1310" t="s">
        <v>74</v>
      </c>
      <c r="E1310" t="str">
        <f>"FES1162722621"</f>
        <v>FES1162722621</v>
      </c>
      <c r="F1310" s="3">
        <v>43781</v>
      </c>
      <c r="G1310">
        <v>202005</v>
      </c>
      <c r="H1310" t="s">
        <v>75</v>
      </c>
      <c r="I1310" t="s">
        <v>76</v>
      </c>
      <c r="J1310" t="s">
        <v>77</v>
      </c>
      <c r="K1310" t="s">
        <v>78</v>
      </c>
      <c r="L1310" t="s">
        <v>482</v>
      </c>
      <c r="M1310" t="s">
        <v>483</v>
      </c>
      <c r="N1310" t="s">
        <v>594</v>
      </c>
      <c r="O1310" t="s">
        <v>82</v>
      </c>
      <c r="P1310" t="str">
        <f>"2170716875                    "</f>
        <v xml:space="preserve">2170716875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6.71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 s="4">
        <v>39.42</v>
      </c>
      <c r="BM1310" s="4">
        <v>5.91</v>
      </c>
      <c r="BN1310" s="4">
        <v>45.33</v>
      </c>
      <c r="BO1310" s="4">
        <v>45.33</v>
      </c>
      <c r="BQ1310" t="s">
        <v>109</v>
      </c>
      <c r="BR1310" t="s">
        <v>84</v>
      </c>
      <c r="BS1310" s="3">
        <v>43782</v>
      </c>
      <c r="BT1310" s="5">
        <v>0.34166666666666662</v>
      </c>
      <c r="BU1310" t="s">
        <v>1830</v>
      </c>
      <c r="BV1310" t="s">
        <v>86</v>
      </c>
      <c r="BY1310">
        <v>1200</v>
      </c>
      <c r="CA1310" t="s">
        <v>1804</v>
      </c>
      <c r="CC1310" t="s">
        <v>483</v>
      </c>
      <c r="CD1310">
        <v>1459</v>
      </c>
      <c r="CE1310" t="s">
        <v>147</v>
      </c>
      <c r="CF1310" s="3">
        <v>43784</v>
      </c>
      <c r="CI1310">
        <v>1</v>
      </c>
      <c r="CJ1310">
        <v>1</v>
      </c>
      <c r="CK1310">
        <v>22</v>
      </c>
      <c r="CL1310" t="s">
        <v>89</v>
      </c>
    </row>
    <row r="1311" spans="1:90">
      <c r="A1311" t="s">
        <v>72</v>
      </c>
      <c r="B1311" t="s">
        <v>73</v>
      </c>
      <c r="C1311" t="s">
        <v>74</v>
      </c>
      <c r="E1311" t="str">
        <f>"FES1162722485"</f>
        <v>FES1162722485</v>
      </c>
      <c r="F1311" s="3">
        <v>43781</v>
      </c>
      <c r="G1311">
        <v>202005</v>
      </c>
      <c r="H1311" t="s">
        <v>75</v>
      </c>
      <c r="I1311" t="s">
        <v>76</v>
      </c>
      <c r="J1311" t="s">
        <v>77</v>
      </c>
      <c r="K1311" t="s">
        <v>78</v>
      </c>
      <c r="L1311" t="s">
        <v>225</v>
      </c>
      <c r="M1311" t="s">
        <v>226</v>
      </c>
      <c r="N1311" t="s">
        <v>1719</v>
      </c>
      <c r="O1311" t="s">
        <v>82</v>
      </c>
      <c r="P1311" t="str">
        <f>"2170716692                    "</f>
        <v xml:space="preserve">2170716692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8.58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 s="4">
        <v>50.45</v>
      </c>
      <c r="BM1311" s="4">
        <v>7.57</v>
      </c>
      <c r="BN1311" s="4">
        <v>58.02</v>
      </c>
      <c r="BO1311" s="4">
        <v>58.02</v>
      </c>
      <c r="BQ1311" t="s">
        <v>1720</v>
      </c>
      <c r="BR1311" t="s">
        <v>84</v>
      </c>
      <c r="BS1311" s="3">
        <v>43782</v>
      </c>
      <c r="BT1311" s="5">
        <v>0.32708333333333334</v>
      </c>
      <c r="BU1311" t="s">
        <v>1721</v>
      </c>
      <c r="BV1311" t="s">
        <v>86</v>
      </c>
      <c r="BY1311">
        <v>1200</v>
      </c>
      <c r="CA1311" t="s">
        <v>229</v>
      </c>
      <c r="CC1311" t="s">
        <v>226</v>
      </c>
      <c r="CD1311">
        <v>4026</v>
      </c>
      <c r="CE1311" t="s">
        <v>147</v>
      </c>
      <c r="CF1311" s="3">
        <v>43783</v>
      </c>
      <c r="CI1311">
        <v>1</v>
      </c>
      <c r="CJ1311">
        <v>1</v>
      </c>
      <c r="CK1311">
        <v>21</v>
      </c>
      <c r="CL1311" t="s">
        <v>89</v>
      </c>
    </row>
    <row r="1312" spans="1:90">
      <c r="A1312" t="s">
        <v>72</v>
      </c>
      <c r="B1312" t="s">
        <v>73</v>
      </c>
      <c r="C1312" t="s">
        <v>74</v>
      </c>
      <c r="E1312" t="str">
        <f>"FES1162722601"</f>
        <v>FES1162722601</v>
      </c>
      <c r="F1312" s="3">
        <v>43781</v>
      </c>
      <c r="G1312">
        <v>202005</v>
      </c>
      <c r="H1312" t="s">
        <v>75</v>
      </c>
      <c r="I1312" t="s">
        <v>76</v>
      </c>
      <c r="J1312" t="s">
        <v>77</v>
      </c>
      <c r="K1312" t="s">
        <v>78</v>
      </c>
      <c r="L1312" t="s">
        <v>522</v>
      </c>
      <c r="M1312" t="s">
        <v>523</v>
      </c>
      <c r="N1312" t="s">
        <v>1535</v>
      </c>
      <c r="O1312" t="s">
        <v>82</v>
      </c>
      <c r="P1312" t="str">
        <f>"2170716849                    "</f>
        <v xml:space="preserve">2170716849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16.63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 s="4">
        <v>97.75</v>
      </c>
      <c r="BM1312" s="4">
        <v>14.66</v>
      </c>
      <c r="BN1312" s="4">
        <v>112.41</v>
      </c>
      <c r="BO1312" s="4">
        <v>112.41</v>
      </c>
      <c r="BQ1312" t="s">
        <v>1536</v>
      </c>
      <c r="BR1312" t="s">
        <v>84</v>
      </c>
      <c r="BS1312" s="3">
        <v>43782</v>
      </c>
      <c r="BT1312" s="5">
        <v>0.41666666666666669</v>
      </c>
      <c r="BU1312" t="s">
        <v>1537</v>
      </c>
      <c r="BV1312" t="s">
        <v>86</v>
      </c>
      <c r="BY1312">
        <v>1200</v>
      </c>
      <c r="CA1312" t="s">
        <v>526</v>
      </c>
      <c r="CC1312" t="s">
        <v>523</v>
      </c>
      <c r="CD1312">
        <v>1911</v>
      </c>
      <c r="CE1312" t="s">
        <v>147</v>
      </c>
      <c r="CF1312" s="3">
        <v>43784</v>
      </c>
      <c r="CI1312">
        <v>1</v>
      </c>
      <c r="CJ1312">
        <v>1</v>
      </c>
      <c r="CK1312">
        <v>23</v>
      </c>
      <c r="CL1312" t="s">
        <v>89</v>
      </c>
    </row>
    <row r="1313" spans="1:90">
      <c r="A1313" t="s">
        <v>72</v>
      </c>
      <c r="B1313" t="s">
        <v>73</v>
      </c>
      <c r="C1313" t="s">
        <v>74</v>
      </c>
      <c r="E1313" t="str">
        <f>"FES1162722506"</f>
        <v>FES1162722506</v>
      </c>
      <c r="F1313" s="3">
        <v>43781</v>
      </c>
      <c r="G1313">
        <v>202005</v>
      </c>
      <c r="H1313" t="s">
        <v>75</v>
      </c>
      <c r="I1313" t="s">
        <v>76</v>
      </c>
      <c r="J1313" t="s">
        <v>77</v>
      </c>
      <c r="K1313" t="s">
        <v>78</v>
      </c>
      <c r="L1313" t="s">
        <v>112</v>
      </c>
      <c r="M1313" t="s">
        <v>113</v>
      </c>
      <c r="N1313" t="s">
        <v>160</v>
      </c>
      <c r="O1313" t="s">
        <v>82</v>
      </c>
      <c r="P1313" t="str">
        <f>"2170716725                    "</f>
        <v xml:space="preserve">2170716725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8.58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 s="4">
        <v>50.45</v>
      </c>
      <c r="BM1313" s="4">
        <v>7.57</v>
      </c>
      <c r="BN1313" s="4">
        <v>58.02</v>
      </c>
      <c r="BO1313" s="4">
        <v>58.02</v>
      </c>
      <c r="BQ1313" t="s">
        <v>161</v>
      </c>
      <c r="BR1313" t="s">
        <v>84</v>
      </c>
      <c r="BS1313" s="3">
        <v>43782</v>
      </c>
      <c r="BT1313" s="5">
        <v>0.36388888888888887</v>
      </c>
      <c r="BU1313" t="s">
        <v>1360</v>
      </c>
      <c r="BV1313" t="s">
        <v>86</v>
      </c>
      <c r="BY1313">
        <v>1200</v>
      </c>
      <c r="CA1313" t="s">
        <v>163</v>
      </c>
      <c r="CC1313" t="s">
        <v>113</v>
      </c>
      <c r="CD1313">
        <v>4000</v>
      </c>
      <c r="CE1313" t="s">
        <v>147</v>
      </c>
      <c r="CF1313" s="3">
        <v>43783</v>
      </c>
      <c r="CI1313">
        <v>1</v>
      </c>
      <c r="CJ1313">
        <v>1</v>
      </c>
      <c r="CK1313">
        <v>21</v>
      </c>
      <c r="CL1313" t="s">
        <v>89</v>
      </c>
    </row>
    <row r="1314" spans="1:90">
      <c r="A1314" t="s">
        <v>72</v>
      </c>
      <c r="B1314" t="s">
        <v>73</v>
      </c>
      <c r="C1314" t="s">
        <v>74</v>
      </c>
      <c r="E1314" t="str">
        <f>"FES1162722623"</f>
        <v>FES1162722623</v>
      </c>
      <c r="F1314" s="3">
        <v>43781</v>
      </c>
      <c r="G1314">
        <v>202005</v>
      </c>
      <c r="H1314" t="s">
        <v>75</v>
      </c>
      <c r="I1314" t="s">
        <v>76</v>
      </c>
      <c r="J1314" t="s">
        <v>77</v>
      </c>
      <c r="K1314" t="s">
        <v>78</v>
      </c>
      <c r="L1314" t="s">
        <v>75</v>
      </c>
      <c r="M1314" t="s">
        <v>76</v>
      </c>
      <c r="N1314" t="s">
        <v>942</v>
      </c>
      <c r="O1314" t="s">
        <v>82</v>
      </c>
      <c r="P1314" t="str">
        <f>"2170716789                    "</f>
        <v xml:space="preserve">2170716789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6.71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 s="4">
        <v>39.42</v>
      </c>
      <c r="BM1314" s="4">
        <v>5.91</v>
      </c>
      <c r="BN1314" s="4">
        <v>45.33</v>
      </c>
      <c r="BO1314" s="4">
        <v>45.33</v>
      </c>
      <c r="BQ1314" t="s">
        <v>943</v>
      </c>
      <c r="BR1314" t="s">
        <v>84</v>
      </c>
      <c r="BS1314" s="3">
        <v>43782</v>
      </c>
      <c r="BT1314" s="5">
        <v>0.34930555555555554</v>
      </c>
      <c r="BU1314" t="s">
        <v>1831</v>
      </c>
      <c r="BV1314" t="s">
        <v>86</v>
      </c>
      <c r="BY1314">
        <v>1200</v>
      </c>
      <c r="CA1314" t="s">
        <v>1832</v>
      </c>
      <c r="CC1314" t="s">
        <v>76</v>
      </c>
      <c r="CD1314">
        <v>1619</v>
      </c>
      <c r="CE1314" t="s">
        <v>147</v>
      </c>
      <c r="CF1314" s="3">
        <v>43783</v>
      </c>
      <c r="CI1314">
        <v>1</v>
      </c>
      <c r="CJ1314">
        <v>1</v>
      </c>
      <c r="CK1314">
        <v>22</v>
      </c>
      <c r="CL1314" t="s">
        <v>89</v>
      </c>
    </row>
    <row r="1315" spans="1:90">
      <c r="A1315" t="s">
        <v>72</v>
      </c>
      <c r="B1315" t="s">
        <v>73</v>
      </c>
      <c r="C1315" t="s">
        <v>74</v>
      </c>
      <c r="E1315" t="str">
        <f>"FES1162722514"</f>
        <v>FES1162722514</v>
      </c>
      <c r="F1315" s="3">
        <v>43781</v>
      </c>
      <c r="G1315">
        <v>202005</v>
      </c>
      <c r="H1315" t="s">
        <v>75</v>
      </c>
      <c r="I1315" t="s">
        <v>76</v>
      </c>
      <c r="J1315" t="s">
        <v>77</v>
      </c>
      <c r="K1315" t="s">
        <v>78</v>
      </c>
      <c r="L1315" t="s">
        <v>296</v>
      </c>
      <c r="M1315" t="s">
        <v>297</v>
      </c>
      <c r="N1315" t="s">
        <v>1574</v>
      </c>
      <c r="O1315" t="s">
        <v>82</v>
      </c>
      <c r="P1315" t="str">
        <f>"2170716736                    "</f>
        <v xml:space="preserve">2170716736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16.63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 s="4">
        <v>97.75</v>
      </c>
      <c r="BM1315" s="4">
        <v>14.66</v>
      </c>
      <c r="BN1315" s="4">
        <v>112.41</v>
      </c>
      <c r="BO1315" s="4">
        <v>112.41</v>
      </c>
      <c r="BQ1315" t="s">
        <v>1575</v>
      </c>
      <c r="BR1315" t="s">
        <v>84</v>
      </c>
      <c r="BS1315" s="3">
        <v>43783</v>
      </c>
      <c r="BT1315" s="5">
        <v>0.37013888888888885</v>
      </c>
      <c r="BU1315" t="s">
        <v>1833</v>
      </c>
      <c r="BV1315" t="s">
        <v>86</v>
      </c>
      <c r="BY1315">
        <v>1200</v>
      </c>
      <c r="CA1315" t="s">
        <v>1514</v>
      </c>
      <c r="CC1315" t="s">
        <v>297</v>
      </c>
      <c r="CD1315">
        <v>6850</v>
      </c>
      <c r="CE1315" t="s">
        <v>147</v>
      </c>
      <c r="CF1315" s="3">
        <v>43784</v>
      </c>
      <c r="CI1315">
        <v>3</v>
      </c>
      <c r="CJ1315">
        <v>2</v>
      </c>
      <c r="CK1315">
        <v>23</v>
      </c>
      <c r="CL1315" t="s">
        <v>89</v>
      </c>
    </row>
    <row r="1316" spans="1:90">
      <c r="A1316" t="s">
        <v>72</v>
      </c>
      <c r="B1316" t="s">
        <v>73</v>
      </c>
      <c r="C1316" t="s">
        <v>74</v>
      </c>
      <c r="E1316" t="str">
        <f>"FES1162722642"</f>
        <v>FES1162722642</v>
      </c>
      <c r="F1316" s="3">
        <v>43781</v>
      </c>
      <c r="G1316">
        <v>202005</v>
      </c>
      <c r="H1316" t="s">
        <v>75</v>
      </c>
      <c r="I1316" t="s">
        <v>76</v>
      </c>
      <c r="J1316" t="s">
        <v>77</v>
      </c>
      <c r="K1316" t="s">
        <v>78</v>
      </c>
      <c r="L1316" t="s">
        <v>106</v>
      </c>
      <c r="M1316" t="s">
        <v>107</v>
      </c>
      <c r="N1316" t="s">
        <v>1586</v>
      </c>
      <c r="O1316" t="s">
        <v>82</v>
      </c>
      <c r="P1316" t="str">
        <f>"2170716365                    "</f>
        <v xml:space="preserve">2170716365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8.58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 s="4">
        <v>50.45</v>
      </c>
      <c r="BM1316" s="4">
        <v>7.57</v>
      </c>
      <c r="BN1316" s="4">
        <v>58.02</v>
      </c>
      <c r="BO1316" s="4">
        <v>58.02</v>
      </c>
      <c r="BQ1316" t="s">
        <v>109</v>
      </c>
      <c r="BR1316" t="s">
        <v>84</v>
      </c>
      <c r="BS1316" s="3">
        <v>43782</v>
      </c>
      <c r="BT1316" s="5">
        <v>0.35555555555555557</v>
      </c>
      <c r="BU1316" t="s">
        <v>1834</v>
      </c>
      <c r="BV1316" t="s">
        <v>86</v>
      </c>
      <c r="BY1316">
        <v>1200</v>
      </c>
      <c r="CA1316" t="s">
        <v>275</v>
      </c>
      <c r="CC1316" t="s">
        <v>107</v>
      </c>
      <c r="CD1316">
        <v>6001</v>
      </c>
      <c r="CE1316" t="s">
        <v>147</v>
      </c>
      <c r="CF1316" s="3">
        <v>43783</v>
      </c>
      <c r="CI1316">
        <v>1</v>
      </c>
      <c r="CJ1316">
        <v>1</v>
      </c>
      <c r="CK1316">
        <v>21</v>
      </c>
      <c r="CL1316" t="s">
        <v>89</v>
      </c>
    </row>
    <row r="1317" spans="1:90">
      <c r="A1317" t="s">
        <v>72</v>
      </c>
      <c r="B1317" t="s">
        <v>73</v>
      </c>
      <c r="C1317" t="s">
        <v>74</v>
      </c>
      <c r="E1317" t="str">
        <f>"FES1162722450"</f>
        <v>FES1162722450</v>
      </c>
      <c r="F1317" s="3">
        <v>43781</v>
      </c>
      <c r="G1317">
        <v>202005</v>
      </c>
      <c r="H1317" t="s">
        <v>75</v>
      </c>
      <c r="I1317" t="s">
        <v>76</v>
      </c>
      <c r="J1317" t="s">
        <v>77</v>
      </c>
      <c r="K1317" t="s">
        <v>78</v>
      </c>
      <c r="L1317" t="s">
        <v>214</v>
      </c>
      <c r="M1317" t="s">
        <v>214</v>
      </c>
      <c r="N1317" t="s">
        <v>312</v>
      </c>
      <c r="O1317" t="s">
        <v>82</v>
      </c>
      <c r="P1317" t="str">
        <f>"2170716667                    "</f>
        <v xml:space="preserve">2170716667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16.63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 s="4">
        <v>97.75</v>
      </c>
      <c r="BM1317" s="4">
        <v>14.66</v>
      </c>
      <c r="BN1317" s="4">
        <v>112.41</v>
      </c>
      <c r="BO1317" s="4">
        <v>112.41</v>
      </c>
      <c r="BQ1317" t="s">
        <v>121</v>
      </c>
      <c r="BR1317" t="s">
        <v>84</v>
      </c>
      <c r="BS1317" s="3">
        <v>43782</v>
      </c>
      <c r="BT1317" s="5">
        <v>0.51944444444444449</v>
      </c>
      <c r="BU1317" t="s">
        <v>313</v>
      </c>
      <c r="BV1317" t="s">
        <v>86</v>
      </c>
      <c r="BY1317">
        <v>1200</v>
      </c>
      <c r="CA1317" t="s">
        <v>217</v>
      </c>
      <c r="CC1317" t="s">
        <v>214</v>
      </c>
      <c r="CD1317">
        <v>7646</v>
      </c>
      <c r="CE1317" t="s">
        <v>147</v>
      </c>
      <c r="CF1317" s="3">
        <v>43783</v>
      </c>
      <c r="CI1317">
        <v>1</v>
      </c>
      <c r="CJ1317">
        <v>1</v>
      </c>
      <c r="CK1317">
        <v>23</v>
      </c>
      <c r="CL1317" t="s">
        <v>89</v>
      </c>
    </row>
    <row r="1318" spans="1:90">
      <c r="A1318" t="s">
        <v>72</v>
      </c>
      <c r="B1318" t="s">
        <v>73</v>
      </c>
      <c r="C1318" t="s">
        <v>74</v>
      </c>
      <c r="E1318" t="str">
        <f>"FES1162722644"</f>
        <v>FES1162722644</v>
      </c>
      <c r="F1318" s="3">
        <v>43781</v>
      </c>
      <c r="G1318">
        <v>202005</v>
      </c>
      <c r="H1318" t="s">
        <v>75</v>
      </c>
      <c r="I1318" t="s">
        <v>76</v>
      </c>
      <c r="J1318" t="s">
        <v>77</v>
      </c>
      <c r="K1318" t="s">
        <v>78</v>
      </c>
      <c r="L1318" t="s">
        <v>90</v>
      </c>
      <c r="M1318" t="s">
        <v>91</v>
      </c>
      <c r="N1318" t="s">
        <v>1194</v>
      </c>
      <c r="O1318" t="s">
        <v>82</v>
      </c>
      <c r="P1318" t="str">
        <f>"2170716498                    "</f>
        <v xml:space="preserve">2170716498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12.87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2.9</v>
      </c>
      <c r="BJ1318">
        <v>1.2</v>
      </c>
      <c r="BK1318">
        <v>3</v>
      </c>
      <c r="BL1318" s="4">
        <v>75.66</v>
      </c>
      <c r="BM1318" s="4">
        <v>11.35</v>
      </c>
      <c r="BN1318" s="4">
        <v>87.01</v>
      </c>
      <c r="BO1318" s="4">
        <v>87.01</v>
      </c>
      <c r="BQ1318" t="s">
        <v>121</v>
      </c>
      <c r="BR1318" t="s">
        <v>84</v>
      </c>
      <c r="BS1318" s="3">
        <v>43782</v>
      </c>
      <c r="BT1318" s="5">
        <v>0.42291666666666666</v>
      </c>
      <c r="BU1318" t="s">
        <v>1835</v>
      </c>
      <c r="BV1318" t="s">
        <v>86</v>
      </c>
      <c r="BY1318">
        <v>5950.81</v>
      </c>
      <c r="CA1318" t="s">
        <v>1196</v>
      </c>
      <c r="CC1318" t="s">
        <v>91</v>
      </c>
      <c r="CD1318">
        <v>7580</v>
      </c>
      <c r="CE1318" t="s">
        <v>88</v>
      </c>
      <c r="CF1318" s="3">
        <v>43783</v>
      </c>
      <c r="CI1318">
        <v>1</v>
      </c>
      <c r="CJ1318">
        <v>1</v>
      </c>
      <c r="CK1318">
        <v>21</v>
      </c>
      <c r="CL1318" t="s">
        <v>89</v>
      </c>
    </row>
    <row r="1319" spans="1:90">
      <c r="A1319" t="s">
        <v>72</v>
      </c>
      <c r="B1319" t="s">
        <v>73</v>
      </c>
      <c r="C1319" t="s">
        <v>74</v>
      </c>
      <c r="E1319" t="str">
        <f>"FES1162722465"</f>
        <v>FES1162722465</v>
      </c>
      <c r="F1319" s="3">
        <v>43781</v>
      </c>
      <c r="G1319">
        <v>202005</v>
      </c>
      <c r="H1319" t="s">
        <v>75</v>
      </c>
      <c r="I1319" t="s">
        <v>76</v>
      </c>
      <c r="J1319" t="s">
        <v>77</v>
      </c>
      <c r="K1319" t="s">
        <v>78</v>
      </c>
      <c r="L1319" t="s">
        <v>296</v>
      </c>
      <c r="M1319" t="s">
        <v>297</v>
      </c>
      <c r="N1319" t="s">
        <v>672</v>
      </c>
      <c r="O1319" t="s">
        <v>82</v>
      </c>
      <c r="P1319" t="str">
        <f>"2170716102                    "</f>
        <v xml:space="preserve">2170716102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16.63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 s="4">
        <v>97.75</v>
      </c>
      <c r="BM1319" s="4">
        <v>14.66</v>
      </c>
      <c r="BN1319" s="4">
        <v>112.41</v>
      </c>
      <c r="BO1319" s="4">
        <v>112.41</v>
      </c>
      <c r="BQ1319" t="s">
        <v>142</v>
      </c>
      <c r="BR1319" t="s">
        <v>84</v>
      </c>
      <c r="BS1319" s="3">
        <v>43783</v>
      </c>
      <c r="BT1319" s="5">
        <v>0.36249999999999999</v>
      </c>
      <c r="BU1319" t="s">
        <v>1815</v>
      </c>
      <c r="BV1319" t="s">
        <v>86</v>
      </c>
      <c r="BY1319">
        <v>1200</v>
      </c>
      <c r="CA1319" t="s">
        <v>1514</v>
      </c>
      <c r="CC1319" t="s">
        <v>297</v>
      </c>
      <c r="CD1319">
        <v>6850</v>
      </c>
      <c r="CE1319" t="s">
        <v>147</v>
      </c>
      <c r="CF1319" s="3">
        <v>43784</v>
      </c>
      <c r="CI1319">
        <v>3</v>
      </c>
      <c r="CJ1319">
        <v>2</v>
      </c>
      <c r="CK1319">
        <v>23</v>
      </c>
      <c r="CL1319" t="s">
        <v>89</v>
      </c>
    </row>
    <row r="1320" spans="1:90">
      <c r="A1320" t="s">
        <v>72</v>
      </c>
      <c r="B1320" t="s">
        <v>73</v>
      </c>
      <c r="C1320" t="s">
        <v>74</v>
      </c>
      <c r="E1320" t="str">
        <f>"FES1162722643"</f>
        <v>FES1162722643</v>
      </c>
      <c r="F1320" s="3">
        <v>43781</v>
      </c>
      <c r="G1320">
        <v>202005</v>
      </c>
      <c r="H1320" t="s">
        <v>75</v>
      </c>
      <c r="I1320" t="s">
        <v>76</v>
      </c>
      <c r="J1320" t="s">
        <v>77</v>
      </c>
      <c r="K1320" t="s">
        <v>78</v>
      </c>
      <c r="L1320" t="s">
        <v>90</v>
      </c>
      <c r="M1320" t="s">
        <v>91</v>
      </c>
      <c r="N1320" t="s">
        <v>954</v>
      </c>
      <c r="O1320" t="s">
        <v>82</v>
      </c>
      <c r="P1320" t="str">
        <f>"2170716458                    "</f>
        <v xml:space="preserve">2170716458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8.58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0.9</v>
      </c>
      <c r="BJ1320">
        <v>1</v>
      </c>
      <c r="BK1320">
        <v>1</v>
      </c>
      <c r="BL1320" s="4">
        <v>50.45</v>
      </c>
      <c r="BM1320" s="4">
        <v>7.57</v>
      </c>
      <c r="BN1320" s="4">
        <v>58.02</v>
      </c>
      <c r="BO1320" s="4">
        <v>58.02</v>
      </c>
      <c r="BQ1320" t="s">
        <v>109</v>
      </c>
      <c r="BR1320" t="s">
        <v>84</v>
      </c>
      <c r="BS1320" s="3">
        <v>43782</v>
      </c>
      <c r="BT1320" s="5">
        <v>0.35694444444444445</v>
      </c>
      <c r="BU1320" t="s">
        <v>955</v>
      </c>
      <c r="BV1320" t="s">
        <v>86</v>
      </c>
      <c r="BY1320">
        <v>5059.91</v>
      </c>
      <c r="CA1320" t="s">
        <v>323</v>
      </c>
      <c r="CC1320" t="s">
        <v>91</v>
      </c>
      <c r="CD1320">
        <v>7441</v>
      </c>
      <c r="CE1320" t="s">
        <v>88</v>
      </c>
      <c r="CF1320" s="3">
        <v>43783</v>
      </c>
      <c r="CI1320">
        <v>1</v>
      </c>
      <c r="CJ1320">
        <v>1</v>
      </c>
      <c r="CK1320">
        <v>21</v>
      </c>
      <c r="CL1320" t="s">
        <v>89</v>
      </c>
    </row>
    <row r="1321" spans="1:90">
      <c r="A1321" t="s">
        <v>72</v>
      </c>
      <c r="B1321" t="s">
        <v>73</v>
      </c>
      <c r="C1321" t="s">
        <v>74</v>
      </c>
      <c r="E1321" t="str">
        <f>"FES1162722446"</f>
        <v>FES1162722446</v>
      </c>
      <c r="F1321" s="3">
        <v>43781</v>
      </c>
      <c r="G1321">
        <v>202005</v>
      </c>
      <c r="H1321" t="s">
        <v>75</v>
      </c>
      <c r="I1321" t="s">
        <v>76</v>
      </c>
      <c r="J1321" t="s">
        <v>77</v>
      </c>
      <c r="K1321" t="s">
        <v>78</v>
      </c>
      <c r="L1321" t="s">
        <v>90</v>
      </c>
      <c r="M1321" t="s">
        <v>91</v>
      </c>
      <c r="N1321" t="s">
        <v>1610</v>
      </c>
      <c r="O1321" t="s">
        <v>82</v>
      </c>
      <c r="P1321" t="str">
        <f>"2170716662                    "</f>
        <v xml:space="preserve">2170716662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8.58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 s="4">
        <v>50.45</v>
      </c>
      <c r="BM1321" s="4">
        <v>7.57</v>
      </c>
      <c r="BN1321" s="4">
        <v>58.02</v>
      </c>
      <c r="BO1321" s="4">
        <v>58.02</v>
      </c>
      <c r="BQ1321" t="s">
        <v>121</v>
      </c>
      <c r="BR1321" t="s">
        <v>84</v>
      </c>
      <c r="BS1321" s="3">
        <v>43782</v>
      </c>
      <c r="BT1321" s="5">
        <v>0.48055555555555557</v>
      </c>
      <c r="BU1321" t="s">
        <v>1794</v>
      </c>
      <c r="BV1321" t="s">
        <v>86</v>
      </c>
      <c r="BY1321">
        <v>1200</v>
      </c>
      <c r="CA1321" t="s">
        <v>1795</v>
      </c>
      <c r="CC1321" t="s">
        <v>91</v>
      </c>
      <c r="CD1321">
        <v>7975</v>
      </c>
      <c r="CE1321" t="s">
        <v>147</v>
      </c>
      <c r="CF1321" s="3">
        <v>43783</v>
      </c>
      <c r="CI1321">
        <v>1</v>
      </c>
      <c r="CJ1321">
        <v>1</v>
      </c>
      <c r="CK1321">
        <v>21</v>
      </c>
      <c r="CL1321" t="s">
        <v>89</v>
      </c>
    </row>
    <row r="1322" spans="1:90">
      <c r="A1322" t="s">
        <v>72</v>
      </c>
      <c r="B1322" t="s">
        <v>73</v>
      </c>
      <c r="C1322" t="s">
        <v>74</v>
      </c>
      <c r="E1322" t="str">
        <f>"FES1162722637"</f>
        <v>FES1162722637</v>
      </c>
      <c r="F1322" s="3">
        <v>43781</v>
      </c>
      <c r="G1322">
        <v>202005</v>
      </c>
      <c r="H1322" t="s">
        <v>75</v>
      </c>
      <c r="I1322" t="s">
        <v>76</v>
      </c>
      <c r="J1322" t="s">
        <v>77</v>
      </c>
      <c r="K1322" t="s">
        <v>78</v>
      </c>
      <c r="L1322" t="s">
        <v>95</v>
      </c>
      <c r="M1322" t="s">
        <v>96</v>
      </c>
      <c r="N1322" t="s">
        <v>1836</v>
      </c>
      <c r="O1322" t="s">
        <v>82</v>
      </c>
      <c r="P1322" t="str">
        <f>"2170716893                    "</f>
        <v xml:space="preserve">2170716893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6.71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 s="4">
        <v>39.42</v>
      </c>
      <c r="BM1322" s="4">
        <v>5.91</v>
      </c>
      <c r="BN1322" s="4">
        <v>45.33</v>
      </c>
      <c r="BO1322" s="4">
        <v>45.33</v>
      </c>
      <c r="BQ1322" t="s">
        <v>1837</v>
      </c>
      <c r="BR1322" t="s">
        <v>84</v>
      </c>
      <c r="BS1322" s="3">
        <v>43782</v>
      </c>
      <c r="BT1322" s="5">
        <v>0.32847222222222222</v>
      </c>
      <c r="BU1322" t="s">
        <v>1838</v>
      </c>
      <c r="BV1322" t="s">
        <v>86</v>
      </c>
      <c r="BY1322">
        <v>1200</v>
      </c>
      <c r="CC1322" t="s">
        <v>96</v>
      </c>
      <c r="CD1322">
        <v>1451</v>
      </c>
      <c r="CE1322" t="s">
        <v>147</v>
      </c>
      <c r="CF1322" s="3">
        <v>43783</v>
      </c>
      <c r="CI1322">
        <v>1</v>
      </c>
      <c r="CJ1322">
        <v>1</v>
      </c>
      <c r="CK1322">
        <v>22</v>
      </c>
      <c r="CL1322" t="s">
        <v>89</v>
      </c>
    </row>
    <row r="1323" spans="1:90">
      <c r="A1323" t="s">
        <v>72</v>
      </c>
      <c r="B1323" t="s">
        <v>73</v>
      </c>
      <c r="C1323" t="s">
        <v>74</v>
      </c>
      <c r="E1323" t="str">
        <f>"FES1162722476"</f>
        <v>FES1162722476</v>
      </c>
      <c r="F1323" s="3">
        <v>43781</v>
      </c>
      <c r="G1323">
        <v>202005</v>
      </c>
      <c r="H1323" t="s">
        <v>75</v>
      </c>
      <c r="I1323" t="s">
        <v>76</v>
      </c>
      <c r="J1323" t="s">
        <v>77</v>
      </c>
      <c r="K1323" t="s">
        <v>78</v>
      </c>
      <c r="L1323" t="s">
        <v>90</v>
      </c>
      <c r="M1323" t="s">
        <v>91</v>
      </c>
      <c r="N1323" t="s">
        <v>190</v>
      </c>
      <c r="O1323" t="s">
        <v>82</v>
      </c>
      <c r="P1323" t="str">
        <f>"2170714662                    "</f>
        <v xml:space="preserve">2170714662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8.58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 s="4">
        <v>50.45</v>
      </c>
      <c r="BM1323" s="4">
        <v>7.57</v>
      </c>
      <c r="BN1323" s="4">
        <v>58.02</v>
      </c>
      <c r="BO1323" s="4">
        <v>58.02</v>
      </c>
      <c r="BQ1323" t="s">
        <v>109</v>
      </c>
      <c r="BR1323" t="s">
        <v>84</v>
      </c>
      <c r="BS1323" s="3">
        <v>43782</v>
      </c>
      <c r="BT1323" s="5">
        <v>0.4375</v>
      </c>
      <c r="BU1323" t="s">
        <v>1839</v>
      </c>
      <c r="BV1323" t="s">
        <v>86</v>
      </c>
      <c r="BY1323">
        <v>1200</v>
      </c>
      <c r="CA1323" t="s">
        <v>213</v>
      </c>
      <c r="CC1323" t="s">
        <v>91</v>
      </c>
      <c r="CD1323">
        <v>7441</v>
      </c>
      <c r="CE1323" t="s">
        <v>147</v>
      </c>
      <c r="CF1323" s="3">
        <v>43783</v>
      </c>
      <c r="CI1323">
        <v>1</v>
      </c>
      <c r="CJ1323">
        <v>1</v>
      </c>
      <c r="CK1323">
        <v>21</v>
      </c>
      <c r="CL1323" t="s">
        <v>89</v>
      </c>
    </row>
    <row r="1324" spans="1:90">
      <c r="A1324" t="s">
        <v>72</v>
      </c>
      <c r="B1324" t="s">
        <v>73</v>
      </c>
      <c r="C1324" t="s">
        <v>74</v>
      </c>
      <c r="E1324" t="str">
        <f>"FES1162722651"</f>
        <v>FES1162722651</v>
      </c>
      <c r="F1324" s="3">
        <v>43781</v>
      </c>
      <c r="G1324">
        <v>202005</v>
      </c>
      <c r="H1324" t="s">
        <v>75</v>
      </c>
      <c r="I1324" t="s">
        <v>76</v>
      </c>
      <c r="J1324" t="s">
        <v>77</v>
      </c>
      <c r="K1324" t="s">
        <v>78</v>
      </c>
      <c r="L1324" t="s">
        <v>75</v>
      </c>
      <c r="M1324" t="s">
        <v>76</v>
      </c>
      <c r="N1324" t="s">
        <v>360</v>
      </c>
      <c r="O1324" t="s">
        <v>82</v>
      </c>
      <c r="P1324" t="str">
        <f>"2170716814                    "</f>
        <v xml:space="preserve">2170716814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6.71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 s="4">
        <v>39.42</v>
      </c>
      <c r="BM1324" s="4">
        <v>5.91</v>
      </c>
      <c r="BN1324" s="4">
        <v>45.33</v>
      </c>
      <c r="BO1324" s="4">
        <v>45.33</v>
      </c>
      <c r="BQ1324" t="s">
        <v>109</v>
      </c>
      <c r="BR1324" t="s">
        <v>84</v>
      </c>
      <c r="BS1324" s="3">
        <v>43782</v>
      </c>
      <c r="BT1324" s="5">
        <v>0.33333333333333331</v>
      </c>
      <c r="BU1324" t="s">
        <v>1805</v>
      </c>
      <c r="BV1324" t="s">
        <v>86</v>
      </c>
      <c r="BY1324">
        <v>1200</v>
      </c>
      <c r="CA1324" t="s">
        <v>797</v>
      </c>
      <c r="CC1324" t="s">
        <v>76</v>
      </c>
      <c r="CD1324">
        <v>1645</v>
      </c>
      <c r="CE1324" t="s">
        <v>147</v>
      </c>
      <c r="CF1324" s="3">
        <v>43784</v>
      </c>
      <c r="CI1324">
        <v>1</v>
      </c>
      <c r="CJ1324">
        <v>1</v>
      </c>
      <c r="CK1324">
        <v>22</v>
      </c>
      <c r="CL1324" t="s">
        <v>89</v>
      </c>
    </row>
    <row r="1325" spans="1:90">
      <c r="A1325" t="s">
        <v>72</v>
      </c>
      <c r="B1325" t="s">
        <v>73</v>
      </c>
      <c r="C1325" t="s">
        <v>74</v>
      </c>
      <c r="E1325" t="str">
        <f>"FES1162722484"</f>
        <v>FES1162722484</v>
      </c>
      <c r="F1325" s="3">
        <v>43781</v>
      </c>
      <c r="G1325">
        <v>202005</v>
      </c>
      <c r="H1325" t="s">
        <v>75</v>
      </c>
      <c r="I1325" t="s">
        <v>76</v>
      </c>
      <c r="J1325" t="s">
        <v>77</v>
      </c>
      <c r="K1325" t="s">
        <v>78</v>
      </c>
      <c r="L1325" t="s">
        <v>90</v>
      </c>
      <c r="M1325" t="s">
        <v>91</v>
      </c>
      <c r="N1325" t="s">
        <v>650</v>
      </c>
      <c r="O1325" t="s">
        <v>82</v>
      </c>
      <c r="P1325" t="str">
        <f>"2170716691                    "</f>
        <v xml:space="preserve">2170716691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8.58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 s="4">
        <v>50.45</v>
      </c>
      <c r="BM1325" s="4">
        <v>7.57</v>
      </c>
      <c r="BN1325" s="4">
        <v>58.02</v>
      </c>
      <c r="BO1325" s="4">
        <v>58.02</v>
      </c>
      <c r="BQ1325" t="s">
        <v>121</v>
      </c>
      <c r="BR1325" t="s">
        <v>84</v>
      </c>
      <c r="BS1325" s="3">
        <v>43782</v>
      </c>
      <c r="BT1325" s="5">
        <v>0.42986111111111108</v>
      </c>
      <c r="BU1325" t="s">
        <v>1840</v>
      </c>
      <c r="BV1325" t="s">
        <v>86</v>
      </c>
      <c r="BY1325">
        <v>1200</v>
      </c>
      <c r="CA1325" t="s">
        <v>213</v>
      </c>
      <c r="CC1325" t="s">
        <v>91</v>
      </c>
      <c r="CD1325">
        <v>7441</v>
      </c>
      <c r="CE1325" t="s">
        <v>147</v>
      </c>
      <c r="CF1325" s="3">
        <v>43783</v>
      </c>
      <c r="CI1325">
        <v>1</v>
      </c>
      <c r="CJ1325">
        <v>1</v>
      </c>
      <c r="CK1325">
        <v>21</v>
      </c>
      <c r="CL1325" t="s">
        <v>89</v>
      </c>
    </row>
    <row r="1326" spans="1:90">
      <c r="A1326" t="s">
        <v>72</v>
      </c>
      <c r="B1326" t="s">
        <v>73</v>
      </c>
      <c r="C1326" t="s">
        <v>74</v>
      </c>
      <c r="E1326" t="str">
        <f>"FES1162722647"</f>
        <v>FES1162722647</v>
      </c>
      <c r="F1326" s="3">
        <v>43781</v>
      </c>
      <c r="G1326">
        <v>202005</v>
      </c>
      <c r="H1326" t="s">
        <v>75</v>
      </c>
      <c r="I1326" t="s">
        <v>76</v>
      </c>
      <c r="J1326" t="s">
        <v>77</v>
      </c>
      <c r="K1326" t="s">
        <v>78</v>
      </c>
      <c r="L1326" t="s">
        <v>75</v>
      </c>
      <c r="M1326" t="s">
        <v>76</v>
      </c>
      <c r="N1326" t="s">
        <v>989</v>
      </c>
      <c r="O1326" t="s">
        <v>82</v>
      </c>
      <c r="P1326" t="str">
        <f>"2170716583                    "</f>
        <v xml:space="preserve">2170716583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14.74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6.6</v>
      </c>
      <c r="BJ1326">
        <v>3.4</v>
      </c>
      <c r="BK1326">
        <v>7</v>
      </c>
      <c r="BL1326" s="4">
        <v>86.65</v>
      </c>
      <c r="BM1326" s="4">
        <v>13</v>
      </c>
      <c r="BN1326" s="4">
        <v>99.65</v>
      </c>
      <c r="BO1326" s="4">
        <v>99.65</v>
      </c>
      <c r="BQ1326" t="s">
        <v>121</v>
      </c>
      <c r="BR1326" t="s">
        <v>84</v>
      </c>
      <c r="BS1326" s="3">
        <v>43782</v>
      </c>
      <c r="BT1326" s="5">
        <v>0.3444444444444445</v>
      </c>
      <c r="BU1326" t="s">
        <v>1841</v>
      </c>
      <c r="BV1326" t="s">
        <v>86</v>
      </c>
      <c r="BY1326">
        <v>16966.080000000002</v>
      </c>
      <c r="CA1326" t="s">
        <v>1498</v>
      </c>
      <c r="CC1326" t="s">
        <v>76</v>
      </c>
      <c r="CD1326">
        <v>1600</v>
      </c>
      <c r="CE1326" t="s">
        <v>88</v>
      </c>
      <c r="CF1326" s="3">
        <v>43783</v>
      </c>
      <c r="CI1326">
        <v>1</v>
      </c>
      <c r="CJ1326">
        <v>1</v>
      </c>
      <c r="CK1326">
        <v>22</v>
      </c>
      <c r="CL1326" t="s">
        <v>89</v>
      </c>
    </row>
    <row r="1327" spans="1:90">
      <c r="A1327" t="s">
        <v>72</v>
      </c>
      <c r="B1327" t="s">
        <v>73</v>
      </c>
      <c r="C1327" t="s">
        <v>74</v>
      </c>
      <c r="E1327" t="str">
        <f>"FES1162722518"</f>
        <v>FES1162722518</v>
      </c>
      <c r="F1327" s="3">
        <v>43781</v>
      </c>
      <c r="G1327">
        <v>202005</v>
      </c>
      <c r="H1327" t="s">
        <v>75</v>
      </c>
      <c r="I1327" t="s">
        <v>76</v>
      </c>
      <c r="J1327" t="s">
        <v>77</v>
      </c>
      <c r="K1327" t="s">
        <v>78</v>
      </c>
      <c r="L1327" t="s">
        <v>192</v>
      </c>
      <c r="M1327" t="s">
        <v>193</v>
      </c>
      <c r="N1327" t="s">
        <v>558</v>
      </c>
      <c r="O1327" t="s">
        <v>82</v>
      </c>
      <c r="P1327" t="str">
        <f>"2170716741                    "</f>
        <v xml:space="preserve">2170716741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16.63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 s="4">
        <v>97.75</v>
      </c>
      <c r="BM1327" s="4">
        <v>14.66</v>
      </c>
      <c r="BN1327" s="4">
        <v>112.41</v>
      </c>
      <c r="BO1327" s="4">
        <v>112.41</v>
      </c>
      <c r="BQ1327" t="s">
        <v>121</v>
      </c>
      <c r="BR1327" t="s">
        <v>84</v>
      </c>
      <c r="BS1327" s="3">
        <v>43782</v>
      </c>
      <c r="BT1327" s="5">
        <v>0.54027777777777775</v>
      </c>
      <c r="BU1327" t="s">
        <v>1842</v>
      </c>
      <c r="BV1327" t="s">
        <v>86</v>
      </c>
      <c r="BY1327">
        <v>1200</v>
      </c>
      <c r="CA1327" t="s">
        <v>1364</v>
      </c>
      <c r="CC1327" t="s">
        <v>193</v>
      </c>
      <c r="CD1327">
        <v>7130</v>
      </c>
      <c r="CE1327" t="s">
        <v>147</v>
      </c>
      <c r="CF1327" s="3">
        <v>43783</v>
      </c>
      <c r="CI1327">
        <v>1</v>
      </c>
      <c r="CJ1327">
        <v>1</v>
      </c>
      <c r="CK1327">
        <v>23</v>
      </c>
      <c r="CL1327" t="s">
        <v>89</v>
      </c>
    </row>
    <row r="1328" spans="1:90">
      <c r="A1328" t="s">
        <v>72</v>
      </c>
      <c r="B1328" t="s">
        <v>73</v>
      </c>
      <c r="C1328" t="s">
        <v>74</v>
      </c>
      <c r="E1328" t="str">
        <f>"FES1162722639"</f>
        <v>FES1162722639</v>
      </c>
      <c r="F1328" s="3">
        <v>43781</v>
      </c>
      <c r="G1328">
        <v>202005</v>
      </c>
      <c r="H1328" t="s">
        <v>75</v>
      </c>
      <c r="I1328" t="s">
        <v>76</v>
      </c>
      <c r="J1328" t="s">
        <v>77</v>
      </c>
      <c r="K1328" t="s">
        <v>78</v>
      </c>
      <c r="L1328" t="s">
        <v>90</v>
      </c>
      <c r="M1328" t="s">
        <v>91</v>
      </c>
      <c r="N1328" t="s">
        <v>1003</v>
      </c>
      <c r="O1328" t="s">
        <v>82</v>
      </c>
      <c r="P1328" t="str">
        <f>"2170716801                    "</f>
        <v xml:space="preserve">2170716801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8.58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0.2</v>
      </c>
      <c r="BJ1328">
        <v>1.1000000000000001</v>
      </c>
      <c r="BK1328">
        <v>1.5</v>
      </c>
      <c r="BL1328" s="4">
        <v>50.45</v>
      </c>
      <c r="BM1328" s="4">
        <v>7.57</v>
      </c>
      <c r="BN1328" s="4">
        <v>58.02</v>
      </c>
      <c r="BO1328" s="4">
        <v>58.02</v>
      </c>
      <c r="BQ1328" t="s">
        <v>121</v>
      </c>
      <c r="BR1328" t="s">
        <v>84</v>
      </c>
      <c r="BS1328" s="3">
        <v>43782</v>
      </c>
      <c r="BT1328" s="5">
        <v>0.43611111111111112</v>
      </c>
      <c r="BU1328" t="s">
        <v>1762</v>
      </c>
      <c r="BV1328" t="s">
        <v>86</v>
      </c>
      <c r="BY1328">
        <v>5578.98</v>
      </c>
      <c r="CA1328" t="s">
        <v>515</v>
      </c>
      <c r="CC1328" t="s">
        <v>91</v>
      </c>
      <c r="CD1328">
        <v>7500</v>
      </c>
      <c r="CE1328" t="s">
        <v>88</v>
      </c>
      <c r="CF1328" s="3">
        <v>43783</v>
      </c>
      <c r="CI1328">
        <v>1</v>
      </c>
      <c r="CJ1328">
        <v>1</v>
      </c>
      <c r="CK1328">
        <v>21</v>
      </c>
      <c r="CL1328" t="s">
        <v>89</v>
      </c>
    </row>
    <row r="1329" spans="1:90">
      <c r="A1329" t="s">
        <v>72</v>
      </c>
      <c r="B1329" t="s">
        <v>73</v>
      </c>
      <c r="C1329" t="s">
        <v>74</v>
      </c>
      <c r="E1329" t="str">
        <f>"FES1162722445"</f>
        <v>FES1162722445</v>
      </c>
      <c r="F1329" s="3">
        <v>43781</v>
      </c>
      <c r="G1329">
        <v>202005</v>
      </c>
      <c r="H1329" t="s">
        <v>75</v>
      </c>
      <c r="I1329" t="s">
        <v>76</v>
      </c>
      <c r="J1329" t="s">
        <v>77</v>
      </c>
      <c r="K1329" t="s">
        <v>78</v>
      </c>
      <c r="L1329" t="s">
        <v>90</v>
      </c>
      <c r="M1329" t="s">
        <v>91</v>
      </c>
      <c r="N1329" t="s">
        <v>1610</v>
      </c>
      <c r="O1329" t="s">
        <v>82</v>
      </c>
      <c r="P1329" t="str">
        <f>"21707166661                   "</f>
        <v xml:space="preserve">21707166661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8.58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 s="4">
        <v>50.45</v>
      </c>
      <c r="BM1329" s="4">
        <v>7.57</v>
      </c>
      <c r="BN1329" s="4">
        <v>58.02</v>
      </c>
      <c r="BO1329" s="4">
        <v>58.02</v>
      </c>
      <c r="BQ1329" t="s">
        <v>121</v>
      </c>
      <c r="BR1329" t="s">
        <v>84</v>
      </c>
      <c r="BS1329" s="3">
        <v>43783</v>
      </c>
      <c r="BT1329" s="5">
        <v>0.4916666666666667</v>
      </c>
      <c r="BU1329" t="s">
        <v>1794</v>
      </c>
      <c r="BV1329" t="s">
        <v>89</v>
      </c>
      <c r="BW1329" t="s">
        <v>1691</v>
      </c>
      <c r="BX1329" t="s">
        <v>365</v>
      </c>
      <c r="BY1329">
        <v>1200</v>
      </c>
      <c r="CA1329" t="s">
        <v>1795</v>
      </c>
      <c r="CC1329" t="s">
        <v>91</v>
      </c>
      <c r="CD1329">
        <v>7975</v>
      </c>
      <c r="CE1329" t="s">
        <v>147</v>
      </c>
      <c r="CF1329" s="3">
        <v>43784</v>
      </c>
      <c r="CI1329">
        <v>1</v>
      </c>
      <c r="CJ1329">
        <v>2</v>
      </c>
      <c r="CK1329">
        <v>21</v>
      </c>
      <c r="CL1329" t="s">
        <v>89</v>
      </c>
    </row>
    <row r="1330" spans="1:90">
      <c r="A1330" t="s">
        <v>72</v>
      </c>
      <c r="B1330" t="s">
        <v>73</v>
      </c>
      <c r="C1330" t="s">
        <v>74</v>
      </c>
      <c r="E1330" t="str">
        <f>"FES1162722648"</f>
        <v>FES1162722648</v>
      </c>
      <c r="F1330" s="3">
        <v>43781</v>
      </c>
      <c r="G1330">
        <v>202005</v>
      </c>
      <c r="H1330" t="s">
        <v>75</v>
      </c>
      <c r="I1330" t="s">
        <v>76</v>
      </c>
      <c r="J1330" t="s">
        <v>77</v>
      </c>
      <c r="K1330" t="s">
        <v>78</v>
      </c>
      <c r="L1330" t="s">
        <v>79</v>
      </c>
      <c r="M1330" t="s">
        <v>80</v>
      </c>
      <c r="N1330" t="s">
        <v>1843</v>
      </c>
      <c r="O1330" t="s">
        <v>82</v>
      </c>
      <c r="P1330" t="str">
        <f>"2170716588                    "</f>
        <v xml:space="preserve">2170716588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23.59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5.4</v>
      </c>
      <c r="BJ1330">
        <v>2.7</v>
      </c>
      <c r="BK1330">
        <v>5.5</v>
      </c>
      <c r="BL1330" s="4">
        <v>138.68</v>
      </c>
      <c r="BM1330" s="4">
        <v>20.8</v>
      </c>
      <c r="BN1330" s="4">
        <v>159.47999999999999</v>
      </c>
      <c r="BO1330" s="4">
        <v>159.47999999999999</v>
      </c>
      <c r="BQ1330" t="s">
        <v>109</v>
      </c>
      <c r="BR1330" t="s">
        <v>84</v>
      </c>
      <c r="BS1330" s="3">
        <v>43782</v>
      </c>
      <c r="BT1330" s="5">
        <v>0.3611111111111111</v>
      </c>
      <c r="BU1330" t="s">
        <v>1844</v>
      </c>
      <c r="BV1330" t="s">
        <v>86</v>
      </c>
      <c r="BY1330">
        <v>13575.74</v>
      </c>
      <c r="CA1330" t="s">
        <v>854</v>
      </c>
      <c r="CC1330" t="s">
        <v>80</v>
      </c>
      <c r="CD1330">
        <v>6229</v>
      </c>
      <c r="CE1330" t="s">
        <v>88</v>
      </c>
      <c r="CF1330" s="3">
        <v>43783</v>
      </c>
      <c r="CI1330">
        <v>1</v>
      </c>
      <c r="CJ1330">
        <v>1</v>
      </c>
      <c r="CK1330">
        <v>21</v>
      </c>
      <c r="CL1330" t="s">
        <v>89</v>
      </c>
    </row>
    <row r="1331" spans="1:90">
      <c r="A1331" t="s">
        <v>72</v>
      </c>
      <c r="B1331" t="s">
        <v>73</v>
      </c>
      <c r="C1331" t="s">
        <v>74</v>
      </c>
      <c r="E1331" t="str">
        <f>"FES1162721497"</f>
        <v>FES1162721497</v>
      </c>
      <c r="F1331" s="3">
        <v>43781</v>
      </c>
      <c r="G1331">
        <v>202005</v>
      </c>
      <c r="H1331" t="s">
        <v>75</v>
      </c>
      <c r="I1331" t="s">
        <v>76</v>
      </c>
      <c r="J1331" t="s">
        <v>77</v>
      </c>
      <c r="K1331" t="s">
        <v>78</v>
      </c>
      <c r="L1331" t="s">
        <v>1651</v>
      </c>
      <c r="M1331" t="s">
        <v>1651</v>
      </c>
      <c r="N1331" t="s">
        <v>1652</v>
      </c>
      <c r="O1331" t="s">
        <v>82</v>
      </c>
      <c r="P1331" t="str">
        <f>"2170714034                    "</f>
        <v xml:space="preserve">2170714034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12.07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 s="4">
        <v>70.95</v>
      </c>
      <c r="BM1331" s="4">
        <v>10.64</v>
      </c>
      <c r="BN1331" s="4">
        <v>81.59</v>
      </c>
      <c r="BO1331" s="4">
        <v>81.59</v>
      </c>
      <c r="BQ1331" t="s">
        <v>161</v>
      </c>
      <c r="BR1331" t="s">
        <v>84</v>
      </c>
      <c r="BS1331" s="3">
        <v>43782</v>
      </c>
      <c r="BT1331" s="5">
        <v>0.4375</v>
      </c>
      <c r="BU1331" t="s">
        <v>1828</v>
      </c>
      <c r="BV1331" t="s">
        <v>86</v>
      </c>
      <c r="BY1331">
        <v>1200</v>
      </c>
      <c r="CA1331" t="s">
        <v>362</v>
      </c>
      <c r="CC1331" t="s">
        <v>1651</v>
      </c>
      <c r="CD1331">
        <v>1490</v>
      </c>
      <c r="CE1331" t="s">
        <v>147</v>
      </c>
      <c r="CF1331" s="3">
        <v>43784</v>
      </c>
      <c r="CI1331">
        <v>1</v>
      </c>
      <c r="CJ1331">
        <v>1</v>
      </c>
      <c r="CK1331">
        <v>24</v>
      </c>
      <c r="CL1331" t="s">
        <v>89</v>
      </c>
    </row>
    <row r="1332" spans="1:90">
      <c r="A1332" t="s">
        <v>72</v>
      </c>
      <c r="B1332" t="s">
        <v>73</v>
      </c>
      <c r="C1332" t="s">
        <v>74</v>
      </c>
      <c r="E1332" t="str">
        <f>"FES1162722634"</f>
        <v>FES1162722634</v>
      </c>
      <c r="F1332" s="3">
        <v>43781</v>
      </c>
      <c r="G1332">
        <v>202005</v>
      </c>
      <c r="H1332" t="s">
        <v>75</v>
      </c>
      <c r="I1332" t="s">
        <v>76</v>
      </c>
      <c r="J1332" t="s">
        <v>77</v>
      </c>
      <c r="K1332" t="s">
        <v>78</v>
      </c>
      <c r="L1332" t="s">
        <v>124</v>
      </c>
      <c r="M1332" t="s">
        <v>125</v>
      </c>
      <c r="N1332" t="s">
        <v>218</v>
      </c>
      <c r="O1332" t="s">
        <v>82</v>
      </c>
      <c r="P1332" t="str">
        <f>"2170716888                    "</f>
        <v xml:space="preserve">2170716888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8.31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2.9</v>
      </c>
      <c r="BJ1332">
        <v>1.1000000000000001</v>
      </c>
      <c r="BK1332">
        <v>3</v>
      </c>
      <c r="BL1332" s="4">
        <v>48.86</v>
      </c>
      <c r="BM1332" s="4">
        <v>7.33</v>
      </c>
      <c r="BN1332" s="4">
        <v>56.19</v>
      </c>
      <c r="BO1332" s="4">
        <v>56.19</v>
      </c>
      <c r="BQ1332" t="s">
        <v>121</v>
      </c>
      <c r="BR1332" t="s">
        <v>84</v>
      </c>
      <c r="BS1332" s="3">
        <v>43782</v>
      </c>
      <c r="BT1332" s="5">
        <v>0.37083333333333335</v>
      </c>
      <c r="BU1332" t="s">
        <v>1659</v>
      </c>
      <c r="BV1332" t="s">
        <v>86</v>
      </c>
      <c r="BY1332">
        <v>5734.34</v>
      </c>
      <c r="CC1332" t="s">
        <v>125</v>
      </c>
      <c r="CD1332">
        <v>2094</v>
      </c>
      <c r="CE1332" t="s">
        <v>88</v>
      </c>
      <c r="CF1332" s="3">
        <v>43784</v>
      </c>
      <c r="CI1332">
        <v>1</v>
      </c>
      <c r="CJ1332">
        <v>1</v>
      </c>
      <c r="CK1332">
        <v>22</v>
      </c>
      <c r="CL1332" t="s">
        <v>89</v>
      </c>
    </row>
    <row r="1333" spans="1:90">
      <c r="A1333" t="s">
        <v>72</v>
      </c>
      <c r="B1333" t="s">
        <v>73</v>
      </c>
      <c r="C1333" t="s">
        <v>74</v>
      </c>
      <c r="E1333" t="str">
        <f>"FES1162722434"</f>
        <v>FES1162722434</v>
      </c>
      <c r="F1333" s="3">
        <v>43781</v>
      </c>
      <c r="G1333">
        <v>202005</v>
      </c>
      <c r="H1333" t="s">
        <v>75</v>
      </c>
      <c r="I1333" t="s">
        <v>76</v>
      </c>
      <c r="J1333" t="s">
        <v>77</v>
      </c>
      <c r="K1333" t="s">
        <v>78</v>
      </c>
      <c r="L1333" t="s">
        <v>106</v>
      </c>
      <c r="M1333" t="s">
        <v>107</v>
      </c>
      <c r="N1333" t="s">
        <v>108</v>
      </c>
      <c r="O1333" t="s">
        <v>82</v>
      </c>
      <c r="P1333" t="str">
        <f>"2170716355                    "</f>
        <v xml:space="preserve">2170716355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34.31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7.9</v>
      </c>
      <c r="BJ1333">
        <v>3.1</v>
      </c>
      <c r="BK1333">
        <v>8</v>
      </c>
      <c r="BL1333" s="4">
        <v>201.7</v>
      </c>
      <c r="BM1333" s="4">
        <v>30.26</v>
      </c>
      <c r="BN1333" s="4">
        <v>231.96</v>
      </c>
      <c r="BO1333" s="4">
        <v>231.96</v>
      </c>
      <c r="BQ1333" t="s">
        <v>109</v>
      </c>
      <c r="BR1333" t="s">
        <v>84</v>
      </c>
      <c r="BS1333" s="3">
        <v>43782</v>
      </c>
      <c r="BT1333" s="5">
        <v>0.39166666666666666</v>
      </c>
      <c r="BU1333" t="s">
        <v>110</v>
      </c>
      <c r="BV1333" t="s">
        <v>86</v>
      </c>
      <c r="BY1333">
        <v>15303.34</v>
      </c>
      <c r="CA1333" t="s">
        <v>111</v>
      </c>
      <c r="CC1333" t="s">
        <v>107</v>
      </c>
      <c r="CD1333">
        <v>6001</v>
      </c>
      <c r="CE1333" t="s">
        <v>88</v>
      </c>
      <c r="CF1333" s="3">
        <v>43783</v>
      </c>
      <c r="CI1333">
        <v>1</v>
      </c>
      <c r="CJ1333">
        <v>1</v>
      </c>
      <c r="CK1333">
        <v>21</v>
      </c>
      <c r="CL1333" t="s">
        <v>89</v>
      </c>
    </row>
    <row r="1334" spans="1:90">
      <c r="A1334" t="s">
        <v>72</v>
      </c>
      <c r="B1334" t="s">
        <v>73</v>
      </c>
      <c r="C1334" t="s">
        <v>74</v>
      </c>
      <c r="E1334" t="str">
        <f>"FES1162722628"</f>
        <v>FES1162722628</v>
      </c>
      <c r="F1334" s="3">
        <v>43781</v>
      </c>
      <c r="G1334">
        <v>202005</v>
      </c>
      <c r="H1334" t="s">
        <v>75</v>
      </c>
      <c r="I1334" t="s">
        <v>76</v>
      </c>
      <c r="J1334" t="s">
        <v>77</v>
      </c>
      <c r="K1334" t="s">
        <v>78</v>
      </c>
      <c r="L1334" t="s">
        <v>184</v>
      </c>
      <c r="M1334" t="s">
        <v>185</v>
      </c>
      <c r="N1334" t="s">
        <v>1845</v>
      </c>
      <c r="O1334" t="s">
        <v>82</v>
      </c>
      <c r="P1334" t="str">
        <f>"2170716793                    "</f>
        <v xml:space="preserve">2170716793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7.51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2.4</v>
      </c>
      <c r="BJ1334">
        <v>1.1000000000000001</v>
      </c>
      <c r="BK1334">
        <v>2.5</v>
      </c>
      <c r="BL1334" s="4">
        <v>44.14</v>
      </c>
      <c r="BM1334" s="4">
        <v>6.62</v>
      </c>
      <c r="BN1334" s="4">
        <v>50.76</v>
      </c>
      <c r="BO1334" s="4">
        <v>50.76</v>
      </c>
      <c r="BQ1334" t="s">
        <v>142</v>
      </c>
      <c r="BR1334" t="s">
        <v>84</v>
      </c>
      <c r="BS1334" s="3">
        <v>43782</v>
      </c>
      <c r="BT1334" s="5">
        <v>0.4291666666666667</v>
      </c>
      <c r="BU1334" t="s">
        <v>1846</v>
      </c>
      <c r="BV1334" t="s">
        <v>86</v>
      </c>
      <c r="BY1334">
        <v>5277.07</v>
      </c>
      <c r="CA1334" t="s">
        <v>123</v>
      </c>
      <c r="CC1334" t="s">
        <v>185</v>
      </c>
      <c r="CD1334">
        <v>1501</v>
      </c>
      <c r="CE1334" t="s">
        <v>88</v>
      </c>
      <c r="CF1334" s="3">
        <v>43783</v>
      </c>
      <c r="CI1334">
        <v>1</v>
      </c>
      <c r="CJ1334">
        <v>1</v>
      </c>
      <c r="CK1334">
        <v>22</v>
      </c>
      <c r="CL1334" t="s">
        <v>89</v>
      </c>
    </row>
    <row r="1335" spans="1:90">
      <c r="A1335" t="s">
        <v>72</v>
      </c>
      <c r="B1335" t="s">
        <v>73</v>
      </c>
      <c r="C1335" t="s">
        <v>74</v>
      </c>
      <c r="E1335" t="str">
        <f>"FES1162722479"</f>
        <v>FES1162722479</v>
      </c>
      <c r="F1335" s="3">
        <v>43781</v>
      </c>
      <c r="G1335">
        <v>202005</v>
      </c>
      <c r="H1335" t="s">
        <v>75</v>
      </c>
      <c r="I1335" t="s">
        <v>76</v>
      </c>
      <c r="J1335" t="s">
        <v>77</v>
      </c>
      <c r="K1335" t="s">
        <v>78</v>
      </c>
      <c r="L1335" t="s">
        <v>133</v>
      </c>
      <c r="M1335" t="s">
        <v>134</v>
      </c>
      <c r="N1335" t="s">
        <v>310</v>
      </c>
      <c r="O1335" t="s">
        <v>82</v>
      </c>
      <c r="P1335" t="str">
        <f>"2170716688                    "</f>
        <v xml:space="preserve">2170716688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19.3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4.5</v>
      </c>
      <c r="BJ1335">
        <v>1.9</v>
      </c>
      <c r="BK1335">
        <v>4.5</v>
      </c>
      <c r="BL1335" s="4">
        <v>113.47</v>
      </c>
      <c r="BM1335" s="4">
        <v>17.02</v>
      </c>
      <c r="BN1335" s="4">
        <v>130.49</v>
      </c>
      <c r="BO1335" s="4">
        <v>130.49</v>
      </c>
      <c r="BQ1335" t="s">
        <v>121</v>
      </c>
      <c r="BR1335" t="s">
        <v>84</v>
      </c>
      <c r="BS1335" s="3">
        <v>43782</v>
      </c>
      <c r="BT1335" s="5">
        <v>0.43402777777777773</v>
      </c>
      <c r="BU1335" t="s">
        <v>1798</v>
      </c>
      <c r="BV1335" t="s">
        <v>86</v>
      </c>
      <c r="BY1335">
        <v>9262.75</v>
      </c>
      <c r="CA1335" t="s">
        <v>1799</v>
      </c>
      <c r="CC1335" t="s">
        <v>134</v>
      </c>
      <c r="CD1335">
        <v>5201</v>
      </c>
      <c r="CE1335" t="s">
        <v>88</v>
      </c>
      <c r="CF1335" s="3">
        <v>43784</v>
      </c>
      <c r="CI1335">
        <v>1</v>
      </c>
      <c r="CJ1335">
        <v>1</v>
      </c>
      <c r="CK1335">
        <v>21</v>
      </c>
      <c r="CL1335" t="s">
        <v>89</v>
      </c>
    </row>
    <row r="1336" spans="1:90">
      <c r="A1336" t="s">
        <v>72</v>
      </c>
      <c r="B1336" t="s">
        <v>73</v>
      </c>
      <c r="C1336" t="s">
        <v>74</v>
      </c>
      <c r="E1336" t="str">
        <f>"FES1162722458"</f>
        <v>FES1162722458</v>
      </c>
      <c r="F1336" s="3">
        <v>43781</v>
      </c>
      <c r="G1336">
        <v>202005</v>
      </c>
      <c r="H1336" t="s">
        <v>75</v>
      </c>
      <c r="I1336" t="s">
        <v>76</v>
      </c>
      <c r="J1336" t="s">
        <v>77</v>
      </c>
      <c r="K1336" t="s">
        <v>78</v>
      </c>
      <c r="L1336" t="s">
        <v>339</v>
      </c>
      <c r="M1336" t="s">
        <v>340</v>
      </c>
      <c r="N1336" t="s">
        <v>1787</v>
      </c>
      <c r="O1336" t="s">
        <v>82</v>
      </c>
      <c r="P1336" t="str">
        <f>"2170715478                    "</f>
        <v xml:space="preserve">2170715478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12.87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3</v>
      </c>
      <c r="BJ1336">
        <v>1.5</v>
      </c>
      <c r="BK1336">
        <v>3</v>
      </c>
      <c r="BL1336" s="4">
        <v>75.66</v>
      </c>
      <c r="BM1336" s="4">
        <v>11.35</v>
      </c>
      <c r="BN1336" s="4">
        <v>87.01</v>
      </c>
      <c r="BO1336" s="4">
        <v>87.01</v>
      </c>
      <c r="BQ1336" t="s">
        <v>109</v>
      </c>
      <c r="BR1336" t="s">
        <v>84</v>
      </c>
      <c r="BS1336" s="3">
        <v>43784</v>
      </c>
      <c r="BT1336" s="5">
        <v>0.60625000000000007</v>
      </c>
      <c r="BU1336" t="s">
        <v>517</v>
      </c>
      <c r="BV1336" t="s">
        <v>89</v>
      </c>
      <c r="BY1336">
        <v>7477.7</v>
      </c>
      <c r="CA1336" t="s">
        <v>1788</v>
      </c>
      <c r="CC1336" t="s">
        <v>340</v>
      </c>
      <c r="CD1336">
        <v>157</v>
      </c>
      <c r="CE1336" t="s">
        <v>88</v>
      </c>
      <c r="CF1336" s="3">
        <v>43787</v>
      </c>
      <c r="CI1336">
        <v>1</v>
      </c>
      <c r="CJ1336">
        <v>3</v>
      </c>
      <c r="CK1336">
        <v>21</v>
      </c>
      <c r="CL1336" t="s">
        <v>89</v>
      </c>
    </row>
    <row r="1337" spans="1:90">
      <c r="A1337" t="s">
        <v>72</v>
      </c>
      <c r="B1337" t="s">
        <v>73</v>
      </c>
      <c r="C1337" t="s">
        <v>74</v>
      </c>
      <c r="E1337" t="str">
        <f>"FES1162722447"</f>
        <v>FES1162722447</v>
      </c>
      <c r="F1337" s="3">
        <v>43781</v>
      </c>
      <c r="G1337">
        <v>202005</v>
      </c>
      <c r="H1337" t="s">
        <v>75</v>
      </c>
      <c r="I1337" t="s">
        <v>76</v>
      </c>
      <c r="J1337" t="s">
        <v>77</v>
      </c>
      <c r="K1337" t="s">
        <v>78</v>
      </c>
      <c r="L1337" t="s">
        <v>133</v>
      </c>
      <c r="M1337" t="s">
        <v>134</v>
      </c>
      <c r="N1337" t="s">
        <v>1847</v>
      </c>
      <c r="O1337" t="s">
        <v>82</v>
      </c>
      <c r="P1337" t="str">
        <f>"2170716663                    "</f>
        <v xml:space="preserve">2170716663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64.34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8.3000000000000007</v>
      </c>
      <c r="BJ1337">
        <v>14.9</v>
      </c>
      <c r="BK1337">
        <v>15</v>
      </c>
      <c r="BL1337" s="4">
        <v>378.17</v>
      </c>
      <c r="BM1337" s="4">
        <v>56.73</v>
      </c>
      <c r="BN1337" s="4">
        <v>434.9</v>
      </c>
      <c r="BO1337" s="4">
        <v>434.9</v>
      </c>
      <c r="BQ1337" t="s">
        <v>121</v>
      </c>
      <c r="BR1337" t="s">
        <v>84</v>
      </c>
      <c r="BS1337" s="3">
        <v>43782</v>
      </c>
      <c r="BT1337" s="5">
        <v>0.42708333333333331</v>
      </c>
      <c r="BU1337" t="s">
        <v>1848</v>
      </c>
      <c r="BV1337" t="s">
        <v>86</v>
      </c>
      <c r="BY1337">
        <v>74409.600000000006</v>
      </c>
      <c r="CA1337" t="s">
        <v>1799</v>
      </c>
      <c r="CC1337" t="s">
        <v>134</v>
      </c>
      <c r="CD1337">
        <v>5201</v>
      </c>
      <c r="CE1337" t="s">
        <v>88</v>
      </c>
      <c r="CF1337" s="3">
        <v>43784</v>
      </c>
      <c r="CI1337">
        <v>1</v>
      </c>
      <c r="CJ1337">
        <v>1</v>
      </c>
      <c r="CK1337">
        <v>21</v>
      </c>
      <c r="CL1337" t="s">
        <v>89</v>
      </c>
    </row>
    <row r="1338" spans="1:90">
      <c r="A1338" t="s">
        <v>72</v>
      </c>
      <c r="B1338" t="s">
        <v>73</v>
      </c>
      <c r="C1338" t="s">
        <v>74</v>
      </c>
      <c r="E1338" t="str">
        <f>"FES1162722627"</f>
        <v>FES1162722627</v>
      </c>
      <c r="F1338" s="3">
        <v>43781</v>
      </c>
      <c r="G1338">
        <v>202005</v>
      </c>
      <c r="H1338" t="s">
        <v>75</v>
      </c>
      <c r="I1338" t="s">
        <v>76</v>
      </c>
      <c r="J1338" t="s">
        <v>77</v>
      </c>
      <c r="K1338" t="s">
        <v>78</v>
      </c>
      <c r="L1338" t="s">
        <v>202</v>
      </c>
      <c r="M1338" t="s">
        <v>203</v>
      </c>
      <c r="N1338" t="s">
        <v>1849</v>
      </c>
      <c r="O1338" t="s">
        <v>82</v>
      </c>
      <c r="P1338" t="str">
        <f>"2170715816                    "</f>
        <v xml:space="preserve">2170715816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6.71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 s="4">
        <v>39.42</v>
      </c>
      <c r="BM1338" s="4">
        <v>5.91</v>
      </c>
      <c r="BN1338" s="4">
        <v>45.33</v>
      </c>
      <c r="BO1338" s="4">
        <v>45.33</v>
      </c>
      <c r="BR1338" t="s">
        <v>84</v>
      </c>
      <c r="BS1338" s="3">
        <v>43782</v>
      </c>
      <c r="BT1338" s="5">
        <v>0.38680555555555557</v>
      </c>
      <c r="BU1338" t="s">
        <v>1850</v>
      </c>
      <c r="BV1338" t="s">
        <v>86</v>
      </c>
      <c r="BY1338">
        <v>1200</v>
      </c>
      <c r="CA1338" t="s">
        <v>1793</v>
      </c>
      <c r="CC1338" t="s">
        <v>203</v>
      </c>
      <c r="CD1338">
        <v>1400</v>
      </c>
      <c r="CE1338" t="s">
        <v>147</v>
      </c>
      <c r="CF1338" s="3">
        <v>43783</v>
      </c>
      <c r="CI1338">
        <v>1</v>
      </c>
      <c r="CJ1338">
        <v>1</v>
      </c>
      <c r="CK1338">
        <v>22</v>
      </c>
      <c r="CL1338" t="s">
        <v>89</v>
      </c>
    </row>
    <row r="1339" spans="1:90">
      <c r="A1339" t="s">
        <v>72</v>
      </c>
      <c r="B1339" t="s">
        <v>73</v>
      </c>
      <c r="C1339" t="s">
        <v>74</v>
      </c>
      <c r="E1339" t="str">
        <f>"FES1162722538"</f>
        <v>FES1162722538</v>
      </c>
      <c r="F1339" s="3">
        <v>43781</v>
      </c>
      <c r="G1339">
        <v>202005</v>
      </c>
      <c r="H1339" t="s">
        <v>75</v>
      </c>
      <c r="I1339" t="s">
        <v>76</v>
      </c>
      <c r="J1339" t="s">
        <v>77</v>
      </c>
      <c r="K1339" t="s">
        <v>78</v>
      </c>
      <c r="L1339" t="s">
        <v>90</v>
      </c>
      <c r="M1339" t="s">
        <v>91</v>
      </c>
      <c r="N1339" t="s">
        <v>1851</v>
      </c>
      <c r="O1339" t="s">
        <v>82</v>
      </c>
      <c r="P1339" t="str">
        <f>"2170716770                    "</f>
        <v xml:space="preserve">2170716770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10.73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2.2000000000000002</v>
      </c>
      <c r="BJ1339">
        <v>1.3</v>
      </c>
      <c r="BK1339">
        <v>2.5</v>
      </c>
      <c r="BL1339" s="4">
        <v>63.06</v>
      </c>
      <c r="BM1339" s="4">
        <v>9.4600000000000009</v>
      </c>
      <c r="BN1339" s="4">
        <v>72.52</v>
      </c>
      <c r="BO1339" s="4">
        <v>72.52</v>
      </c>
      <c r="BQ1339" t="s">
        <v>121</v>
      </c>
      <c r="BR1339" t="s">
        <v>84</v>
      </c>
      <c r="BS1339" s="3">
        <v>43782</v>
      </c>
      <c r="BT1339" s="5">
        <v>0.43402777777777773</v>
      </c>
      <c r="BU1339" t="s">
        <v>1852</v>
      </c>
      <c r="BV1339" t="s">
        <v>86</v>
      </c>
      <c r="BY1339">
        <v>6660.34</v>
      </c>
      <c r="CA1339" t="s">
        <v>1853</v>
      </c>
      <c r="CC1339" t="s">
        <v>91</v>
      </c>
      <c r="CD1339">
        <v>7480</v>
      </c>
      <c r="CE1339" t="s">
        <v>88</v>
      </c>
      <c r="CF1339" s="3">
        <v>43783</v>
      </c>
      <c r="CI1339">
        <v>1</v>
      </c>
      <c r="CJ1339">
        <v>1</v>
      </c>
      <c r="CK1339">
        <v>21</v>
      </c>
      <c r="CL1339" t="s">
        <v>89</v>
      </c>
    </row>
    <row r="1340" spans="1:90">
      <c r="A1340" t="s">
        <v>72</v>
      </c>
      <c r="B1340" t="s">
        <v>73</v>
      </c>
      <c r="C1340" t="s">
        <v>74</v>
      </c>
      <c r="E1340" t="str">
        <f>"FES1162722619"</f>
        <v>FES1162722619</v>
      </c>
      <c r="F1340" s="3">
        <v>43781</v>
      </c>
      <c r="G1340">
        <v>202005</v>
      </c>
      <c r="H1340" t="s">
        <v>75</v>
      </c>
      <c r="I1340" t="s">
        <v>76</v>
      </c>
      <c r="J1340" t="s">
        <v>77</v>
      </c>
      <c r="K1340" t="s">
        <v>78</v>
      </c>
      <c r="L1340" t="s">
        <v>90</v>
      </c>
      <c r="M1340" t="s">
        <v>91</v>
      </c>
      <c r="N1340" t="s">
        <v>1854</v>
      </c>
      <c r="O1340" t="s">
        <v>82</v>
      </c>
      <c r="P1340" t="str">
        <f>"2170716870                    "</f>
        <v xml:space="preserve">2170716870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8.58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 s="4">
        <v>50.45</v>
      </c>
      <c r="BM1340" s="4">
        <v>7.57</v>
      </c>
      <c r="BN1340" s="4">
        <v>58.02</v>
      </c>
      <c r="BO1340" s="4">
        <v>58.02</v>
      </c>
      <c r="BQ1340" t="s">
        <v>109</v>
      </c>
      <c r="BR1340" t="s">
        <v>84</v>
      </c>
      <c r="BS1340" s="3">
        <v>43782</v>
      </c>
      <c r="BT1340" s="5">
        <v>0.43402777777777773</v>
      </c>
      <c r="BU1340" t="s">
        <v>1852</v>
      </c>
      <c r="BV1340" t="s">
        <v>86</v>
      </c>
      <c r="BY1340">
        <v>1200</v>
      </c>
      <c r="CA1340" t="s">
        <v>1853</v>
      </c>
      <c r="CC1340" t="s">
        <v>91</v>
      </c>
      <c r="CD1340">
        <v>7480</v>
      </c>
      <c r="CE1340" t="s">
        <v>147</v>
      </c>
      <c r="CF1340" s="3">
        <v>43783</v>
      </c>
      <c r="CI1340">
        <v>1</v>
      </c>
      <c r="CJ1340">
        <v>1</v>
      </c>
      <c r="CK1340">
        <v>21</v>
      </c>
      <c r="CL1340" t="s">
        <v>89</v>
      </c>
    </row>
    <row r="1341" spans="1:90">
      <c r="A1341" t="s">
        <v>72</v>
      </c>
      <c r="B1341" t="s">
        <v>73</v>
      </c>
      <c r="C1341" t="s">
        <v>74</v>
      </c>
      <c r="E1341" t="str">
        <f>"FES1162722460"</f>
        <v>FES1162722460</v>
      </c>
      <c r="F1341" s="3">
        <v>43781</v>
      </c>
      <c r="G1341">
        <v>202005</v>
      </c>
      <c r="H1341" t="s">
        <v>75</v>
      </c>
      <c r="I1341" t="s">
        <v>76</v>
      </c>
      <c r="J1341" t="s">
        <v>77</v>
      </c>
      <c r="K1341" t="s">
        <v>78</v>
      </c>
      <c r="L1341" t="s">
        <v>124</v>
      </c>
      <c r="M1341" t="s">
        <v>125</v>
      </c>
      <c r="N1341" t="s">
        <v>572</v>
      </c>
      <c r="O1341" t="s">
        <v>82</v>
      </c>
      <c r="P1341" t="str">
        <f>"2170715825                    "</f>
        <v xml:space="preserve">2170715825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6.71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 s="4">
        <v>39.42</v>
      </c>
      <c r="BM1341" s="4">
        <v>5.91</v>
      </c>
      <c r="BN1341" s="4">
        <v>45.33</v>
      </c>
      <c r="BO1341" s="4">
        <v>45.33</v>
      </c>
      <c r="BR1341" t="s">
        <v>84</v>
      </c>
      <c r="BS1341" s="3">
        <v>43782</v>
      </c>
      <c r="BT1341" s="5">
        <v>0.3298611111111111</v>
      </c>
      <c r="BU1341" t="s">
        <v>231</v>
      </c>
      <c r="BV1341" t="s">
        <v>86</v>
      </c>
      <c r="BY1341">
        <v>1200</v>
      </c>
      <c r="CC1341" t="s">
        <v>125</v>
      </c>
      <c r="CD1341">
        <v>2013</v>
      </c>
      <c r="CE1341" t="s">
        <v>147</v>
      </c>
      <c r="CF1341" s="3">
        <v>43784</v>
      </c>
      <c r="CI1341">
        <v>1</v>
      </c>
      <c r="CJ1341">
        <v>1</v>
      </c>
      <c r="CK1341">
        <v>22</v>
      </c>
      <c r="CL1341" t="s">
        <v>89</v>
      </c>
    </row>
    <row r="1342" spans="1:90">
      <c r="A1342" t="s">
        <v>72</v>
      </c>
      <c r="B1342" t="s">
        <v>73</v>
      </c>
      <c r="C1342" t="s">
        <v>74</v>
      </c>
      <c r="E1342" t="str">
        <f>"FES1162722597"</f>
        <v>FES1162722597</v>
      </c>
      <c r="F1342" s="3">
        <v>43781</v>
      </c>
      <c r="G1342">
        <v>202005</v>
      </c>
      <c r="H1342" t="s">
        <v>75</v>
      </c>
      <c r="I1342" t="s">
        <v>76</v>
      </c>
      <c r="J1342" t="s">
        <v>77</v>
      </c>
      <c r="K1342" t="s">
        <v>78</v>
      </c>
      <c r="L1342" t="s">
        <v>124</v>
      </c>
      <c r="M1342" t="s">
        <v>125</v>
      </c>
      <c r="N1342" t="s">
        <v>218</v>
      </c>
      <c r="O1342" t="s">
        <v>82</v>
      </c>
      <c r="P1342" t="str">
        <f>"2170716843                    "</f>
        <v xml:space="preserve">2170716843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6.71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 s="4">
        <v>39.42</v>
      </c>
      <c r="BM1342" s="4">
        <v>5.91</v>
      </c>
      <c r="BN1342" s="4">
        <v>45.33</v>
      </c>
      <c r="BO1342" s="4">
        <v>45.33</v>
      </c>
      <c r="BQ1342" t="s">
        <v>121</v>
      </c>
      <c r="BR1342" t="s">
        <v>84</v>
      </c>
      <c r="BS1342" s="3">
        <v>43782</v>
      </c>
      <c r="BT1342" s="5">
        <v>0.36874999999999997</v>
      </c>
      <c r="BU1342" t="s">
        <v>1659</v>
      </c>
      <c r="BV1342" t="s">
        <v>86</v>
      </c>
      <c r="BY1342">
        <v>1200</v>
      </c>
      <c r="CC1342" t="s">
        <v>125</v>
      </c>
      <c r="CD1342">
        <v>2094</v>
      </c>
      <c r="CE1342" t="s">
        <v>147</v>
      </c>
      <c r="CF1342" s="3">
        <v>43784</v>
      </c>
      <c r="CI1342">
        <v>1</v>
      </c>
      <c r="CJ1342">
        <v>1</v>
      </c>
      <c r="CK1342">
        <v>22</v>
      </c>
      <c r="CL1342" t="s">
        <v>89</v>
      </c>
    </row>
    <row r="1343" spans="1:90">
      <c r="A1343" t="s">
        <v>72</v>
      </c>
      <c r="B1343" t="s">
        <v>73</v>
      </c>
      <c r="C1343" t="s">
        <v>74</v>
      </c>
      <c r="E1343" t="str">
        <f>"FES1162722491"</f>
        <v>FES1162722491</v>
      </c>
      <c r="F1343" s="3">
        <v>43781</v>
      </c>
      <c r="G1343">
        <v>202005</v>
      </c>
      <c r="H1343" t="s">
        <v>75</v>
      </c>
      <c r="I1343" t="s">
        <v>76</v>
      </c>
      <c r="J1343" t="s">
        <v>77</v>
      </c>
      <c r="K1343" t="s">
        <v>78</v>
      </c>
      <c r="L1343" t="s">
        <v>106</v>
      </c>
      <c r="M1343" t="s">
        <v>107</v>
      </c>
      <c r="N1343" t="s">
        <v>301</v>
      </c>
      <c r="O1343" t="s">
        <v>82</v>
      </c>
      <c r="P1343" t="str">
        <f>"2170716699                    "</f>
        <v xml:space="preserve">2170716699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8.58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 s="4">
        <v>50.45</v>
      </c>
      <c r="BM1343" s="4">
        <v>7.57</v>
      </c>
      <c r="BN1343" s="4">
        <v>58.02</v>
      </c>
      <c r="BO1343" s="4">
        <v>58.02</v>
      </c>
      <c r="BQ1343" t="s">
        <v>302</v>
      </c>
      <c r="BR1343" t="s">
        <v>84</v>
      </c>
      <c r="BS1343" s="3">
        <v>43782</v>
      </c>
      <c r="BT1343" s="5">
        <v>0.3520833333333333</v>
      </c>
      <c r="BU1343" t="s">
        <v>534</v>
      </c>
      <c r="BV1343" t="s">
        <v>86</v>
      </c>
      <c r="BY1343">
        <v>1200</v>
      </c>
      <c r="CA1343" t="s">
        <v>244</v>
      </c>
      <c r="CC1343" t="s">
        <v>107</v>
      </c>
      <c r="CD1343">
        <v>6001</v>
      </c>
      <c r="CE1343" t="s">
        <v>147</v>
      </c>
      <c r="CF1343" s="3">
        <v>43783</v>
      </c>
      <c r="CI1343">
        <v>1</v>
      </c>
      <c r="CJ1343">
        <v>1</v>
      </c>
      <c r="CK1343">
        <v>21</v>
      </c>
      <c r="CL1343" t="s">
        <v>89</v>
      </c>
    </row>
    <row r="1344" spans="1:90">
      <c r="A1344" t="s">
        <v>72</v>
      </c>
      <c r="B1344" t="s">
        <v>73</v>
      </c>
      <c r="C1344" t="s">
        <v>74</v>
      </c>
      <c r="E1344" t="str">
        <f>"FES1162722602"</f>
        <v>FES1162722602</v>
      </c>
      <c r="F1344" s="3">
        <v>43781</v>
      </c>
      <c r="G1344">
        <v>202005</v>
      </c>
      <c r="H1344" t="s">
        <v>75</v>
      </c>
      <c r="I1344" t="s">
        <v>76</v>
      </c>
      <c r="J1344" t="s">
        <v>77</v>
      </c>
      <c r="K1344" t="s">
        <v>78</v>
      </c>
      <c r="L1344" t="s">
        <v>75</v>
      </c>
      <c r="M1344" t="s">
        <v>76</v>
      </c>
      <c r="N1344" t="s">
        <v>466</v>
      </c>
      <c r="O1344" t="s">
        <v>82</v>
      </c>
      <c r="P1344" t="str">
        <f>"2170716850                    "</f>
        <v xml:space="preserve">2170716850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15.55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7.3</v>
      </c>
      <c r="BJ1344">
        <v>3.1</v>
      </c>
      <c r="BK1344">
        <v>7.5</v>
      </c>
      <c r="BL1344" s="4">
        <v>91.38</v>
      </c>
      <c r="BM1344" s="4">
        <v>13.71</v>
      </c>
      <c r="BN1344" s="4">
        <v>105.09</v>
      </c>
      <c r="BO1344" s="4">
        <v>105.09</v>
      </c>
      <c r="BQ1344" t="s">
        <v>109</v>
      </c>
      <c r="BR1344" t="s">
        <v>84</v>
      </c>
      <c r="BS1344" s="3">
        <v>43782</v>
      </c>
      <c r="BT1344" s="5">
        <v>0.3888888888888889</v>
      </c>
      <c r="BU1344" t="s">
        <v>694</v>
      </c>
      <c r="BV1344" t="s">
        <v>86</v>
      </c>
      <c r="BY1344">
        <v>15494.02</v>
      </c>
      <c r="CC1344" t="s">
        <v>76</v>
      </c>
      <c r="CD1344">
        <v>1609</v>
      </c>
      <c r="CE1344" t="s">
        <v>88</v>
      </c>
      <c r="CF1344" s="3">
        <v>43783</v>
      </c>
      <c r="CI1344">
        <v>1</v>
      </c>
      <c r="CJ1344">
        <v>1</v>
      </c>
      <c r="CK1344">
        <v>22</v>
      </c>
      <c r="CL1344" t="s">
        <v>89</v>
      </c>
    </row>
    <row r="1345" spans="1:90">
      <c r="A1345" t="s">
        <v>72</v>
      </c>
      <c r="B1345" t="s">
        <v>73</v>
      </c>
      <c r="C1345" t="s">
        <v>74</v>
      </c>
      <c r="E1345" t="str">
        <f>"FES1162722466"</f>
        <v>FES1162722466</v>
      </c>
      <c r="F1345" s="3">
        <v>43781</v>
      </c>
      <c r="G1345">
        <v>202005</v>
      </c>
      <c r="H1345" t="s">
        <v>75</v>
      </c>
      <c r="I1345" t="s">
        <v>76</v>
      </c>
      <c r="J1345" t="s">
        <v>77</v>
      </c>
      <c r="K1345" t="s">
        <v>78</v>
      </c>
      <c r="L1345" t="s">
        <v>825</v>
      </c>
      <c r="M1345" t="s">
        <v>826</v>
      </c>
      <c r="N1345" t="s">
        <v>939</v>
      </c>
      <c r="O1345" t="s">
        <v>82</v>
      </c>
      <c r="P1345" t="str">
        <f>"2170716263                    "</f>
        <v xml:space="preserve">2170716263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12.07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 s="4">
        <v>70.95</v>
      </c>
      <c r="BM1345" s="4">
        <v>10.64</v>
      </c>
      <c r="BN1345" s="4">
        <v>81.59</v>
      </c>
      <c r="BO1345" s="4">
        <v>81.59</v>
      </c>
      <c r="BQ1345" t="s">
        <v>109</v>
      </c>
      <c r="BR1345" t="s">
        <v>84</v>
      </c>
      <c r="BS1345" s="3">
        <v>43782</v>
      </c>
      <c r="BT1345" s="5">
        <v>0.33333333333333331</v>
      </c>
      <c r="BU1345" t="s">
        <v>1855</v>
      </c>
      <c r="BV1345" t="s">
        <v>86</v>
      </c>
      <c r="BY1345">
        <v>1200</v>
      </c>
      <c r="CA1345" t="s">
        <v>123</v>
      </c>
      <c r="CC1345" t="s">
        <v>826</v>
      </c>
      <c r="CD1345">
        <v>1759</v>
      </c>
      <c r="CE1345" t="s">
        <v>147</v>
      </c>
      <c r="CF1345" s="3">
        <v>43783</v>
      </c>
      <c r="CI1345">
        <v>1</v>
      </c>
      <c r="CJ1345">
        <v>1</v>
      </c>
      <c r="CK1345">
        <v>24</v>
      </c>
      <c r="CL1345" t="s">
        <v>89</v>
      </c>
    </row>
    <row r="1346" spans="1:90">
      <c r="A1346" t="s">
        <v>72</v>
      </c>
      <c r="B1346" t="s">
        <v>73</v>
      </c>
      <c r="C1346" t="s">
        <v>74</v>
      </c>
      <c r="E1346" t="str">
        <f>"FES1162722624"</f>
        <v>FES1162722624</v>
      </c>
      <c r="F1346" s="3">
        <v>43781</v>
      </c>
      <c r="G1346">
        <v>202005</v>
      </c>
      <c r="H1346" t="s">
        <v>75</v>
      </c>
      <c r="I1346" t="s">
        <v>76</v>
      </c>
      <c r="J1346" t="s">
        <v>77</v>
      </c>
      <c r="K1346" t="s">
        <v>78</v>
      </c>
      <c r="L1346" t="s">
        <v>106</v>
      </c>
      <c r="M1346" t="s">
        <v>107</v>
      </c>
      <c r="N1346" t="s">
        <v>1249</v>
      </c>
      <c r="O1346" t="s">
        <v>82</v>
      </c>
      <c r="P1346" t="str">
        <f>"2170716880                    "</f>
        <v xml:space="preserve">2170716880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8.58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 s="4">
        <v>50.45</v>
      </c>
      <c r="BM1346" s="4">
        <v>7.57</v>
      </c>
      <c r="BN1346" s="4">
        <v>58.02</v>
      </c>
      <c r="BO1346" s="4">
        <v>58.02</v>
      </c>
      <c r="BQ1346" t="s">
        <v>1856</v>
      </c>
      <c r="BR1346" t="s">
        <v>84</v>
      </c>
      <c r="BS1346" s="3">
        <v>43782</v>
      </c>
      <c r="BT1346" s="5">
        <v>0.38680555555555557</v>
      </c>
      <c r="BU1346" t="s">
        <v>1503</v>
      </c>
      <c r="BV1346" t="s">
        <v>86</v>
      </c>
      <c r="BY1346">
        <v>1200</v>
      </c>
      <c r="CA1346" t="s">
        <v>773</v>
      </c>
      <c r="CC1346" t="s">
        <v>107</v>
      </c>
      <c r="CD1346">
        <v>6012</v>
      </c>
      <c r="CE1346" t="s">
        <v>147</v>
      </c>
      <c r="CF1346" s="3">
        <v>43783</v>
      </c>
      <c r="CI1346">
        <v>1</v>
      </c>
      <c r="CJ1346">
        <v>1</v>
      </c>
      <c r="CK1346">
        <v>21</v>
      </c>
      <c r="CL1346" t="s">
        <v>89</v>
      </c>
    </row>
    <row r="1347" spans="1:90">
      <c r="A1347" t="s">
        <v>72</v>
      </c>
      <c r="B1347" t="s">
        <v>73</v>
      </c>
      <c r="C1347" t="s">
        <v>74</v>
      </c>
      <c r="E1347" t="str">
        <f>"FES1162722496"</f>
        <v>FES1162722496</v>
      </c>
      <c r="F1347" s="3">
        <v>43781</v>
      </c>
      <c r="G1347">
        <v>202005</v>
      </c>
      <c r="H1347" t="s">
        <v>75</v>
      </c>
      <c r="I1347" t="s">
        <v>76</v>
      </c>
      <c r="J1347" t="s">
        <v>77</v>
      </c>
      <c r="K1347" t="s">
        <v>78</v>
      </c>
      <c r="L1347" t="s">
        <v>101</v>
      </c>
      <c r="M1347" t="s">
        <v>102</v>
      </c>
      <c r="N1347" t="s">
        <v>1857</v>
      </c>
      <c r="O1347" t="s">
        <v>82</v>
      </c>
      <c r="P1347" t="str">
        <f>"2170716707                    "</f>
        <v xml:space="preserve">2170716707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8.58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 s="4">
        <v>50.45</v>
      </c>
      <c r="BM1347" s="4">
        <v>7.57</v>
      </c>
      <c r="BN1347" s="4">
        <v>58.02</v>
      </c>
      <c r="BO1347" s="4">
        <v>58.02</v>
      </c>
      <c r="BQ1347" t="s">
        <v>109</v>
      </c>
      <c r="BR1347" t="s">
        <v>84</v>
      </c>
      <c r="BS1347" s="3">
        <v>43782</v>
      </c>
      <c r="BT1347" s="5">
        <v>0.40277777777777773</v>
      </c>
      <c r="BU1347" t="s">
        <v>1858</v>
      </c>
      <c r="BV1347" t="s">
        <v>86</v>
      </c>
      <c r="BY1347">
        <v>1200</v>
      </c>
      <c r="CA1347" t="s">
        <v>183</v>
      </c>
      <c r="CC1347" t="s">
        <v>102</v>
      </c>
      <c r="CD1347">
        <v>200</v>
      </c>
      <c r="CE1347" t="s">
        <v>147</v>
      </c>
      <c r="CF1347" s="3">
        <v>43783</v>
      </c>
      <c r="CI1347">
        <v>1</v>
      </c>
      <c r="CJ1347">
        <v>1</v>
      </c>
      <c r="CK1347">
        <v>21</v>
      </c>
      <c r="CL1347" t="s">
        <v>89</v>
      </c>
    </row>
    <row r="1348" spans="1:90">
      <c r="A1348" t="s">
        <v>72</v>
      </c>
      <c r="B1348" t="s">
        <v>73</v>
      </c>
      <c r="C1348" t="s">
        <v>74</v>
      </c>
      <c r="E1348" t="str">
        <f>"FES1162722614"</f>
        <v>FES1162722614</v>
      </c>
      <c r="F1348" s="3">
        <v>43781</v>
      </c>
      <c r="G1348">
        <v>202005</v>
      </c>
      <c r="H1348" t="s">
        <v>75</v>
      </c>
      <c r="I1348" t="s">
        <v>76</v>
      </c>
      <c r="J1348" t="s">
        <v>77</v>
      </c>
      <c r="K1348" t="s">
        <v>78</v>
      </c>
      <c r="L1348" t="s">
        <v>75</v>
      </c>
      <c r="M1348" t="s">
        <v>76</v>
      </c>
      <c r="N1348" t="s">
        <v>1859</v>
      </c>
      <c r="O1348" t="s">
        <v>82</v>
      </c>
      <c r="P1348" t="str">
        <f>"2170716865                    "</f>
        <v xml:space="preserve">2170716865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6.71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1.7</v>
      </c>
      <c r="BJ1348">
        <v>0.9</v>
      </c>
      <c r="BK1348">
        <v>2</v>
      </c>
      <c r="BL1348" s="4">
        <v>39.42</v>
      </c>
      <c r="BM1348" s="4">
        <v>5.91</v>
      </c>
      <c r="BN1348" s="4">
        <v>45.33</v>
      </c>
      <c r="BO1348" s="4">
        <v>45.33</v>
      </c>
      <c r="BQ1348" t="s">
        <v>109</v>
      </c>
      <c r="BR1348" t="s">
        <v>84</v>
      </c>
      <c r="BS1348" s="3">
        <v>43782</v>
      </c>
      <c r="BT1348" s="5">
        <v>0.43333333333333335</v>
      </c>
      <c r="BU1348" t="s">
        <v>1860</v>
      </c>
      <c r="BV1348" t="s">
        <v>86</v>
      </c>
      <c r="BY1348">
        <v>4316.6400000000003</v>
      </c>
      <c r="CA1348" t="s">
        <v>1832</v>
      </c>
      <c r="CC1348" t="s">
        <v>76</v>
      </c>
      <c r="CD1348">
        <v>1619</v>
      </c>
      <c r="CE1348" t="s">
        <v>88</v>
      </c>
      <c r="CF1348" s="3">
        <v>43783</v>
      </c>
      <c r="CI1348">
        <v>1</v>
      </c>
      <c r="CJ1348">
        <v>1</v>
      </c>
      <c r="CK1348">
        <v>22</v>
      </c>
      <c r="CL1348" t="s">
        <v>89</v>
      </c>
    </row>
    <row r="1349" spans="1:90">
      <c r="A1349" t="s">
        <v>72</v>
      </c>
      <c r="B1349" t="s">
        <v>73</v>
      </c>
      <c r="C1349" t="s">
        <v>74</v>
      </c>
      <c r="E1349" t="str">
        <f>"FES1162722576"</f>
        <v>FES1162722576</v>
      </c>
      <c r="F1349" s="3">
        <v>43781</v>
      </c>
      <c r="G1349">
        <v>202005</v>
      </c>
      <c r="H1349" t="s">
        <v>75</v>
      </c>
      <c r="I1349" t="s">
        <v>76</v>
      </c>
      <c r="J1349" t="s">
        <v>77</v>
      </c>
      <c r="K1349" t="s">
        <v>78</v>
      </c>
      <c r="L1349" t="s">
        <v>124</v>
      </c>
      <c r="M1349" t="s">
        <v>125</v>
      </c>
      <c r="N1349" t="s">
        <v>218</v>
      </c>
      <c r="O1349" t="s">
        <v>82</v>
      </c>
      <c r="P1349" t="str">
        <f>"2170716813                    "</f>
        <v xml:space="preserve">2170716813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17.149999999999999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5.4</v>
      </c>
      <c r="BJ1349">
        <v>8.5</v>
      </c>
      <c r="BK1349">
        <v>8.5</v>
      </c>
      <c r="BL1349" s="4">
        <v>100.82</v>
      </c>
      <c r="BM1349" s="4">
        <v>15.12</v>
      </c>
      <c r="BN1349" s="4">
        <v>115.94</v>
      </c>
      <c r="BO1349" s="4">
        <v>115.94</v>
      </c>
      <c r="BQ1349" t="s">
        <v>121</v>
      </c>
      <c r="BR1349" t="s">
        <v>84</v>
      </c>
      <c r="BS1349" s="3">
        <v>43782</v>
      </c>
      <c r="BT1349" s="5">
        <v>0.37152777777777773</v>
      </c>
      <c r="BU1349" t="s">
        <v>1800</v>
      </c>
      <c r="BV1349" t="s">
        <v>86</v>
      </c>
      <c r="BY1349">
        <v>42476.32</v>
      </c>
      <c r="CC1349" t="s">
        <v>125</v>
      </c>
      <c r="CD1349">
        <v>2094</v>
      </c>
      <c r="CE1349" t="s">
        <v>88</v>
      </c>
      <c r="CF1349" s="3">
        <v>43784</v>
      </c>
      <c r="CI1349">
        <v>1</v>
      </c>
      <c r="CJ1349">
        <v>1</v>
      </c>
      <c r="CK1349">
        <v>22</v>
      </c>
      <c r="CL1349" t="s">
        <v>89</v>
      </c>
    </row>
    <row r="1350" spans="1:90">
      <c r="A1350" t="s">
        <v>72</v>
      </c>
      <c r="B1350" t="s">
        <v>73</v>
      </c>
      <c r="C1350" t="s">
        <v>74</v>
      </c>
      <c r="E1350" t="str">
        <f>"FES1162722459"</f>
        <v>FES1162722459</v>
      </c>
      <c r="F1350" s="3">
        <v>43781</v>
      </c>
      <c r="G1350">
        <v>202005</v>
      </c>
      <c r="H1350" t="s">
        <v>75</v>
      </c>
      <c r="I1350" t="s">
        <v>76</v>
      </c>
      <c r="J1350" t="s">
        <v>77</v>
      </c>
      <c r="K1350" t="s">
        <v>78</v>
      </c>
      <c r="L1350" t="s">
        <v>176</v>
      </c>
      <c r="M1350" t="s">
        <v>177</v>
      </c>
      <c r="N1350" t="s">
        <v>419</v>
      </c>
      <c r="O1350" t="s">
        <v>82</v>
      </c>
      <c r="P1350" t="str">
        <f>"2170715712                    "</f>
        <v xml:space="preserve">2170715712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8.58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 s="4">
        <v>50.45</v>
      </c>
      <c r="BM1350" s="4">
        <v>7.57</v>
      </c>
      <c r="BN1350" s="4">
        <v>58.02</v>
      </c>
      <c r="BO1350" s="4">
        <v>58.02</v>
      </c>
      <c r="BQ1350" t="s">
        <v>109</v>
      </c>
      <c r="BR1350" t="s">
        <v>84</v>
      </c>
      <c r="BS1350" s="3">
        <v>43782</v>
      </c>
      <c r="BT1350" s="5">
        <v>0.42430555555555555</v>
      </c>
      <c r="BU1350" t="s">
        <v>1641</v>
      </c>
      <c r="BV1350" t="s">
        <v>86</v>
      </c>
      <c r="BY1350">
        <v>1200</v>
      </c>
      <c r="CA1350" t="s">
        <v>224</v>
      </c>
      <c r="CC1350" t="s">
        <v>177</v>
      </c>
      <c r="CD1350">
        <v>3620</v>
      </c>
      <c r="CE1350" t="s">
        <v>147</v>
      </c>
      <c r="CF1350" s="3">
        <v>43783</v>
      </c>
      <c r="CI1350">
        <v>1</v>
      </c>
      <c r="CJ1350">
        <v>1</v>
      </c>
      <c r="CK1350">
        <v>21</v>
      </c>
      <c r="CL1350" t="s">
        <v>89</v>
      </c>
    </row>
    <row r="1351" spans="1:90">
      <c r="A1351" t="s">
        <v>72</v>
      </c>
      <c r="B1351" t="s">
        <v>73</v>
      </c>
      <c r="C1351" t="s">
        <v>74</v>
      </c>
      <c r="E1351" t="str">
        <f>"FES1162722579"</f>
        <v>FES1162722579</v>
      </c>
      <c r="F1351" s="3">
        <v>43781</v>
      </c>
      <c r="G1351">
        <v>202005</v>
      </c>
      <c r="H1351" t="s">
        <v>75</v>
      </c>
      <c r="I1351" t="s">
        <v>76</v>
      </c>
      <c r="J1351" t="s">
        <v>77</v>
      </c>
      <c r="K1351" t="s">
        <v>78</v>
      </c>
      <c r="L1351" t="s">
        <v>106</v>
      </c>
      <c r="M1351" t="s">
        <v>107</v>
      </c>
      <c r="N1351" t="s">
        <v>242</v>
      </c>
      <c r="O1351" t="s">
        <v>82</v>
      </c>
      <c r="P1351" t="str">
        <f>"2170716818                    "</f>
        <v xml:space="preserve">2170716818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32.17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5.4</v>
      </c>
      <c r="BJ1351">
        <v>7.2</v>
      </c>
      <c r="BK1351">
        <v>7.5</v>
      </c>
      <c r="BL1351" s="4">
        <v>189.1</v>
      </c>
      <c r="BM1351" s="4">
        <v>28.37</v>
      </c>
      <c r="BN1351" s="4">
        <v>217.47</v>
      </c>
      <c r="BO1351" s="4">
        <v>217.47</v>
      </c>
      <c r="BQ1351" t="s">
        <v>109</v>
      </c>
      <c r="BR1351" t="s">
        <v>84</v>
      </c>
      <c r="BS1351" s="3">
        <v>43782</v>
      </c>
      <c r="BT1351" s="5">
        <v>0.39305555555555555</v>
      </c>
      <c r="BU1351" t="s">
        <v>382</v>
      </c>
      <c r="BV1351" t="s">
        <v>86</v>
      </c>
      <c r="BY1351">
        <v>36133.5</v>
      </c>
      <c r="CA1351" t="s">
        <v>244</v>
      </c>
      <c r="CC1351" t="s">
        <v>107</v>
      </c>
      <c r="CD1351">
        <v>6001</v>
      </c>
      <c r="CE1351" t="s">
        <v>88</v>
      </c>
      <c r="CF1351" s="3">
        <v>43783</v>
      </c>
      <c r="CI1351">
        <v>1</v>
      </c>
      <c r="CJ1351">
        <v>1</v>
      </c>
      <c r="CK1351">
        <v>21</v>
      </c>
      <c r="CL1351" t="s">
        <v>89</v>
      </c>
    </row>
    <row r="1352" spans="1:90">
      <c r="A1352" t="s">
        <v>72</v>
      </c>
      <c r="B1352" t="s">
        <v>73</v>
      </c>
      <c r="C1352" t="s">
        <v>74</v>
      </c>
      <c r="E1352" t="str">
        <f>"FES1162722498"</f>
        <v>FES1162722498</v>
      </c>
      <c r="F1352" s="3">
        <v>43781</v>
      </c>
      <c r="G1352">
        <v>202005</v>
      </c>
      <c r="H1352" t="s">
        <v>75</v>
      </c>
      <c r="I1352" t="s">
        <v>76</v>
      </c>
      <c r="J1352" t="s">
        <v>77</v>
      </c>
      <c r="K1352" t="s">
        <v>78</v>
      </c>
      <c r="L1352" t="s">
        <v>112</v>
      </c>
      <c r="M1352" t="s">
        <v>113</v>
      </c>
      <c r="N1352" t="s">
        <v>206</v>
      </c>
      <c r="O1352" t="s">
        <v>82</v>
      </c>
      <c r="P1352" t="str">
        <f>"2170716712                    "</f>
        <v xml:space="preserve">2170716712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8.58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 s="4">
        <v>50.45</v>
      </c>
      <c r="BM1352" s="4">
        <v>7.57</v>
      </c>
      <c r="BN1352" s="4">
        <v>58.02</v>
      </c>
      <c r="BO1352" s="4">
        <v>58.02</v>
      </c>
      <c r="BQ1352" t="s">
        <v>109</v>
      </c>
      <c r="BR1352" t="s">
        <v>84</v>
      </c>
      <c r="BS1352" s="3">
        <v>43782</v>
      </c>
      <c r="BT1352" s="5">
        <v>0.36874999999999997</v>
      </c>
      <c r="BU1352" t="s">
        <v>1192</v>
      </c>
      <c r="BV1352" t="s">
        <v>86</v>
      </c>
      <c r="BY1352">
        <v>1200</v>
      </c>
      <c r="CA1352" t="s">
        <v>1755</v>
      </c>
      <c r="CC1352" t="s">
        <v>113</v>
      </c>
      <c r="CD1352">
        <v>4001</v>
      </c>
      <c r="CE1352" t="s">
        <v>147</v>
      </c>
      <c r="CF1352" s="3">
        <v>43783</v>
      </c>
      <c r="CI1352">
        <v>1</v>
      </c>
      <c r="CJ1352">
        <v>1</v>
      </c>
      <c r="CK1352">
        <v>21</v>
      </c>
      <c r="CL1352" t="s">
        <v>89</v>
      </c>
    </row>
    <row r="1353" spans="1:90">
      <c r="A1353" t="s">
        <v>72</v>
      </c>
      <c r="B1353" t="s">
        <v>73</v>
      </c>
      <c r="C1353" t="s">
        <v>74</v>
      </c>
      <c r="E1353" t="str">
        <f>"FES1162722629"</f>
        <v>FES1162722629</v>
      </c>
      <c r="F1353" s="3">
        <v>43781</v>
      </c>
      <c r="G1353">
        <v>202005</v>
      </c>
      <c r="H1353" t="s">
        <v>75</v>
      </c>
      <c r="I1353" t="s">
        <v>76</v>
      </c>
      <c r="J1353" t="s">
        <v>77</v>
      </c>
      <c r="K1353" t="s">
        <v>78</v>
      </c>
      <c r="L1353" t="s">
        <v>225</v>
      </c>
      <c r="M1353" t="s">
        <v>226</v>
      </c>
      <c r="N1353" t="s">
        <v>1722</v>
      </c>
      <c r="O1353" t="s">
        <v>82</v>
      </c>
      <c r="P1353" t="str">
        <f>"2170716826                    "</f>
        <v xml:space="preserve">2170716826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21.45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5</v>
      </c>
      <c r="BJ1353">
        <v>1.4</v>
      </c>
      <c r="BK1353">
        <v>5</v>
      </c>
      <c r="BL1353" s="4">
        <v>126.08</v>
      </c>
      <c r="BM1353" s="4">
        <v>18.91</v>
      </c>
      <c r="BN1353" s="4">
        <v>144.99</v>
      </c>
      <c r="BO1353" s="4">
        <v>144.99</v>
      </c>
      <c r="BQ1353" t="s">
        <v>121</v>
      </c>
      <c r="BR1353" t="s">
        <v>84</v>
      </c>
      <c r="BS1353" s="3">
        <v>43782</v>
      </c>
      <c r="BT1353" s="5">
        <v>0.41388888888888892</v>
      </c>
      <c r="BU1353" t="s">
        <v>1861</v>
      </c>
      <c r="BV1353" t="s">
        <v>86</v>
      </c>
      <c r="BY1353">
        <v>7075.83</v>
      </c>
      <c r="CA1353" t="s">
        <v>229</v>
      </c>
      <c r="CC1353" t="s">
        <v>226</v>
      </c>
      <c r="CD1353">
        <v>4026</v>
      </c>
      <c r="CE1353" t="s">
        <v>88</v>
      </c>
      <c r="CF1353" s="3">
        <v>43783</v>
      </c>
      <c r="CI1353">
        <v>1</v>
      </c>
      <c r="CJ1353">
        <v>1</v>
      </c>
      <c r="CK1353">
        <v>21</v>
      </c>
      <c r="CL1353" t="s">
        <v>89</v>
      </c>
    </row>
    <row r="1354" spans="1:90">
      <c r="A1354" t="s">
        <v>72</v>
      </c>
      <c r="B1354" t="s">
        <v>73</v>
      </c>
      <c r="C1354" t="s">
        <v>74</v>
      </c>
      <c r="E1354" t="str">
        <f>"FES1162722481"</f>
        <v>FES1162722481</v>
      </c>
      <c r="F1354" s="3">
        <v>43781</v>
      </c>
      <c r="G1354">
        <v>202005</v>
      </c>
      <c r="H1354" t="s">
        <v>75</v>
      </c>
      <c r="I1354" t="s">
        <v>76</v>
      </c>
      <c r="J1354" t="s">
        <v>77</v>
      </c>
      <c r="K1354" t="s">
        <v>78</v>
      </c>
      <c r="L1354" t="s">
        <v>251</v>
      </c>
      <c r="M1354" t="s">
        <v>252</v>
      </c>
      <c r="N1354" t="s">
        <v>1862</v>
      </c>
      <c r="O1354" t="s">
        <v>82</v>
      </c>
      <c r="P1354" t="str">
        <f>"2170715600                    "</f>
        <v xml:space="preserve">2170715600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27.88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6.5</v>
      </c>
      <c r="BJ1354">
        <v>2.7</v>
      </c>
      <c r="BK1354">
        <v>6.5</v>
      </c>
      <c r="BL1354" s="4">
        <v>163.89</v>
      </c>
      <c r="BM1354" s="4">
        <v>24.58</v>
      </c>
      <c r="BN1354" s="4">
        <v>188.47</v>
      </c>
      <c r="BO1354" s="4">
        <v>188.47</v>
      </c>
      <c r="BQ1354" t="s">
        <v>109</v>
      </c>
      <c r="BR1354" t="s">
        <v>84</v>
      </c>
      <c r="BS1354" s="3">
        <v>43782</v>
      </c>
      <c r="BT1354" s="5">
        <v>0.43611111111111112</v>
      </c>
      <c r="BU1354" t="s">
        <v>1863</v>
      </c>
      <c r="BV1354" t="s">
        <v>86</v>
      </c>
      <c r="BY1354">
        <v>13687.3</v>
      </c>
      <c r="CA1354" t="s">
        <v>255</v>
      </c>
      <c r="CC1354" t="s">
        <v>252</v>
      </c>
      <c r="CD1354">
        <v>4113</v>
      </c>
      <c r="CE1354" t="s">
        <v>88</v>
      </c>
      <c r="CF1354" s="3">
        <v>43783</v>
      </c>
      <c r="CI1354">
        <v>1</v>
      </c>
      <c r="CJ1354">
        <v>1</v>
      </c>
      <c r="CK1354">
        <v>21</v>
      </c>
      <c r="CL1354" t="s">
        <v>89</v>
      </c>
    </row>
    <row r="1355" spans="1:90">
      <c r="A1355" t="s">
        <v>72</v>
      </c>
      <c r="B1355" t="s">
        <v>73</v>
      </c>
      <c r="C1355" t="s">
        <v>74</v>
      </c>
      <c r="E1355" t="str">
        <f>"FES1162722632"</f>
        <v>FES1162722632</v>
      </c>
      <c r="F1355" s="3">
        <v>43781</v>
      </c>
      <c r="G1355">
        <v>202005</v>
      </c>
      <c r="H1355" t="s">
        <v>75</v>
      </c>
      <c r="I1355" t="s">
        <v>76</v>
      </c>
      <c r="J1355" t="s">
        <v>77</v>
      </c>
      <c r="K1355" t="s">
        <v>78</v>
      </c>
      <c r="L1355" t="s">
        <v>90</v>
      </c>
      <c r="M1355" t="s">
        <v>91</v>
      </c>
      <c r="N1355" t="s">
        <v>533</v>
      </c>
      <c r="O1355" t="s">
        <v>82</v>
      </c>
      <c r="P1355" t="str">
        <f>"2170716867                    "</f>
        <v xml:space="preserve">2170716867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8.58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 s="4">
        <v>50.45</v>
      </c>
      <c r="BM1355" s="4">
        <v>7.57</v>
      </c>
      <c r="BN1355" s="4">
        <v>58.02</v>
      </c>
      <c r="BO1355" s="4">
        <v>58.02</v>
      </c>
      <c r="BQ1355" t="s">
        <v>161</v>
      </c>
      <c r="BR1355" t="s">
        <v>84</v>
      </c>
      <c r="BS1355" s="3">
        <v>43782</v>
      </c>
      <c r="BT1355" s="5">
        <v>0.3888888888888889</v>
      </c>
      <c r="BU1355" t="s">
        <v>1235</v>
      </c>
      <c r="BV1355" t="s">
        <v>86</v>
      </c>
      <c r="BY1355">
        <v>1200</v>
      </c>
      <c r="CA1355" t="s">
        <v>323</v>
      </c>
      <c r="CC1355" t="s">
        <v>91</v>
      </c>
      <c r="CD1355">
        <v>7460</v>
      </c>
      <c r="CE1355" t="s">
        <v>147</v>
      </c>
      <c r="CF1355" s="3">
        <v>43783</v>
      </c>
      <c r="CI1355">
        <v>1</v>
      </c>
      <c r="CJ1355">
        <v>1</v>
      </c>
      <c r="CK1355">
        <v>21</v>
      </c>
      <c r="CL1355" t="s">
        <v>89</v>
      </c>
    </row>
    <row r="1356" spans="1:90">
      <c r="A1356" t="s">
        <v>72</v>
      </c>
      <c r="B1356" t="s">
        <v>73</v>
      </c>
      <c r="C1356" t="s">
        <v>74</v>
      </c>
      <c r="E1356" t="str">
        <f>"FES1162722499"</f>
        <v>FES1162722499</v>
      </c>
      <c r="F1356" s="3">
        <v>43781</v>
      </c>
      <c r="G1356">
        <v>202005</v>
      </c>
      <c r="H1356" t="s">
        <v>75</v>
      </c>
      <c r="I1356" t="s">
        <v>76</v>
      </c>
      <c r="J1356" t="s">
        <v>77</v>
      </c>
      <c r="K1356" t="s">
        <v>78</v>
      </c>
      <c r="L1356" t="s">
        <v>112</v>
      </c>
      <c r="M1356" t="s">
        <v>113</v>
      </c>
      <c r="N1356" t="s">
        <v>1864</v>
      </c>
      <c r="O1356" t="s">
        <v>82</v>
      </c>
      <c r="P1356" t="str">
        <f>"2170716714                    "</f>
        <v xml:space="preserve">2170716714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12.87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1.9</v>
      </c>
      <c r="BJ1356">
        <v>2.8</v>
      </c>
      <c r="BK1356">
        <v>3</v>
      </c>
      <c r="BL1356" s="4">
        <v>75.66</v>
      </c>
      <c r="BM1356" s="4">
        <v>11.35</v>
      </c>
      <c r="BN1356" s="4">
        <v>87.01</v>
      </c>
      <c r="BO1356" s="4">
        <v>87.01</v>
      </c>
      <c r="BQ1356" t="s">
        <v>121</v>
      </c>
      <c r="BR1356" t="s">
        <v>84</v>
      </c>
      <c r="BS1356" s="3">
        <v>43782</v>
      </c>
      <c r="BT1356" s="5">
        <v>0.4368055555555555</v>
      </c>
      <c r="BU1356" t="s">
        <v>1865</v>
      </c>
      <c r="BV1356" t="s">
        <v>86</v>
      </c>
      <c r="BY1356">
        <v>14229.18</v>
      </c>
      <c r="CC1356" t="s">
        <v>113</v>
      </c>
      <c r="CD1356">
        <v>4052</v>
      </c>
      <c r="CE1356" t="s">
        <v>88</v>
      </c>
      <c r="CF1356" s="3">
        <v>43783</v>
      </c>
      <c r="CI1356">
        <v>1</v>
      </c>
      <c r="CJ1356">
        <v>1</v>
      </c>
      <c r="CK1356">
        <v>21</v>
      </c>
      <c r="CL1356" t="s">
        <v>89</v>
      </c>
    </row>
    <row r="1357" spans="1:90">
      <c r="A1357" t="s">
        <v>72</v>
      </c>
      <c r="B1357" t="s">
        <v>73</v>
      </c>
      <c r="C1357" t="s">
        <v>74</v>
      </c>
      <c r="E1357" t="str">
        <f>"FES1162722616"</f>
        <v>FES1162722616</v>
      </c>
      <c r="F1357" s="3">
        <v>43781</v>
      </c>
      <c r="G1357">
        <v>202005</v>
      </c>
      <c r="H1357" t="s">
        <v>75</v>
      </c>
      <c r="I1357" t="s">
        <v>76</v>
      </c>
      <c r="J1357" t="s">
        <v>77</v>
      </c>
      <c r="K1357" t="s">
        <v>78</v>
      </c>
      <c r="L1357" t="s">
        <v>75</v>
      </c>
      <c r="M1357" t="s">
        <v>76</v>
      </c>
      <c r="N1357" t="s">
        <v>232</v>
      </c>
      <c r="O1357" t="s">
        <v>82</v>
      </c>
      <c r="P1357" t="str">
        <f>"2170712907                    "</f>
        <v xml:space="preserve">2170712907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8.31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3</v>
      </c>
      <c r="BJ1357">
        <v>2.8</v>
      </c>
      <c r="BK1357">
        <v>3</v>
      </c>
      <c r="BL1357" s="4">
        <v>48.86</v>
      </c>
      <c r="BM1357" s="4">
        <v>7.33</v>
      </c>
      <c r="BN1357" s="4">
        <v>56.19</v>
      </c>
      <c r="BO1357" s="4">
        <v>56.19</v>
      </c>
      <c r="BQ1357" t="s">
        <v>121</v>
      </c>
      <c r="BR1357" t="s">
        <v>84</v>
      </c>
      <c r="BS1357" s="3">
        <v>43782</v>
      </c>
      <c r="BT1357" s="5">
        <v>0.35069444444444442</v>
      </c>
      <c r="BU1357" t="s">
        <v>1866</v>
      </c>
      <c r="BV1357" t="s">
        <v>86</v>
      </c>
      <c r="BY1357">
        <v>13998.74</v>
      </c>
      <c r="CA1357" t="s">
        <v>198</v>
      </c>
      <c r="CC1357" t="s">
        <v>76</v>
      </c>
      <c r="CD1357">
        <v>1600</v>
      </c>
      <c r="CE1357" t="s">
        <v>88</v>
      </c>
      <c r="CF1357" s="3">
        <v>43783</v>
      </c>
      <c r="CI1357">
        <v>1</v>
      </c>
      <c r="CJ1357">
        <v>1</v>
      </c>
      <c r="CK1357">
        <v>22</v>
      </c>
      <c r="CL1357" t="s">
        <v>89</v>
      </c>
    </row>
    <row r="1358" spans="1:90">
      <c r="A1358" t="s">
        <v>72</v>
      </c>
      <c r="B1358" t="s">
        <v>73</v>
      </c>
      <c r="C1358" t="s">
        <v>74</v>
      </c>
      <c r="E1358" t="str">
        <f>"FES1162722495"</f>
        <v>FES1162722495</v>
      </c>
      <c r="F1358" s="3">
        <v>43781</v>
      </c>
      <c r="G1358">
        <v>202005</v>
      </c>
      <c r="H1358" t="s">
        <v>75</v>
      </c>
      <c r="I1358" t="s">
        <v>76</v>
      </c>
      <c r="J1358" t="s">
        <v>77</v>
      </c>
      <c r="K1358" t="s">
        <v>78</v>
      </c>
      <c r="L1358" t="s">
        <v>176</v>
      </c>
      <c r="M1358" t="s">
        <v>177</v>
      </c>
      <c r="N1358" t="s">
        <v>334</v>
      </c>
      <c r="O1358" t="s">
        <v>82</v>
      </c>
      <c r="P1358" t="str">
        <f>"2170716704                    "</f>
        <v xml:space="preserve">2170716704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8.58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 s="4">
        <v>50.45</v>
      </c>
      <c r="BM1358" s="4">
        <v>7.57</v>
      </c>
      <c r="BN1358" s="4">
        <v>58.02</v>
      </c>
      <c r="BO1358" s="4">
        <v>58.02</v>
      </c>
      <c r="BQ1358" t="s">
        <v>121</v>
      </c>
      <c r="BR1358" t="s">
        <v>84</v>
      </c>
      <c r="BS1358" s="3">
        <v>43782</v>
      </c>
      <c r="BT1358" s="5">
        <v>0.41388888888888892</v>
      </c>
      <c r="BU1358" t="s">
        <v>335</v>
      </c>
      <c r="BV1358" t="s">
        <v>86</v>
      </c>
      <c r="BY1358">
        <v>1200</v>
      </c>
      <c r="CA1358" t="s">
        <v>180</v>
      </c>
      <c r="CC1358" t="s">
        <v>177</v>
      </c>
      <c r="CD1358">
        <v>3610</v>
      </c>
      <c r="CE1358" t="s">
        <v>147</v>
      </c>
      <c r="CF1358" s="3">
        <v>43783</v>
      </c>
      <c r="CI1358">
        <v>1</v>
      </c>
      <c r="CJ1358">
        <v>1</v>
      </c>
      <c r="CK1358">
        <v>21</v>
      </c>
      <c r="CL1358" t="s">
        <v>89</v>
      </c>
    </row>
    <row r="1359" spans="1:90">
      <c r="A1359" t="s">
        <v>72</v>
      </c>
      <c r="B1359" t="s">
        <v>73</v>
      </c>
      <c r="C1359" t="s">
        <v>74</v>
      </c>
      <c r="E1359" t="str">
        <f>"FES1162722604"</f>
        <v>FES1162722604</v>
      </c>
      <c r="F1359" s="3">
        <v>43781</v>
      </c>
      <c r="G1359">
        <v>202005</v>
      </c>
      <c r="H1359" t="s">
        <v>75</v>
      </c>
      <c r="I1359" t="s">
        <v>76</v>
      </c>
      <c r="J1359" t="s">
        <v>77</v>
      </c>
      <c r="K1359" t="s">
        <v>78</v>
      </c>
      <c r="L1359" t="s">
        <v>75</v>
      </c>
      <c r="M1359" t="s">
        <v>76</v>
      </c>
      <c r="N1359" t="s">
        <v>466</v>
      </c>
      <c r="O1359" t="s">
        <v>82</v>
      </c>
      <c r="P1359" t="str">
        <f>"2170716853                    "</f>
        <v xml:space="preserve">2170716853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8.31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2.8</v>
      </c>
      <c r="BJ1359">
        <v>1.5</v>
      </c>
      <c r="BK1359">
        <v>3</v>
      </c>
      <c r="BL1359" s="4">
        <v>48.86</v>
      </c>
      <c r="BM1359" s="4">
        <v>7.33</v>
      </c>
      <c r="BN1359" s="4">
        <v>56.19</v>
      </c>
      <c r="BO1359" s="4">
        <v>56.19</v>
      </c>
      <c r="BQ1359" t="s">
        <v>109</v>
      </c>
      <c r="BR1359" t="s">
        <v>84</v>
      </c>
      <c r="BS1359" s="3">
        <v>43782</v>
      </c>
      <c r="BT1359" s="5">
        <v>0.3888888888888889</v>
      </c>
      <c r="BU1359" t="s">
        <v>694</v>
      </c>
      <c r="BV1359" t="s">
        <v>86</v>
      </c>
      <c r="BY1359">
        <v>7296.58</v>
      </c>
      <c r="CC1359" t="s">
        <v>76</v>
      </c>
      <c r="CD1359">
        <v>1609</v>
      </c>
      <c r="CE1359" t="s">
        <v>88</v>
      </c>
      <c r="CF1359" s="3">
        <v>43783</v>
      </c>
      <c r="CI1359">
        <v>1</v>
      </c>
      <c r="CJ1359">
        <v>1</v>
      </c>
      <c r="CK1359">
        <v>22</v>
      </c>
      <c r="CL1359" t="s">
        <v>89</v>
      </c>
    </row>
    <row r="1360" spans="1:90">
      <c r="A1360" t="s">
        <v>72</v>
      </c>
      <c r="B1360" t="s">
        <v>73</v>
      </c>
      <c r="C1360" t="s">
        <v>74</v>
      </c>
      <c r="E1360" t="str">
        <f>"FES1162722487"</f>
        <v>FES1162722487</v>
      </c>
      <c r="F1360" s="3">
        <v>43781</v>
      </c>
      <c r="G1360">
        <v>202005</v>
      </c>
      <c r="H1360" t="s">
        <v>75</v>
      </c>
      <c r="I1360" t="s">
        <v>76</v>
      </c>
      <c r="J1360" t="s">
        <v>77</v>
      </c>
      <c r="K1360" t="s">
        <v>78</v>
      </c>
      <c r="L1360" t="s">
        <v>118</v>
      </c>
      <c r="M1360" t="s">
        <v>119</v>
      </c>
      <c r="N1360" t="s">
        <v>1578</v>
      </c>
      <c r="O1360" t="s">
        <v>82</v>
      </c>
      <c r="P1360" t="str">
        <f>"2170716696                    "</f>
        <v xml:space="preserve">2170716696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8.58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 s="4">
        <v>50.45</v>
      </c>
      <c r="BM1360" s="4">
        <v>7.57</v>
      </c>
      <c r="BN1360" s="4">
        <v>58.02</v>
      </c>
      <c r="BO1360" s="4">
        <v>58.02</v>
      </c>
      <c r="BQ1360" t="s">
        <v>109</v>
      </c>
      <c r="BR1360" t="s">
        <v>84</v>
      </c>
      <c r="BS1360" s="3">
        <v>43782</v>
      </c>
      <c r="BT1360" s="5">
        <v>0.43472222222222223</v>
      </c>
      <c r="BU1360" t="s">
        <v>1867</v>
      </c>
      <c r="BV1360" t="s">
        <v>86</v>
      </c>
      <c r="BY1360">
        <v>1200</v>
      </c>
      <c r="CA1360" t="s">
        <v>171</v>
      </c>
      <c r="CC1360" t="s">
        <v>119</v>
      </c>
      <c r="CD1360">
        <v>3201</v>
      </c>
      <c r="CE1360" t="s">
        <v>147</v>
      </c>
      <c r="CF1360" s="3">
        <v>43783</v>
      </c>
      <c r="CI1360">
        <v>1</v>
      </c>
      <c r="CJ1360">
        <v>1</v>
      </c>
      <c r="CK1360">
        <v>21</v>
      </c>
      <c r="CL1360" t="s">
        <v>89</v>
      </c>
    </row>
    <row r="1361" spans="1:90">
      <c r="A1361" t="s">
        <v>72</v>
      </c>
      <c r="B1361" t="s">
        <v>73</v>
      </c>
      <c r="C1361" t="s">
        <v>74</v>
      </c>
      <c r="E1361" t="str">
        <f>"FES1162722432"</f>
        <v>FES1162722432</v>
      </c>
      <c r="F1361" s="3">
        <v>43781</v>
      </c>
      <c r="G1361">
        <v>202005</v>
      </c>
      <c r="H1361" t="s">
        <v>75</v>
      </c>
      <c r="I1361" t="s">
        <v>76</v>
      </c>
      <c r="J1361" t="s">
        <v>77</v>
      </c>
      <c r="K1361" t="s">
        <v>78</v>
      </c>
      <c r="L1361" t="s">
        <v>202</v>
      </c>
      <c r="M1361" t="s">
        <v>203</v>
      </c>
      <c r="N1361" t="s">
        <v>1225</v>
      </c>
      <c r="O1361" t="s">
        <v>82</v>
      </c>
      <c r="P1361" t="str">
        <f>"2170716292                    "</f>
        <v xml:space="preserve">2170716292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9.1199999999999992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3.5</v>
      </c>
      <c r="BJ1361">
        <v>1.3</v>
      </c>
      <c r="BK1361">
        <v>3.5</v>
      </c>
      <c r="BL1361" s="4">
        <v>53.59</v>
      </c>
      <c r="BM1361" s="4">
        <v>8.0399999999999991</v>
      </c>
      <c r="BN1361" s="4">
        <v>61.63</v>
      </c>
      <c r="BO1361" s="4">
        <v>61.63</v>
      </c>
      <c r="BQ1361" t="s">
        <v>121</v>
      </c>
      <c r="BR1361" t="s">
        <v>84</v>
      </c>
      <c r="BS1361" s="3">
        <v>43782</v>
      </c>
      <c r="BT1361" s="5">
        <v>0.3576388888888889</v>
      </c>
      <c r="BU1361" t="s">
        <v>1868</v>
      </c>
      <c r="BV1361" t="s">
        <v>86</v>
      </c>
      <c r="BY1361">
        <v>6634.73</v>
      </c>
      <c r="CA1361" t="s">
        <v>1793</v>
      </c>
      <c r="CC1361" t="s">
        <v>203</v>
      </c>
      <c r="CD1361">
        <v>1401</v>
      </c>
      <c r="CE1361" t="s">
        <v>88</v>
      </c>
      <c r="CF1361" s="3">
        <v>43783</v>
      </c>
      <c r="CI1361">
        <v>1</v>
      </c>
      <c r="CJ1361">
        <v>1</v>
      </c>
      <c r="CK1361">
        <v>22</v>
      </c>
      <c r="CL1361" t="s">
        <v>89</v>
      </c>
    </row>
    <row r="1362" spans="1:90">
      <c r="A1362" t="s">
        <v>72</v>
      </c>
      <c r="B1362" t="s">
        <v>73</v>
      </c>
      <c r="C1362" t="s">
        <v>74</v>
      </c>
      <c r="E1362" t="str">
        <f>"FES1162722475"</f>
        <v>FES1162722475</v>
      </c>
      <c r="F1362" s="3">
        <v>43781</v>
      </c>
      <c r="G1362">
        <v>202005</v>
      </c>
      <c r="H1362" t="s">
        <v>75</v>
      </c>
      <c r="I1362" t="s">
        <v>76</v>
      </c>
      <c r="J1362" t="s">
        <v>77</v>
      </c>
      <c r="K1362" t="s">
        <v>78</v>
      </c>
      <c r="L1362" t="s">
        <v>106</v>
      </c>
      <c r="M1362" t="s">
        <v>107</v>
      </c>
      <c r="N1362" t="s">
        <v>771</v>
      </c>
      <c r="O1362" t="s">
        <v>82</v>
      </c>
      <c r="P1362" t="str">
        <f>"2170716686                    "</f>
        <v xml:space="preserve">2170716686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12.87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0.6</v>
      </c>
      <c r="BJ1362">
        <v>2.6</v>
      </c>
      <c r="BK1362">
        <v>3</v>
      </c>
      <c r="BL1362" s="4">
        <v>75.66</v>
      </c>
      <c r="BM1362" s="4">
        <v>11.35</v>
      </c>
      <c r="BN1362" s="4">
        <v>87.01</v>
      </c>
      <c r="BO1362" s="4">
        <v>87.01</v>
      </c>
      <c r="BQ1362" t="s">
        <v>109</v>
      </c>
      <c r="BR1362" t="s">
        <v>84</v>
      </c>
      <c r="BS1362" s="3">
        <v>43782</v>
      </c>
      <c r="BT1362" s="5">
        <v>0.37986111111111115</v>
      </c>
      <c r="BU1362" t="s">
        <v>1869</v>
      </c>
      <c r="BV1362" t="s">
        <v>86</v>
      </c>
      <c r="BY1362">
        <v>13092.06</v>
      </c>
      <c r="CA1362" t="s">
        <v>773</v>
      </c>
      <c r="CC1362" t="s">
        <v>107</v>
      </c>
      <c r="CD1362">
        <v>6012</v>
      </c>
      <c r="CE1362" t="s">
        <v>88</v>
      </c>
      <c r="CF1362" s="3">
        <v>43783</v>
      </c>
      <c r="CI1362">
        <v>1</v>
      </c>
      <c r="CJ1362">
        <v>1</v>
      </c>
      <c r="CK1362">
        <v>21</v>
      </c>
      <c r="CL1362" t="s">
        <v>89</v>
      </c>
    </row>
    <row r="1363" spans="1:90">
      <c r="A1363" t="s">
        <v>72</v>
      </c>
      <c r="B1363" t="s">
        <v>73</v>
      </c>
      <c r="C1363" t="s">
        <v>74</v>
      </c>
      <c r="E1363" t="str">
        <f>"FES1162722636"</f>
        <v>FES1162722636</v>
      </c>
      <c r="F1363" s="3">
        <v>43781</v>
      </c>
      <c r="G1363">
        <v>202005</v>
      </c>
      <c r="H1363" t="s">
        <v>75</v>
      </c>
      <c r="I1363" t="s">
        <v>76</v>
      </c>
      <c r="J1363" t="s">
        <v>77</v>
      </c>
      <c r="K1363" t="s">
        <v>78</v>
      </c>
      <c r="L1363" t="s">
        <v>192</v>
      </c>
      <c r="M1363" t="s">
        <v>193</v>
      </c>
      <c r="N1363" t="s">
        <v>558</v>
      </c>
      <c r="O1363" t="s">
        <v>82</v>
      </c>
      <c r="P1363" t="str">
        <f>"2170716892                    "</f>
        <v xml:space="preserve">2170716892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16.63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 s="4">
        <v>97.75</v>
      </c>
      <c r="BM1363" s="4">
        <v>14.66</v>
      </c>
      <c r="BN1363" s="4">
        <v>112.41</v>
      </c>
      <c r="BO1363" s="4">
        <v>112.41</v>
      </c>
      <c r="BQ1363" t="s">
        <v>121</v>
      </c>
      <c r="BR1363" t="s">
        <v>84</v>
      </c>
      <c r="BS1363" s="3">
        <v>43782</v>
      </c>
      <c r="BT1363" s="5">
        <v>0.5395833333333333</v>
      </c>
      <c r="BU1363" t="s">
        <v>1842</v>
      </c>
      <c r="BV1363" t="s">
        <v>86</v>
      </c>
      <c r="BY1363">
        <v>1200</v>
      </c>
      <c r="CA1363" t="s">
        <v>1364</v>
      </c>
      <c r="CC1363" t="s">
        <v>193</v>
      </c>
      <c r="CD1363">
        <v>7130</v>
      </c>
      <c r="CE1363" t="s">
        <v>147</v>
      </c>
      <c r="CF1363" s="3">
        <v>43783</v>
      </c>
      <c r="CI1363">
        <v>1</v>
      </c>
      <c r="CJ1363">
        <v>1</v>
      </c>
      <c r="CK1363">
        <v>23</v>
      </c>
      <c r="CL1363" t="s">
        <v>89</v>
      </c>
    </row>
    <row r="1364" spans="1:90">
      <c r="A1364" t="s">
        <v>72</v>
      </c>
      <c r="B1364" t="s">
        <v>73</v>
      </c>
      <c r="C1364" t="s">
        <v>74</v>
      </c>
      <c r="E1364" t="str">
        <f>"FES1162722430"</f>
        <v>FES1162722430</v>
      </c>
      <c r="F1364" s="3">
        <v>43781</v>
      </c>
      <c r="G1364">
        <v>202005</v>
      </c>
      <c r="H1364" t="s">
        <v>75</v>
      </c>
      <c r="I1364" t="s">
        <v>76</v>
      </c>
      <c r="J1364" t="s">
        <v>77</v>
      </c>
      <c r="K1364" t="s">
        <v>78</v>
      </c>
      <c r="L1364" t="s">
        <v>192</v>
      </c>
      <c r="M1364" t="s">
        <v>193</v>
      </c>
      <c r="N1364" t="s">
        <v>194</v>
      </c>
      <c r="O1364" t="s">
        <v>82</v>
      </c>
      <c r="P1364" t="str">
        <f>"2170716197                    "</f>
        <v xml:space="preserve">2170716197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39.159999999999997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5</v>
      </c>
      <c r="BJ1364">
        <v>1.9</v>
      </c>
      <c r="BK1364">
        <v>5</v>
      </c>
      <c r="BL1364" s="4">
        <v>230.2</v>
      </c>
      <c r="BM1364" s="4">
        <v>34.53</v>
      </c>
      <c r="BN1364" s="4">
        <v>264.73</v>
      </c>
      <c r="BO1364" s="4">
        <v>264.73</v>
      </c>
      <c r="BQ1364" t="s">
        <v>109</v>
      </c>
      <c r="BR1364" t="s">
        <v>84</v>
      </c>
      <c r="BS1364" s="3">
        <v>43782</v>
      </c>
      <c r="BT1364" s="5">
        <v>0.46180555555555558</v>
      </c>
      <c r="BU1364" t="s">
        <v>195</v>
      </c>
      <c r="BV1364" t="s">
        <v>86</v>
      </c>
      <c r="BY1364">
        <v>9438</v>
      </c>
      <c r="CA1364" t="s">
        <v>1364</v>
      </c>
      <c r="CC1364" t="s">
        <v>193</v>
      </c>
      <c r="CD1364">
        <v>7130</v>
      </c>
      <c r="CE1364" t="s">
        <v>88</v>
      </c>
      <c r="CF1364" s="3">
        <v>43783</v>
      </c>
      <c r="CI1364">
        <v>1</v>
      </c>
      <c r="CJ1364">
        <v>1</v>
      </c>
      <c r="CK1364">
        <v>23</v>
      </c>
      <c r="CL1364" t="s">
        <v>89</v>
      </c>
    </row>
    <row r="1365" spans="1:90">
      <c r="A1365" t="s">
        <v>72</v>
      </c>
      <c r="B1365" t="s">
        <v>73</v>
      </c>
      <c r="C1365" t="s">
        <v>74</v>
      </c>
      <c r="E1365" t="str">
        <f>"FES1162722654"</f>
        <v>FES1162722654</v>
      </c>
      <c r="F1365" s="3">
        <v>43781</v>
      </c>
      <c r="G1365">
        <v>202005</v>
      </c>
      <c r="H1365" t="s">
        <v>75</v>
      </c>
      <c r="I1365" t="s">
        <v>76</v>
      </c>
      <c r="J1365" t="s">
        <v>77</v>
      </c>
      <c r="K1365" t="s">
        <v>78</v>
      </c>
      <c r="L1365" t="s">
        <v>202</v>
      </c>
      <c r="M1365" t="s">
        <v>203</v>
      </c>
      <c r="N1365" t="s">
        <v>1870</v>
      </c>
      <c r="O1365" t="s">
        <v>82</v>
      </c>
      <c r="P1365" t="str">
        <f>"2170719062                    "</f>
        <v xml:space="preserve">2170719062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6.71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 s="4">
        <v>39.42</v>
      </c>
      <c r="BM1365" s="4">
        <v>5.91</v>
      </c>
      <c r="BN1365" s="4">
        <v>45.33</v>
      </c>
      <c r="BO1365" s="4">
        <v>45.33</v>
      </c>
      <c r="BQ1365" t="s">
        <v>1871</v>
      </c>
      <c r="BR1365" t="s">
        <v>84</v>
      </c>
      <c r="BS1365" s="3">
        <v>43782</v>
      </c>
      <c r="BT1365" s="5">
        <v>0.35833333333333334</v>
      </c>
      <c r="BU1365" t="s">
        <v>1872</v>
      </c>
      <c r="BV1365" t="s">
        <v>86</v>
      </c>
      <c r="BY1365">
        <v>1200</v>
      </c>
      <c r="CC1365" t="s">
        <v>203</v>
      </c>
      <c r="CD1365">
        <v>1406</v>
      </c>
      <c r="CE1365" t="s">
        <v>147</v>
      </c>
      <c r="CF1365" s="3">
        <v>43783</v>
      </c>
      <c r="CI1365">
        <v>1</v>
      </c>
      <c r="CJ1365">
        <v>1</v>
      </c>
      <c r="CK1365">
        <v>22</v>
      </c>
      <c r="CL1365" t="s">
        <v>89</v>
      </c>
    </row>
    <row r="1366" spans="1:90">
      <c r="A1366" t="s">
        <v>72</v>
      </c>
      <c r="B1366" t="s">
        <v>73</v>
      </c>
      <c r="C1366" t="s">
        <v>74</v>
      </c>
      <c r="E1366" t="str">
        <f>"FES1162722494"</f>
        <v>FES1162722494</v>
      </c>
      <c r="F1366" s="3">
        <v>43781</v>
      </c>
      <c r="G1366">
        <v>202005</v>
      </c>
      <c r="H1366" t="s">
        <v>75</v>
      </c>
      <c r="I1366" t="s">
        <v>76</v>
      </c>
      <c r="J1366" t="s">
        <v>77</v>
      </c>
      <c r="K1366" t="s">
        <v>78</v>
      </c>
      <c r="L1366" t="s">
        <v>106</v>
      </c>
      <c r="M1366" t="s">
        <v>107</v>
      </c>
      <c r="N1366" t="s">
        <v>1311</v>
      </c>
      <c r="O1366" t="s">
        <v>82</v>
      </c>
      <c r="P1366" t="str">
        <f>"2170716703                    "</f>
        <v xml:space="preserve">2170716703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32.17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5.9</v>
      </c>
      <c r="BJ1366">
        <v>7.4</v>
      </c>
      <c r="BK1366">
        <v>7.5</v>
      </c>
      <c r="BL1366" s="4">
        <v>189.1</v>
      </c>
      <c r="BM1366" s="4">
        <v>28.37</v>
      </c>
      <c r="BN1366" s="4">
        <v>217.47</v>
      </c>
      <c r="BO1366" s="4">
        <v>217.47</v>
      </c>
      <c r="BQ1366" t="s">
        <v>109</v>
      </c>
      <c r="BR1366" t="s">
        <v>84</v>
      </c>
      <c r="BS1366" s="3">
        <v>43782</v>
      </c>
      <c r="BT1366" s="5">
        <v>0.3576388888888889</v>
      </c>
      <c r="BU1366" t="s">
        <v>1873</v>
      </c>
      <c r="BV1366" t="s">
        <v>86</v>
      </c>
      <c r="BY1366">
        <v>36934.339999999997</v>
      </c>
      <c r="CA1366" t="s">
        <v>773</v>
      </c>
      <c r="CC1366" t="s">
        <v>107</v>
      </c>
      <c r="CD1366">
        <v>6001</v>
      </c>
      <c r="CE1366" t="s">
        <v>88</v>
      </c>
      <c r="CF1366" s="3">
        <v>43783</v>
      </c>
      <c r="CI1366">
        <v>1</v>
      </c>
      <c r="CJ1366">
        <v>1</v>
      </c>
      <c r="CK1366">
        <v>21</v>
      </c>
      <c r="CL1366" t="s">
        <v>89</v>
      </c>
    </row>
    <row r="1367" spans="1:90">
      <c r="A1367" t="s">
        <v>72</v>
      </c>
      <c r="B1367" t="s">
        <v>73</v>
      </c>
      <c r="C1367" t="s">
        <v>74</v>
      </c>
      <c r="E1367" t="str">
        <f>"FES1162722631"</f>
        <v>FES1162722631</v>
      </c>
      <c r="F1367" s="3">
        <v>43781</v>
      </c>
      <c r="G1367">
        <v>202005</v>
      </c>
      <c r="H1367" t="s">
        <v>75</v>
      </c>
      <c r="I1367" t="s">
        <v>76</v>
      </c>
      <c r="J1367" t="s">
        <v>77</v>
      </c>
      <c r="K1367" t="s">
        <v>78</v>
      </c>
      <c r="L1367" t="s">
        <v>482</v>
      </c>
      <c r="M1367" t="s">
        <v>483</v>
      </c>
      <c r="N1367" t="s">
        <v>1442</v>
      </c>
      <c r="O1367" t="s">
        <v>82</v>
      </c>
      <c r="P1367" t="str">
        <f>"2170716851                    "</f>
        <v xml:space="preserve">2170716851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11.53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4.9000000000000004</v>
      </c>
      <c r="BJ1367">
        <v>3.1</v>
      </c>
      <c r="BK1367">
        <v>5</v>
      </c>
      <c r="BL1367" s="4">
        <v>67.760000000000005</v>
      </c>
      <c r="BM1367" s="4">
        <v>10.16</v>
      </c>
      <c r="BN1367" s="4">
        <v>77.92</v>
      </c>
      <c r="BO1367" s="4">
        <v>77.92</v>
      </c>
      <c r="BQ1367" t="s">
        <v>121</v>
      </c>
      <c r="BR1367" t="s">
        <v>84</v>
      </c>
      <c r="BS1367" s="3">
        <v>43782</v>
      </c>
      <c r="BT1367" s="5">
        <v>0.36805555555555558</v>
      </c>
      <c r="BU1367" t="s">
        <v>1874</v>
      </c>
      <c r="BV1367" t="s">
        <v>86</v>
      </c>
      <c r="BY1367">
        <v>15645.47</v>
      </c>
      <c r="CA1367" t="s">
        <v>123</v>
      </c>
      <c r="CC1367" t="s">
        <v>483</v>
      </c>
      <c r="CD1367">
        <v>1460</v>
      </c>
      <c r="CE1367" t="s">
        <v>88</v>
      </c>
      <c r="CF1367" s="3">
        <v>43783</v>
      </c>
      <c r="CI1367">
        <v>1</v>
      </c>
      <c r="CJ1367">
        <v>1</v>
      </c>
      <c r="CK1367">
        <v>22</v>
      </c>
      <c r="CL1367" t="s">
        <v>89</v>
      </c>
    </row>
    <row r="1368" spans="1:90">
      <c r="A1368" t="s">
        <v>72</v>
      </c>
      <c r="B1368" t="s">
        <v>73</v>
      </c>
      <c r="C1368" t="s">
        <v>74</v>
      </c>
      <c r="E1368" t="str">
        <f>"FES1162722523"</f>
        <v>FES1162722523</v>
      </c>
      <c r="F1368" s="3">
        <v>43781</v>
      </c>
      <c r="G1368">
        <v>202005</v>
      </c>
      <c r="H1368" t="s">
        <v>75</v>
      </c>
      <c r="I1368" t="s">
        <v>76</v>
      </c>
      <c r="J1368" t="s">
        <v>77</v>
      </c>
      <c r="K1368" t="s">
        <v>78</v>
      </c>
      <c r="L1368" t="s">
        <v>405</v>
      </c>
      <c r="M1368" t="s">
        <v>406</v>
      </c>
      <c r="N1368" t="s">
        <v>407</v>
      </c>
      <c r="O1368" t="s">
        <v>82</v>
      </c>
      <c r="P1368" t="str">
        <f>"2170714273                    "</f>
        <v xml:space="preserve">2170714273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12.07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0.5</v>
      </c>
      <c r="BJ1368">
        <v>0.9</v>
      </c>
      <c r="BK1368">
        <v>1</v>
      </c>
      <c r="BL1368" s="4">
        <v>70.95</v>
      </c>
      <c r="BM1368" s="4">
        <v>10.64</v>
      </c>
      <c r="BN1368" s="4">
        <v>81.59</v>
      </c>
      <c r="BO1368" s="4">
        <v>81.59</v>
      </c>
      <c r="BQ1368" t="s">
        <v>121</v>
      </c>
      <c r="BR1368" t="s">
        <v>84</v>
      </c>
      <c r="BS1368" s="3">
        <v>43782</v>
      </c>
      <c r="BT1368" s="5">
        <v>0.43124999999999997</v>
      </c>
      <c r="BU1368" t="s">
        <v>1875</v>
      </c>
      <c r="BV1368" t="s">
        <v>86</v>
      </c>
      <c r="BY1368">
        <v>4729.6099999999997</v>
      </c>
      <c r="CA1368" t="s">
        <v>873</v>
      </c>
      <c r="CC1368" t="s">
        <v>406</v>
      </c>
      <c r="CD1368">
        <v>250</v>
      </c>
      <c r="CE1368" t="s">
        <v>88</v>
      </c>
      <c r="CF1368" s="3">
        <v>43784</v>
      </c>
      <c r="CI1368">
        <v>1</v>
      </c>
      <c r="CJ1368">
        <v>1</v>
      </c>
      <c r="CK1368">
        <v>24</v>
      </c>
      <c r="CL1368" t="s">
        <v>89</v>
      </c>
    </row>
    <row r="1369" spans="1:90">
      <c r="A1369" t="s">
        <v>72</v>
      </c>
      <c r="B1369" t="s">
        <v>73</v>
      </c>
      <c r="C1369" t="s">
        <v>74</v>
      </c>
      <c r="E1369" t="str">
        <f>"FES1162722454"</f>
        <v>FES1162722454</v>
      </c>
      <c r="F1369" s="3">
        <v>43781</v>
      </c>
      <c r="G1369">
        <v>202005</v>
      </c>
      <c r="H1369" t="s">
        <v>75</v>
      </c>
      <c r="I1369" t="s">
        <v>76</v>
      </c>
      <c r="J1369" t="s">
        <v>77</v>
      </c>
      <c r="K1369" t="s">
        <v>78</v>
      </c>
      <c r="L1369" t="s">
        <v>124</v>
      </c>
      <c r="M1369" t="s">
        <v>125</v>
      </c>
      <c r="N1369" t="s">
        <v>1876</v>
      </c>
      <c r="O1369" t="s">
        <v>82</v>
      </c>
      <c r="P1369" t="str">
        <f>"2170714554                    "</f>
        <v xml:space="preserve">2170714554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16.350000000000001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4.5</v>
      </c>
      <c r="BJ1369">
        <v>7.8</v>
      </c>
      <c r="BK1369">
        <v>8</v>
      </c>
      <c r="BL1369" s="4">
        <v>96.1</v>
      </c>
      <c r="BM1369" s="4">
        <v>14.42</v>
      </c>
      <c r="BN1369" s="4">
        <v>110.52</v>
      </c>
      <c r="BO1369" s="4">
        <v>110.52</v>
      </c>
      <c r="BQ1369" t="s">
        <v>121</v>
      </c>
      <c r="BR1369" t="s">
        <v>84</v>
      </c>
      <c r="BS1369" s="3">
        <v>43782</v>
      </c>
      <c r="BT1369" s="5">
        <v>0.40138888888888885</v>
      </c>
      <c r="BU1369" t="s">
        <v>1877</v>
      </c>
      <c r="BV1369" t="s">
        <v>86</v>
      </c>
      <c r="BY1369">
        <v>39130.46</v>
      </c>
      <c r="CC1369" t="s">
        <v>125</v>
      </c>
      <c r="CD1369">
        <v>2157</v>
      </c>
      <c r="CE1369" t="s">
        <v>88</v>
      </c>
      <c r="CF1369" s="3">
        <v>43783</v>
      </c>
      <c r="CI1369">
        <v>1</v>
      </c>
      <c r="CJ1369">
        <v>1</v>
      </c>
      <c r="CK1369">
        <v>22</v>
      </c>
      <c r="CL1369" t="s">
        <v>89</v>
      </c>
    </row>
    <row r="1370" spans="1:90">
      <c r="A1370" t="s">
        <v>72</v>
      </c>
      <c r="B1370" t="s">
        <v>73</v>
      </c>
      <c r="C1370" t="s">
        <v>74</v>
      </c>
      <c r="E1370" t="str">
        <f>"FES1162722611"</f>
        <v>FES1162722611</v>
      </c>
      <c r="F1370" s="3">
        <v>43781</v>
      </c>
      <c r="G1370">
        <v>202005</v>
      </c>
      <c r="H1370" t="s">
        <v>75</v>
      </c>
      <c r="I1370" t="s">
        <v>76</v>
      </c>
      <c r="J1370" t="s">
        <v>77</v>
      </c>
      <c r="K1370" t="s">
        <v>78</v>
      </c>
      <c r="L1370" t="s">
        <v>133</v>
      </c>
      <c r="M1370" t="s">
        <v>134</v>
      </c>
      <c r="N1370" t="s">
        <v>310</v>
      </c>
      <c r="O1370" t="s">
        <v>82</v>
      </c>
      <c r="P1370" t="str">
        <f>"2170716861                    "</f>
        <v xml:space="preserve">2170716861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64.34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9.6</v>
      </c>
      <c r="BJ1370">
        <v>14.9</v>
      </c>
      <c r="BK1370">
        <v>15</v>
      </c>
      <c r="BL1370" s="4">
        <v>378.17</v>
      </c>
      <c r="BM1370" s="4">
        <v>56.73</v>
      </c>
      <c r="BN1370" s="4">
        <v>434.9</v>
      </c>
      <c r="BO1370" s="4">
        <v>434.9</v>
      </c>
      <c r="BQ1370" t="s">
        <v>121</v>
      </c>
      <c r="BR1370" t="s">
        <v>84</v>
      </c>
      <c r="BS1370" s="3">
        <v>43782</v>
      </c>
      <c r="BT1370" s="5">
        <v>0.43402777777777773</v>
      </c>
      <c r="BU1370" t="s">
        <v>1798</v>
      </c>
      <c r="BV1370" t="s">
        <v>86</v>
      </c>
      <c r="BY1370">
        <v>74389.25</v>
      </c>
      <c r="CA1370" t="s">
        <v>1799</v>
      </c>
      <c r="CC1370" t="s">
        <v>134</v>
      </c>
      <c r="CD1370">
        <v>5201</v>
      </c>
      <c r="CE1370" t="s">
        <v>88</v>
      </c>
      <c r="CF1370" s="3">
        <v>43784</v>
      </c>
      <c r="CI1370">
        <v>1</v>
      </c>
      <c r="CJ1370">
        <v>1</v>
      </c>
      <c r="CK1370">
        <v>21</v>
      </c>
      <c r="CL1370" t="s">
        <v>89</v>
      </c>
    </row>
    <row r="1371" spans="1:90">
      <c r="A1371" t="s">
        <v>72</v>
      </c>
      <c r="B1371" t="s">
        <v>73</v>
      </c>
      <c r="C1371" t="s">
        <v>74</v>
      </c>
      <c r="E1371" t="str">
        <f>"FES1162722505"</f>
        <v>FES1162722505</v>
      </c>
      <c r="F1371" s="3">
        <v>43781</v>
      </c>
      <c r="G1371">
        <v>202005</v>
      </c>
      <c r="H1371" t="s">
        <v>75</v>
      </c>
      <c r="I1371" t="s">
        <v>76</v>
      </c>
      <c r="J1371" t="s">
        <v>77</v>
      </c>
      <c r="K1371" t="s">
        <v>78</v>
      </c>
      <c r="L1371" t="s">
        <v>106</v>
      </c>
      <c r="M1371" t="s">
        <v>107</v>
      </c>
      <c r="N1371" t="s">
        <v>1878</v>
      </c>
      <c r="O1371" t="s">
        <v>82</v>
      </c>
      <c r="P1371" t="str">
        <f>"2170716723                    "</f>
        <v xml:space="preserve">2170716723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27.88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2</v>
      </c>
      <c r="BI1371">
        <v>6.2</v>
      </c>
      <c r="BJ1371">
        <v>2.7</v>
      </c>
      <c r="BK1371">
        <v>6.5</v>
      </c>
      <c r="BL1371" s="4">
        <v>163.89</v>
      </c>
      <c r="BM1371" s="4">
        <v>24.58</v>
      </c>
      <c r="BN1371" s="4">
        <v>188.47</v>
      </c>
      <c r="BO1371" s="4">
        <v>188.47</v>
      </c>
      <c r="BQ1371" t="s">
        <v>121</v>
      </c>
      <c r="BR1371" t="s">
        <v>84</v>
      </c>
      <c r="BS1371" s="3">
        <v>43783</v>
      </c>
      <c r="BT1371" s="5">
        <v>0.61458333333333337</v>
      </c>
      <c r="BU1371" t="s">
        <v>534</v>
      </c>
      <c r="BV1371" t="s">
        <v>89</v>
      </c>
      <c r="BW1371" t="s">
        <v>371</v>
      </c>
      <c r="BX1371" t="s">
        <v>320</v>
      </c>
      <c r="BY1371">
        <v>13590.07</v>
      </c>
      <c r="CA1371" t="s">
        <v>111</v>
      </c>
      <c r="CC1371" t="s">
        <v>107</v>
      </c>
      <c r="CD1371">
        <v>6000</v>
      </c>
      <c r="CE1371" t="s">
        <v>88</v>
      </c>
      <c r="CF1371" s="3">
        <v>43784</v>
      </c>
      <c r="CI1371">
        <v>1</v>
      </c>
      <c r="CJ1371">
        <v>2</v>
      </c>
      <c r="CK1371">
        <v>21</v>
      </c>
      <c r="CL1371" t="s">
        <v>89</v>
      </c>
    </row>
    <row r="1372" spans="1:90">
      <c r="A1372" t="s">
        <v>72</v>
      </c>
      <c r="B1372" t="s">
        <v>73</v>
      </c>
      <c r="C1372" t="s">
        <v>74</v>
      </c>
      <c r="E1372" t="str">
        <f>"FES1162722408"</f>
        <v>FES1162722408</v>
      </c>
      <c r="F1372" s="3">
        <v>43781</v>
      </c>
      <c r="G1372">
        <v>202005</v>
      </c>
      <c r="H1372" t="s">
        <v>75</v>
      </c>
      <c r="I1372" t="s">
        <v>76</v>
      </c>
      <c r="J1372" t="s">
        <v>77</v>
      </c>
      <c r="K1372" t="s">
        <v>78</v>
      </c>
      <c r="L1372" t="s">
        <v>75</v>
      </c>
      <c r="M1372" t="s">
        <v>76</v>
      </c>
      <c r="N1372" t="s">
        <v>466</v>
      </c>
      <c r="O1372" t="s">
        <v>82</v>
      </c>
      <c r="P1372" t="str">
        <f>"2170716611                    "</f>
        <v xml:space="preserve">2170716611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17.149999999999999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8.5</v>
      </c>
      <c r="BJ1372">
        <v>7.4</v>
      </c>
      <c r="BK1372">
        <v>8.5</v>
      </c>
      <c r="BL1372" s="4">
        <v>100.82</v>
      </c>
      <c r="BM1372" s="4">
        <v>15.12</v>
      </c>
      <c r="BN1372" s="4">
        <v>115.94</v>
      </c>
      <c r="BO1372" s="4">
        <v>115.94</v>
      </c>
      <c r="BQ1372" t="s">
        <v>109</v>
      </c>
      <c r="BR1372" t="s">
        <v>84</v>
      </c>
      <c r="BS1372" s="3">
        <v>43782</v>
      </c>
      <c r="BT1372" s="5">
        <v>0.3888888888888889</v>
      </c>
      <c r="BU1372" t="s">
        <v>694</v>
      </c>
      <c r="BV1372" t="s">
        <v>86</v>
      </c>
      <c r="BY1372">
        <v>36888.85</v>
      </c>
      <c r="CC1372" t="s">
        <v>76</v>
      </c>
      <c r="CD1372">
        <v>1609</v>
      </c>
      <c r="CE1372" t="s">
        <v>88</v>
      </c>
      <c r="CF1372" s="3">
        <v>43783</v>
      </c>
      <c r="CI1372">
        <v>1</v>
      </c>
      <c r="CJ1372">
        <v>1</v>
      </c>
      <c r="CK1372">
        <v>22</v>
      </c>
      <c r="CL1372" t="s">
        <v>89</v>
      </c>
    </row>
    <row r="1373" spans="1:90">
      <c r="A1373" t="s">
        <v>72</v>
      </c>
      <c r="B1373" t="s">
        <v>73</v>
      </c>
      <c r="C1373" t="s">
        <v>74</v>
      </c>
      <c r="E1373" t="str">
        <f>"FES1162722507"</f>
        <v>FES1162722507</v>
      </c>
      <c r="F1373" s="3">
        <v>43781</v>
      </c>
      <c r="G1373">
        <v>202005</v>
      </c>
      <c r="H1373" t="s">
        <v>75</v>
      </c>
      <c r="I1373" t="s">
        <v>76</v>
      </c>
      <c r="J1373" t="s">
        <v>77</v>
      </c>
      <c r="K1373" t="s">
        <v>78</v>
      </c>
      <c r="L1373" t="s">
        <v>124</v>
      </c>
      <c r="M1373" t="s">
        <v>125</v>
      </c>
      <c r="N1373" t="s">
        <v>1492</v>
      </c>
      <c r="O1373" t="s">
        <v>82</v>
      </c>
      <c r="P1373" t="str">
        <f>"2170714227                    "</f>
        <v xml:space="preserve">2170714227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6.71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0.2</v>
      </c>
      <c r="BJ1373">
        <v>1</v>
      </c>
      <c r="BK1373">
        <v>1</v>
      </c>
      <c r="BL1373" s="4">
        <v>39.42</v>
      </c>
      <c r="BM1373" s="4">
        <v>5.91</v>
      </c>
      <c r="BN1373" s="4">
        <v>45.33</v>
      </c>
      <c r="BO1373" s="4">
        <v>45.33</v>
      </c>
      <c r="BQ1373" t="s">
        <v>109</v>
      </c>
      <c r="BR1373" t="s">
        <v>84</v>
      </c>
      <c r="BS1373" s="3">
        <v>43782</v>
      </c>
      <c r="BT1373" s="5">
        <v>0.33333333333333331</v>
      </c>
      <c r="BU1373" t="s">
        <v>1879</v>
      </c>
      <c r="BV1373" t="s">
        <v>86</v>
      </c>
      <c r="BY1373">
        <v>4750.92</v>
      </c>
      <c r="CA1373" t="s">
        <v>470</v>
      </c>
      <c r="CC1373" t="s">
        <v>125</v>
      </c>
      <c r="CD1373">
        <v>2090</v>
      </c>
      <c r="CE1373" t="s">
        <v>88</v>
      </c>
      <c r="CF1373" s="3">
        <v>43784</v>
      </c>
      <c r="CI1373">
        <v>1</v>
      </c>
      <c r="CJ1373">
        <v>1</v>
      </c>
      <c r="CK1373">
        <v>22</v>
      </c>
      <c r="CL1373" t="s">
        <v>89</v>
      </c>
    </row>
    <row r="1374" spans="1:90">
      <c r="A1374" t="s">
        <v>72</v>
      </c>
      <c r="B1374" t="s">
        <v>73</v>
      </c>
      <c r="C1374" t="s">
        <v>74</v>
      </c>
      <c r="E1374" t="str">
        <f>"FES1162722493"</f>
        <v>FES1162722493</v>
      </c>
      <c r="F1374" s="3">
        <v>43781</v>
      </c>
      <c r="G1374">
        <v>202005</v>
      </c>
      <c r="H1374" t="s">
        <v>75</v>
      </c>
      <c r="I1374" t="s">
        <v>76</v>
      </c>
      <c r="J1374" t="s">
        <v>77</v>
      </c>
      <c r="K1374" t="s">
        <v>78</v>
      </c>
      <c r="L1374" t="s">
        <v>106</v>
      </c>
      <c r="M1374" t="s">
        <v>107</v>
      </c>
      <c r="N1374" t="s">
        <v>1311</v>
      </c>
      <c r="O1374" t="s">
        <v>82</v>
      </c>
      <c r="P1374" t="str">
        <f>"2170716701                    "</f>
        <v xml:space="preserve">2170716701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8.58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1.4</v>
      </c>
      <c r="BJ1374">
        <v>1.8</v>
      </c>
      <c r="BK1374">
        <v>2</v>
      </c>
      <c r="BL1374" s="4">
        <v>50.45</v>
      </c>
      <c r="BM1374" s="4">
        <v>7.57</v>
      </c>
      <c r="BN1374" s="4">
        <v>58.02</v>
      </c>
      <c r="BO1374" s="4">
        <v>58.02</v>
      </c>
      <c r="BQ1374" t="s">
        <v>109</v>
      </c>
      <c r="BR1374" t="s">
        <v>84</v>
      </c>
      <c r="BS1374" s="3">
        <v>43782</v>
      </c>
      <c r="BT1374" s="5">
        <v>0.34375</v>
      </c>
      <c r="BU1374" t="s">
        <v>1873</v>
      </c>
      <c r="BV1374" t="s">
        <v>86</v>
      </c>
      <c r="BY1374">
        <v>8903.1</v>
      </c>
      <c r="CA1374" t="s">
        <v>773</v>
      </c>
      <c r="CC1374" t="s">
        <v>107</v>
      </c>
      <c r="CD1374">
        <v>6001</v>
      </c>
      <c r="CE1374" t="s">
        <v>88</v>
      </c>
      <c r="CF1374" s="3">
        <v>43783</v>
      </c>
      <c r="CI1374">
        <v>1</v>
      </c>
      <c r="CJ1374">
        <v>1</v>
      </c>
      <c r="CK1374">
        <v>21</v>
      </c>
      <c r="CL1374" t="s">
        <v>89</v>
      </c>
    </row>
    <row r="1375" spans="1:90">
      <c r="A1375" t="s">
        <v>72</v>
      </c>
      <c r="B1375" t="s">
        <v>73</v>
      </c>
      <c r="C1375" t="s">
        <v>74</v>
      </c>
      <c r="E1375" t="str">
        <f>"FES1162722468"</f>
        <v>FES1162722468</v>
      </c>
      <c r="F1375" s="3">
        <v>43781</v>
      </c>
      <c r="G1375">
        <v>202005</v>
      </c>
      <c r="H1375" t="s">
        <v>75</v>
      </c>
      <c r="I1375" t="s">
        <v>76</v>
      </c>
      <c r="J1375" t="s">
        <v>77</v>
      </c>
      <c r="K1375" t="s">
        <v>78</v>
      </c>
      <c r="L1375" t="s">
        <v>106</v>
      </c>
      <c r="M1375" t="s">
        <v>107</v>
      </c>
      <c r="N1375" t="s">
        <v>128</v>
      </c>
      <c r="O1375" t="s">
        <v>82</v>
      </c>
      <c r="P1375" t="str">
        <f>"2170716657                    "</f>
        <v xml:space="preserve">2170716657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17.16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3.9</v>
      </c>
      <c r="BJ1375">
        <v>2.7</v>
      </c>
      <c r="BK1375">
        <v>4</v>
      </c>
      <c r="BL1375" s="4">
        <v>100.87</v>
      </c>
      <c r="BM1375" s="4">
        <v>15.13</v>
      </c>
      <c r="BN1375" s="4">
        <v>116</v>
      </c>
      <c r="BO1375" s="4">
        <v>116</v>
      </c>
      <c r="BQ1375" t="s">
        <v>121</v>
      </c>
      <c r="BR1375" t="s">
        <v>84</v>
      </c>
      <c r="BS1375" s="3">
        <v>43782</v>
      </c>
      <c r="BT1375" s="5">
        <v>0.33333333333333331</v>
      </c>
      <c r="BU1375" t="s">
        <v>129</v>
      </c>
      <c r="BV1375" t="s">
        <v>86</v>
      </c>
      <c r="BY1375">
        <v>13599.74</v>
      </c>
      <c r="CA1375" t="s">
        <v>87</v>
      </c>
      <c r="CC1375" t="s">
        <v>107</v>
      </c>
      <c r="CD1375">
        <v>6001</v>
      </c>
      <c r="CE1375" t="s">
        <v>88</v>
      </c>
      <c r="CF1375" s="3">
        <v>43783</v>
      </c>
      <c r="CI1375">
        <v>1</v>
      </c>
      <c r="CJ1375">
        <v>1</v>
      </c>
      <c r="CK1375">
        <v>21</v>
      </c>
      <c r="CL1375" t="s">
        <v>89</v>
      </c>
    </row>
    <row r="1376" spans="1:90">
      <c r="A1376" t="s">
        <v>72</v>
      </c>
      <c r="B1376" t="s">
        <v>73</v>
      </c>
      <c r="C1376" t="s">
        <v>74</v>
      </c>
      <c r="E1376" t="str">
        <f>"FES1162722473"</f>
        <v>FES1162722473</v>
      </c>
      <c r="F1376" s="3">
        <v>43781</v>
      </c>
      <c r="G1376">
        <v>202005</v>
      </c>
      <c r="H1376" t="s">
        <v>75</v>
      </c>
      <c r="I1376" t="s">
        <v>76</v>
      </c>
      <c r="J1376" t="s">
        <v>77</v>
      </c>
      <c r="K1376" t="s">
        <v>78</v>
      </c>
      <c r="L1376" t="s">
        <v>492</v>
      </c>
      <c r="M1376" t="s">
        <v>493</v>
      </c>
      <c r="N1376" t="s">
        <v>494</v>
      </c>
      <c r="O1376" t="s">
        <v>82</v>
      </c>
      <c r="P1376" t="str">
        <f>"2170716678                    "</f>
        <v xml:space="preserve">2170716678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16.63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1.4</v>
      </c>
      <c r="BJ1376">
        <v>1.4</v>
      </c>
      <c r="BK1376">
        <v>1.5</v>
      </c>
      <c r="BL1376" s="4">
        <v>97.75</v>
      </c>
      <c r="BM1376" s="4">
        <v>14.66</v>
      </c>
      <c r="BN1376" s="4">
        <v>112.41</v>
      </c>
      <c r="BO1376" s="4">
        <v>112.41</v>
      </c>
      <c r="BQ1376" t="s">
        <v>109</v>
      </c>
      <c r="BR1376" t="s">
        <v>84</v>
      </c>
      <c r="BS1376" s="3">
        <v>43782</v>
      </c>
      <c r="BT1376" s="5">
        <v>0.57638888888888895</v>
      </c>
      <c r="BU1376" t="s">
        <v>1880</v>
      </c>
      <c r="BV1376" t="s">
        <v>86</v>
      </c>
      <c r="BY1376">
        <v>6803.68</v>
      </c>
      <c r="CC1376" t="s">
        <v>493</v>
      </c>
      <c r="CD1376">
        <v>5850</v>
      </c>
      <c r="CE1376" t="s">
        <v>88</v>
      </c>
      <c r="CF1376" s="3">
        <v>43787</v>
      </c>
      <c r="CI1376">
        <v>3</v>
      </c>
      <c r="CJ1376">
        <v>1</v>
      </c>
      <c r="CK1376">
        <v>23</v>
      </c>
      <c r="CL1376" t="s">
        <v>89</v>
      </c>
    </row>
    <row r="1377" spans="1:90">
      <c r="A1377" t="s">
        <v>72</v>
      </c>
      <c r="B1377" t="s">
        <v>73</v>
      </c>
      <c r="C1377" t="s">
        <v>74</v>
      </c>
      <c r="E1377" t="str">
        <f>"FES1162722556"</f>
        <v>FES1162722556</v>
      </c>
      <c r="F1377" s="3">
        <v>43781</v>
      </c>
      <c r="G1377">
        <v>202005</v>
      </c>
      <c r="H1377" t="s">
        <v>75</v>
      </c>
      <c r="I1377" t="s">
        <v>76</v>
      </c>
      <c r="J1377" t="s">
        <v>77</v>
      </c>
      <c r="K1377" t="s">
        <v>78</v>
      </c>
      <c r="L1377" t="s">
        <v>202</v>
      </c>
      <c r="M1377" t="s">
        <v>203</v>
      </c>
      <c r="N1377" t="s">
        <v>521</v>
      </c>
      <c r="O1377" t="s">
        <v>82</v>
      </c>
      <c r="P1377" t="str">
        <f>"2170715030                    "</f>
        <v xml:space="preserve">2170715030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6.71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 s="4">
        <v>39.42</v>
      </c>
      <c r="BM1377" s="4">
        <v>5.91</v>
      </c>
      <c r="BN1377" s="4">
        <v>45.33</v>
      </c>
      <c r="BO1377" s="4">
        <v>45.33</v>
      </c>
      <c r="BQ1377" t="s">
        <v>109</v>
      </c>
      <c r="BR1377" t="s">
        <v>84</v>
      </c>
      <c r="BS1377" s="3">
        <v>43782</v>
      </c>
      <c r="BT1377" s="5">
        <v>0.40972222222222227</v>
      </c>
      <c r="BU1377" t="s">
        <v>1767</v>
      </c>
      <c r="BV1377" t="s">
        <v>86</v>
      </c>
      <c r="BY1377">
        <v>1200</v>
      </c>
      <c r="CA1377" t="s">
        <v>123</v>
      </c>
      <c r="CC1377" t="s">
        <v>203</v>
      </c>
      <c r="CD1377">
        <v>1428</v>
      </c>
      <c r="CE1377" t="s">
        <v>147</v>
      </c>
      <c r="CF1377" s="3">
        <v>43784</v>
      </c>
      <c r="CI1377">
        <v>1</v>
      </c>
      <c r="CJ1377">
        <v>1</v>
      </c>
      <c r="CK1377">
        <v>22</v>
      </c>
      <c r="CL1377" t="s">
        <v>89</v>
      </c>
    </row>
    <row r="1378" spans="1:90">
      <c r="A1378" t="s">
        <v>72</v>
      </c>
      <c r="B1378" t="s">
        <v>73</v>
      </c>
      <c r="C1378" t="s">
        <v>74</v>
      </c>
      <c r="E1378" t="str">
        <f>"FES1162717134"</f>
        <v>FES1162717134</v>
      </c>
      <c r="F1378" s="3">
        <v>43753</v>
      </c>
      <c r="G1378">
        <v>202005</v>
      </c>
      <c r="H1378" t="s">
        <v>75</v>
      </c>
      <c r="I1378" t="s">
        <v>76</v>
      </c>
      <c r="J1378" t="s">
        <v>211</v>
      </c>
      <c r="K1378" t="s">
        <v>78</v>
      </c>
      <c r="L1378" t="s">
        <v>825</v>
      </c>
      <c r="M1378" t="s">
        <v>826</v>
      </c>
      <c r="N1378" t="s">
        <v>1881</v>
      </c>
      <c r="O1378" t="s">
        <v>282</v>
      </c>
      <c r="P1378" t="str">
        <f>"2170712117                    "</f>
        <v xml:space="preserve">2170712117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12.36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12.3</v>
      </c>
      <c r="BJ1378">
        <v>3.6</v>
      </c>
      <c r="BK1378">
        <v>13</v>
      </c>
      <c r="BL1378" s="4">
        <v>76.239999999999995</v>
      </c>
      <c r="BM1378" s="4">
        <v>11.44</v>
      </c>
      <c r="BN1378" s="4">
        <v>87.68</v>
      </c>
      <c r="BO1378" s="4">
        <v>87.68</v>
      </c>
      <c r="BQ1378" t="s">
        <v>1882</v>
      </c>
      <c r="BR1378" t="s">
        <v>212</v>
      </c>
      <c r="BS1378" s="3">
        <v>43754</v>
      </c>
      <c r="BT1378" s="5">
        <v>0.33333333333333331</v>
      </c>
      <c r="BU1378" t="s">
        <v>1883</v>
      </c>
      <c r="BV1378" t="s">
        <v>86</v>
      </c>
      <c r="BY1378">
        <v>18086.099999999999</v>
      </c>
      <c r="CC1378" t="s">
        <v>826</v>
      </c>
      <c r="CD1378">
        <v>1759</v>
      </c>
      <c r="CE1378" t="s">
        <v>88</v>
      </c>
      <c r="CF1378" s="3">
        <v>43755</v>
      </c>
      <c r="CI1378">
        <v>1</v>
      </c>
      <c r="CJ1378">
        <v>1</v>
      </c>
      <c r="CK1378" t="s">
        <v>379</v>
      </c>
      <c r="CL1378" t="s">
        <v>89</v>
      </c>
    </row>
    <row r="1379" spans="1:90">
      <c r="A1379" t="s">
        <v>72</v>
      </c>
      <c r="B1379" t="s">
        <v>73</v>
      </c>
      <c r="C1379" t="s">
        <v>74</v>
      </c>
      <c r="E1379" t="str">
        <f>"FES1162717214"</f>
        <v>FES1162717214</v>
      </c>
      <c r="F1379" s="3">
        <v>43753</v>
      </c>
      <c r="G1379">
        <v>202005</v>
      </c>
      <c r="H1379" t="s">
        <v>75</v>
      </c>
      <c r="I1379" t="s">
        <v>76</v>
      </c>
      <c r="J1379" t="s">
        <v>211</v>
      </c>
      <c r="K1379" t="s">
        <v>78</v>
      </c>
      <c r="L1379" t="s">
        <v>917</v>
      </c>
      <c r="M1379" t="s">
        <v>918</v>
      </c>
      <c r="N1379" t="s">
        <v>1884</v>
      </c>
      <c r="O1379" t="s">
        <v>282</v>
      </c>
      <c r="P1379" t="str">
        <f>"2170712061                    "</f>
        <v xml:space="preserve">2170712061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18.899999999999999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19</v>
      </c>
      <c r="BJ1379">
        <v>11.6</v>
      </c>
      <c r="BK1379">
        <v>19</v>
      </c>
      <c r="BL1379" s="4">
        <v>113.88</v>
      </c>
      <c r="BM1379" s="4">
        <v>17.079999999999998</v>
      </c>
      <c r="BN1379" s="4">
        <v>130.96</v>
      </c>
      <c r="BO1379" s="4">
        <v>130.96</v>
      </c>
      <c r="BQ1379" t="s">
        <v>121</v>
      </c>
      <c r="BR1379" t="s">
        <v>212</v>
      </c>
      <c r="BS1379" s="3">
        <v>43754</v>
      </c>
      <c r="BT1379" s="5">
        <v>0.34722222222222227</v>
      </c>
      <c r="BU1379" t="s">
        <v>1885</v>
      </c>
      <c r="BV1379" t="s">
        <v>86</v>
      </c>
      <c r="BY1379">
        <v>57817</v>
      </c>
      <c r="CA1379" t="s">
        <v>123</v>
      </c>
      <c r="CC1379" t="s">
        <v>918</v>
      </c>
      <c r="CD1379">
        <v>2200</v>
      </c>
      <c r="CE1379" t="s">
        <v>88</v>
      </c>
      <c r="CF1379" s="3">
        <v>43755</v>
      </c>
      <c r="CI1379">
        <v>1</v>
      </c>
      <c r="CJ1379">
        <v>1</v>
      </c>
      <c r="CK1379" t="s">
        <v>289</v>
      </c>
      <c r="CL1379" t="s">
        <v>89</v>
      </c>
    </row>
    <row r="1380" spans="1:90">
      <c r="A1380" t="s">
        <v>72</v>
      </c>
      <c r="B1380" t="s">
        <v>73</v>
      </c>
      <c r="C1380" t="s">
        <v>74</v>
      </c>
      <c r="E1380" t="str">
        <f>"FES1162722482"</f>
        <v>FES1162722482</v>
      </c>
      <c r="F1380" s="3">
        <v>43781</v>
      </c>
      <c r="G1380">
        <v>202005</v>
      </c>
      <c r="H1380" t="s">
        <v>75</v>
      </c>
      <c r="I1380" t="s">
        <v>76</v>
      </c>
      <c r="J1380" t="s">
        <v>77</v>
      </c>
      <c r="K1380" t="s">
        <v>78</v>
      </c>
      <c r="L1380" t="s">
        <v>1886</v>
      </c>
      <c r="M1380" t="s">
        <v>1887</v>
      </c>
      <c r="N1380" t="s">
        <v>1888</v>
      </c>
      <c r="O1380" t="s">
        <v>282</v>
      </c>
      <c r="P1380" t="str">
        <f>"2170715409                    "</f>
        <v xml:space="preserve">2170715409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22.08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20.8</v>
      </c>
      <c r="BJ1380">
        <v>8.8000000000000007</v>
      </c>
      <c r="BK1380">
        <v>21</v>
      </c>
      <c r="BL1380" s="4">
        <v>134.81</v>
      </c>
      <c r="BM1380" s="4">
        <v>20.22</v>
      </c>
      <c r="BN1380" s="4">
        <v>155.03</v>
      </c>
      <c r="BO1380" s="4">
        <v>155.03</v>
      </c>
      <c r="BQ1380" t="s">
        <v>121</v>
      </c>
      <c r="BR1380" t="s">
        <v>84</v>
      </c>
      <c r="BS1380" s="3">
        <v>43782</v>
      </c>
      <c r="BT1380" s="5">
        <v>0.52430555555555558</v>
      </c>
      <c r="BU1380" t="s">
        <v>1889</v>
      </c>
      <c r="BV1380" t="s">
        <v>86</v>
      </c>
      <c r="BY1380">
        <v>44011.02</v>
      </c>
      <c r="CA1380" t="s">
        <v>1890</v>
      </c>
      <c r="CC1380" t="s">
        <v>1887</v>
      </c>
      <c r="CD1380">
        <v>3236</v>
      </c>
      <c r="CE1380" t="s">
        <v>88</v>
      </c>
      <c r="CF1380" s="3">
        <v>43784</v>
      </c>
      <c r="CI1380">
        <v>5</v>
      </c>
      <c r="CJ1380">
        <v>1</v>
      </c>
      <c r="CK1380" t="s">
        <v>1002</v>
      </c>
      <c r="CL1380" t="s">
        <v>89</v>
      </c>
    </row>
    <row r="1381" spans="1:90">
      <c r="A1381" t="s">
        <v>72</v>
      </c>
      <c r="B1381" t="s">
        <v>73</v>
      </c>
      <c r="C1381" t="s">
        <v>74</v>
      </c>
      <c r="E1381" t="str">
        <f>"FES1162722580"</f>
        <v>FES1162722580</v>
      </c>
      <c r="F1381" s="3">
        <v>43781</v>
      </c>
      <c r="G1381">
        <v>202005</v>
      </c>
      <c r="H1381" t="s">
        <v>75</v>
      </c>
      <c r="I1381" t="s">
        <v>76</v>
      </c>
      <c r="J1381" t="s">
        <v>77</v>
      </c>
      <c r="K1381" t="s">
        <v>78</v>
      </c>
      <c r="L1381" t="s">
        <v>280</v>
      </c>
      <c r="M1381" t="s">
        <v>102</v>
      </c>
      <c r="N1381" t="s">
        <v>879</v>
      </c>
      <c r="O1381" t="s">
        <v>282</v>
      </c>
      <c r="P1381" t="str">
        <f>"2170716820                    "</f>
        <v xml:space="preserve">2170716820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28.01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23</v>
      </c>
      <c r="BJ1381">
        <v>43.5</v>
      </c>
      <c r="BK1381">
        <v>44</v>
      </c>
      <c r="BL1381" s="4">
        <v>169.64</v>
      </c>
      <c r="BM1381" s="4">
        <v>25.45</v>
      </c>
      <c r="BN1381" s="4">
        <v>195.09</v>
      </c>
      <c r="BO1381" s="4">
        <v>195.09</v>
      </c>
      <c r="BQ1381" t="s">
        <v>142</v>
      </c>
      <c r="BR1381" t="s">
        <v>84</v>
      </c>
      <c r="BS1381" s="3">
        <v>43782</v>
      </c>
      <c r="BT1381" s="5">
        <v>0.51388888888888895</v>
      </c>
      <c r="BU1381" t="s">
        <v>1891</v>
      </c>
      <c r="BV1381" t="s">
        <v>86</v>
      </c>
      <c r="BY1381">
        <v>217374.76</v>
      </c>
      <c r="CA1381" t="s">
        <v>1285</v>
      </c>
      <c r="CC1381" t="s">
        <v>102</v>
      </c>
      <c r="CD1381">
        <v>200</v>
      </c>
      <c r="CE1381" t="s">
        <v>1892</v>
      </c>
      <c r="CF1381" s="3">
        <v>43783</v>
      </c>
      <c r="CI1381">
        <v>0</v>
      </c>
      <c r="CJ1381">
        <v>0</v>
      </c>
      <c r="CK1381" t="s">
        <v>285</v>
      </c>
      <c r="CL1381" t="s">
        <v>89</v>
      </c>
    </row>
    <row r="1382" spans="1:90">
      <c r="A1382" t="s">
        <v>72</v>
      </c>
      <c r="B1382" t="s">
        <v>73</v>
      </c>
      <c r="C1382" t="s">
        <v>74</v>
      </c>
      <c r="E1382" t="str">
        <f>"FES1162723200"</f>
        <v>FES1162723200</v>
      </c>
      <c r="F1382" s="3">
        <v>43783</v>
      </c>
      <c r="G1382">
        <v>202005</v>
      </c>
      <c r="H1382" t="s">
        <v>75</v>
      </c>
      <c r="I1382" t="s">
        <v>76</v>
      </c>
      <c r="J1382" t="s">
        <v>77</v>
      </c>
      <c r="K1382" t="s">
        <v>78</v>
      </c>
      <c r="L1382" t="s">
        <v>124</v>
      </c>
      <c r="M1382" t="s">
        <v>125</v>
      </c>
      <c r="N1382" t="s">
        <v>218</v>
      </c>
      <c r="O1382" t="s">
        <v>282</v>
      </c>
      <c r="P1382" t="str">
        <f>"2170717225                    "</f>
        <v xml:space="preserve">2170717225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23.38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3</v>
      </c>
      <c r="BI1382">
        <v>29.2</v>
      </c>
      <c r="BJ1382">
        <v>42.3</v>
      </c>
      <c r="BK1382">
        <v>43</v>
      </c>
      <c r="BL1382" s="4">
        <v>142.41999999999999</v>
      </c>
      <c r="BM1382" s="4">
        <v>21.36</v>
      </c>
      <c r="BN1382" s="4">
        <v>163.78</v>
      </c>
      <c r="BO1382" s="4">
        <v>163.78</v>
      </c>
      <c r="BQ1382" t="s">
        <v>121</v>
      </c>
      <c r="BR1382" t="s">
        <v>84</v>
      </c>
      <c r="BS1382" s="3">
        <v>43784</v>
      </c>
      <c r="BT1382" s="5">
        <v>0.39097222222222222</v>
      </c>
      <c r="BU1382" t="s">
        <v>838</v>
      </c>
      <c r="BV1382" t="s">
        <v>86</v>
      </c>
      <c r="BY1382">
        <v>211438.16</v>
      </c>
      <c r="CC1382" t="s">
        <v>125</v>
      </c>
      <c r="CD1382">
        <v>2094</v>
      </c>
      <c r="CE1382" t="s">
        <v>852</v>
      </c>
      <c r="CF1382" s="3">
        <v>43788</v>
      </c>
      <c r="CI1382">
        <v>1</v>
      </c>
      <c r="CJ1382">
        <v>1</v>
      </c>
      <c r="CK1382" t="s">
        <v>379</v>
      </c>
      <c r="CL1382" t="s">
        <v>89</v>
      </c>
    </row>
    <row r="1383" spans="1:90">
      <c r="A1383" t="s">
        <v>72</v>
      </c>
      <c r="B1383" t="s">
        <v>73</v>
      </c>
      <c r="C1383" t="s">
        <v>74</v>
      </c>
      <c r="E1383" t="str">
        <f>"009939504552"</f>
        <v>009939504552</v>
      </c>
      <c r="F1383" s="3">
        <v>43780</v>
      </c>
      <c r="G1383">
        <v>202005</v>
      </c>
      <c r="H1383" t="s">
        <v>106</v>
      </c>
      <c r="I1383" t="s">
        <v>107</v>
      </c>
      <c r="J1383" t="s">
        <v>1893</v>
      </c>
      <c r="K1383" t="s">
        <v>78</v>
      </c>
      <c r="L1383" t="s">
        <v>75</v>
      </c>
      <c r="M1383" t="s">
        <v>76</v>
      </c>
      <c r="N1383" t="s">
        <v>211</v>
      </c>
      <c r="O1383" t="s">
        <v>282</v>
      </c>
      <c r="P1383" t="str">
        <f>"                              "</f>
        <v xml:space="preserve">          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17.57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1.7</v>
      </c>
      <c r="BJ1383">
        <v>2.1</v>
      </c>
      <c r="BK1383">
        <v>2</v>
      </c>
      <c r="BL1383" s="4">
        <v>108.28</v>
      </c>
      <c r="BM1383" s="4">
        <v>16.239999999999998</v>
      </c>
      <c r="BN1383" s="4">
        <v>124.52</v>
      </c>
      <c r="BO1383" s="4">
        <v>124.52</v>
      </c>
      <c r="BR1383" t="s">
        <v>1894</v>
      </c>
      <c r="BS1383" s="3">
        <v>43782</v>
      </c>
      <c r="BT1383" s="5">
        <v>0.40625</v>
      </c>
      <c r="BU1383" t="s">
        <v>1016</v>
      </c>
      <c r="BV1383" t="s">
        <v>86</v>
      </c>
      <c r="BY1383">
        <v>10445.76</v>
      </c>
      <c r="CA1383" t="s">
        <v>198</v>
      </c>
      <c r="CC1383" t="s">
        <v>76</v>
      </c>
      <c r="CD1383">
        <v>1620</v>
      </c>
      <c r="CE1383" t="s">
        <v>1895</v>
      </c>
      <c r="CF1383" s="3">
        <v>43783</v>
      </c>
      <c r="CI1383">
        <v>2</v>
      </c>
      <c r="CJ1383">
        <v>2</v>
      </c>
      <c r="CK1383" t="s">
        <v>1002</v>
      </c>
      <c r="CL1383" t="s">
        <v>89</v>
      </c>
    </row>
    <row r="1384" spans="1:90">
      <c r="A1384" t="s">
        <v>72</v>
      </c>
      <c r="B1384" t="s">
        <v>73</v>
      </c>
      <c r="C1384" t="s">
        <v>74</v>
      </c>
      <c r="E1384" t="str">
        <f>"FES1162722344"</f>
        <v>FES1162722344</v>
      </c>
      <c r="F1384" s="3">
        <v>43780</v>
      </c>
      <c r="G1384">
        <v>202005</v>
      </c>
      <c r="H1384" t="s">
        <v>75</v>
      </c>
      <c r="I1384" t="s">
        <v>76</v>
      </c>
      <c r="J1384" t="s">
        <v>211</v>
      </c>
      <c r="K1384" t="s">
        <v>78</v>
      </c>
      <c r="L1384" t="s">
        <v>578</v>
      </c>
      <c r="M1384" t="s">
        <v>579</v>
      </c>
      <c r="N1384" t="s">
        <v>1532</v>
      </c>
      <c r="O1384" t="s">
        <v>82</v>
      </c>
      <c r="P1384" t="str">
        <f>"2170716507                    "</f>
        <v xml:space="preserve">2170716507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36.46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2</v>
      </c>
      <c r="BI1384">
        <v>6</v>
      </c>
      <c r="BJ1384">
        <v>8.1</v>
      </c>
      <c r="BK1384">
        <v>8.5</v>
      </c>
      <c r="BL1384" s="4">
        <v>214.31</v>
      </c>
      <c r="BM1384" s="4">
        <v>32.15</v>
      </c>
      <c r="BN1384" s="4">
        <v>246.46</v>
      </c>
      <c r="BO1384" s="4">
        <v>246.46</v>
      </c>
      <c r="BQ1384" t="s">
        <v>121</v>
      </c>
      <c r="BR1384" t="s">
        <v>212</v>
      </c>
      <c r="BS1384" s="3">
        <v>43781</v>
      </c>
      <c r="BT1384" s="5">
        <v>0.3833333333333333</v>
      </c>
      <c r="BU1384" t="s">
        <v>1896</v>
      </c>
      <c r="BV1384" t="s">
        <v>86</v>
      </c>
      <c r="BY1384">
        <v>40716</v>
      </c>
      <c r="BZ1384" t="s">
        <v>27</v>
      </c>
      <c r="CA1384" t="s">
        <v>1022</v>
      </c>
      <c r="CC1384" t="s">
        <v>579</v>
      </c>
      <c r="CD1384">
        <v>7600</v>
      </c>
      <c r="CE1384" t="s">
        <v>1892</v>
      </c>
      <c r="CF1384" s="3">
        <v>43782</v>
      </c>
      <c r="CI1384">
        <v>1</v>
      </c>
      <c r="CJ1384">
        <v>1</v>
      </c>
      <c r="CK1384">
        <v>21</v>
      </c>
      <c r="CL1384" t="s">
        <v>89</v>
      </c>
    </row>
    <row r="1385" spans="1:90">
      <c r="A1385" t="s">
        <v>72</v>
      </c>
      <c r="B1385" t="s">
        <v>73</v>
      </c>
      <c r="C1385" t="s">
        <v>74</v>
      </c>
      <c r="E1385" t="str">
        <f>"FES1162722986"</f>
        <v>FES1162722986</v>
      </c>
      <c r="F1385" s="3">
        <v>43782</v>
      </c>
      <c r="G1385">
        <v>202005</v>
      </c>
      <c r="H1385" t="s">
        <v>75</v>
      </c>
      <c r="I1385" t="s">
        <v>76</v>
      </c>
      <c r="J1385" t="s">
        <v>77</v>
      </c>
      <c r="K1385" t="s">
        <v>78</v>
      </c>
      <c r="L1385" t="s">
        <v>90</v>
      </c>
      <c r="M1385" t="s">
        <v>91</v>
      </c>
      <c r="N1385" t="s">
        <v>1897</v>
      </c>
      <c r="O1385" t="s">
        <v>82</v>
      </c>
      <c r="P1385" t="str">
        <f>"2170717082                    "</f>
        <v xml:space="preserve">2170717082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8.58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1.1000000000000001</v>
      </c>
      <c r="BK1385">
        <v>1.5</v>
      </c>
      <c r="BL1385" s="4">
        <v>50.45</v>
      </c>
      <c r="BM1385" s="4">
        <v>7.57</v>
      </c>
      <c r="BN1385" s="4">
        <v>58.02</v>
      </c>
      <c r="BO1385" s="4">
        <v>58.02</v>
      </c>
      <c r="BQ1385" t="s">
        <v>121</v>
      </c>
      <c r="BR1385" t="s">
        <v>84</v>
      </c>
      <c r="BS1385" s="3">
        <v>43783</v>
      </c>
      <c r="BT1385" s="5">
        <v>0.41875000000000001</v>
      </c>
      <c r="BU1385" t="s">
        <v>1898</v>
      </c>
      <c r="BV1385" t="s">
        <v>86</v>
      </c>
      <c r="BY1385">
        <v>5320</v>
      </c>
      <c r="CA1385" t="s">
        <v>1196</v>
      </c>
      <c r="CC1385" t="s">
        <v>91</v>
      </c>
      <c r="CD1385">
        <v>7580</v>
      </c>
      <c r="CE1385" t="s">
        <v>88</v>
      </c>
      <c r="CF1385" s="3">
        <v>43784</v>
      </c>
      <c r="CI1385">
        <v>1</v>
      </c>
      <c r="CJ1385">
        <v>1</v>
      </c>
      <c r="CK1385">
        <v>21</v>
      </c>
      <c r="CL1385" t="s">
        <v>89</v>
      </c>
    </row>
    <row r="1386" spans="1:90">
      <c r="A1386" t="s">
        <v>72</v>
      </c>
      <c r="B1386" t="s">
        <v>73</v>
      </c>
      <c r="C1386" t="s">
        <v>74</v>
      </c>
      <c r="E1386" t="str">
        <f>"FES1162722887"</f>
        <v>FES1162722887</v>
      </c>
      <c r="F1386" s="3">
        <v>43782</v>
      </c>
      <c r="G1386">
        <v>202005</v>
      </c>
      <c r="H1386" t="s">
        <v>75</v>
      </c>
      <c r="I1386" t="s">
        <v>76</v>
      </c>
      <c r="J1386" t="s">
        <v>77</v>
      </c>
      <c r="K1386" t="s">
        <v>78</v>
      </c>
      <c r="L1386" t="s">
        <v>124</v>
      </c>
      <c r="M1386" t="s">
        <v>125</v>
      </c>
      <c r="N1386" t="s">
        <v>1899</v>
      </c>
      <c r="O1386" t="s">
        <v>82</v>
      </c>
      <c r="P1386" t="str">
        <f>"2170713996                    "</f>
        <v xml:space="preserve">2170713996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8.31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1.4</v>
      </c>
      <c r="BJ1386">
        <v>2.8</v>
      </c>
      <c r="BK1386">
        <v>3</v>
      </c>
      <c r="BL1386" s="4">
        <v>48.86</v>
      </c>
      <c r="BM1386" s="4">
        <v>7.33</v>
      </c>
      <c r="BN1386" s="4">
        <v>56.19</v>
      </c>
      <c r="BO1386" s="4">
        <v>56.19</v>
      </c>
      <c r="BQ1386" t="s">
        <v>121</v>
      </c>
      <c r="BR1386" t="s">
        <v>84</v>
      </c>
      <c r="BS1386" s="3">
        <v>43783</v>
      </c>
      <c r="BT1386" s="5">
        <v>0.4236111111111111</v>
      </c>
      <c r="BU1386" t="s">
        <v>381</v>
      </c>
      <c r="BV1386" t="s">
        <v>86</v>
      </c>
      <c r="BY1386">
        <v>13819.08</v>
      </c>
      <c r="CA1386" t="s">
        <v>837</v>
      </c>
      <c r="CC1386" t="s">
        <v>125</v>
      </c>
      <c r="CD1386">
        <v>2049</v>
      </c>
      <c r="CE1386" t="s">
        <v>88</v>
      </c>
      <c r="CF1386" s="3">
        <v>43784</v>
      </c>
      <c r="CI1386">
        <v>1</v>
      </c>
      <c r="CJ1386">
        <v>1</v>
      </c>
      <c r="CK1386">
        <v>22</v>
      </c>
      <c r="CL1386" t="s">
        <v>89</v>
      </c>
    </row>
    <row r="1387" spans="1:90">
      <c r="A1387" t="s">
        <v>72</v>
      </c>
      <c r="B1387" t="s">
        <v>73</v>
      </c>
      <c r="C1387" t="s">
        <v>74</v>
      </c>
      <c r="E1387" t="str">
        <f>"FES1162722976"</f>
        <v>FES1162722976</v>
      </c>
      <c r="F1387" s="3">
        <v>43782</v>
      </c>
      <c r="G1387">
        <v>202005</v>
      </c>
      <c r="H1387" t="s">
        <v>75</v>
      </c>
      <c r="I1387" t="s">
        <v>76</v>
      </c>
      <c r="J1387" t="s">
        <v>77</v>
      </c>
      <c r="K1387" t="s">
        <v>78</v>
      </c>
      <c r="L1387" t="s">
        <v>106</v>
      </c>
      <c r="M1387" t="s">
        <v>107</v>
      </c>
      <c r="N1387" t="s">
        <v>1637</v>
      </c>
      <c r="O1387" t="s">
        <v>82</v>
      </c>
      <c r="P1387" t="str">
        <f>"2170717072                    "</f>
        <v xml:space="preserve">2170717072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34.31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2</v>
      </c>
      <c r="BI1387">
        <v>7.6</v>
      </c>
      <c r="BJ1387">
        <v>4.5999999999999996</v>
      </c>
      <c r="BK1387">
        <v>8</v>
      </c>
      <c r="BL1387" s="4">
        <v>201.7</v>
      </c>
      <c r="BM1387" s="4">
        <v>30.26</v>
      </c>
      <c r="BN1387" s="4">
        <v>231.96</v>
      </c>
      <c r="BO1387" s="4">
        <v>231.96</v>
      </c>
      <c r="BR1387" t="s">
        <v>84</v>
      </c>
      <c r="BS1387" s="3">
        <v>43783</v>
      </c>
      <c r="BT1387" s="5">
        <v>0.42499999999999999</v>
      </c>
      <c r="BU1387" t="s">
        <v>1900</v>
      </c>
      <c r="BV1387" t="s">
        <v>86</v>
      </c>
      <c r="BY1387">
        <v>23248.21</v>
      </c>
      <c r="CA1387" t="s">
        <v>773</v>
      </c>
      <c r="CC1387" t="s">
        <v>107</v>
      </c>
      <c r="CD1387">
        <v>6210</v>
      </c>
      <c r="CE1387" t="s">
        <v>88</v>
      </c>
      <c r="CF1387" s="3">
        <v>43784</v>
      </c>
      <c r="CI1387">
        <v>1</v>
      </c>
      <c r="CJ1387">
        <v>1</v>
      </c>
      <c r="CK1387">
        <v>21</v>
      </c>
      <c r="CL1387" t="s">
        <v>89</v>
      </c>
    </row>
    <row r="1388" spans="1:90">
      <c r="A1388" t="s">
        <v>72</v>
      </c>
      <c r="B1388" t="s">
        <v>73</v>
      </c>
      <c r="C1388" t="s">
        <v>74</v>
      </c>
      <c r="E1388" t="str">
        <f>"FES1162722845"</f>
        <v>FES1162722845</v>
      </c>
      <c r="F1388" s="3">
        <v>43782</v>
      </c>
      <c r="G1388">
        <v>202005</v>
      </c>
      <c r="H1388" t="s">
        <v>75</v>
      </c>
      <c r="I1388" t="s">
        <v>76</v>
      </c>
      <c r="J1388" t="s">
        <v>77</v>
      </c>
      <c r="K1388" t="s">
        <v>78</v>
      </c>
      <c r="L1388" t="s">
        <v>176</v>
      </c>
      <c r="M1388" t="s">
        <v>177</v>
      </c>
      <c r="N1388" t="s">
        <v>792</v>
      </c>
      <c r="O1388" t="s">
        <v>82</v>
      </c>
      <c r="P1388" t="str">
        <f>"2170716938                    "</f>
        <v xml:space="preserve">2170716938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8.58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1.4</v>
      </c>
      <c r="BJ1388">
        <v>0.7</v>
      </c>
      <c r="BK1388">
        <v>1.5</v>
      </c>
      <c r="BL1388" s="4">
        <v>50.45</v>
      </c>
      <c r="BM1388" s="4">
        <v>7.57</v>
      </c>
      <c r="BN1388" s="4">
        <v>58.02</v>
      </c>
      <c r="BO1388" s="4">
        <v>58.02</v>
      </c>
      <c r="BQ1388" t="s">
        <v>121</v>
      </c>
      <c r="BR1388" t="s">
        <v>84</v>
      </c>
      <c r="BS1388" s="3">
        <v>43783</v>
      </c>
      <c r="BT1388" s="5">
        <v>0.41597222222222219</v>
      </c>
      <c r="BU1388" t="s">
        <v>599</v>
      </c>
      <c r="BV1388" t="s">
        <v>86</v>
      </c>
      <c r="BY1388">
        <v>3710.25</v>
      </c>
      <c r="CA1388" t="s">
        <v>224</v>
      </c>
      <c r="CC1388" t="s">
        <v>177</v>
      </c>
      <c r="CD1388">
        <v>3610</v>
      </c>
      <c r="CE1388" t="s">
        <v>88</v>
      </c>
      <c r="CF1388" s="3">
        <v>43784</v>
      </c>
      <c r="CI1388">
        <v>1</v>
      </c>
      <c r="CJ1388">
        <v>1</v>
      </c>
      <c r="CK1388">
        <v>21</v>
      </c>
      <c r="CL1388" t="s">
        <v>89</v>
      </c>
    </row>
    <row r="1389" spans="1:90">
      <c r="A1389" t="s">
        <v>72</v>
      </c>
      <c r="B1389" t="s">
        <v>73</v>
      </c>
      <c r="C1389" t="s">
        <v>74</v>
      </c>
      <c r="E1389" t="str">
        <f>"FES1162722944"</f>
        <v>FES1162722944</v>
      </c>
      <c r="F1389" s="3">
        <v>43782</v>
      </c>
      <c r="G1389">
        <v>202005</v>
      </c>
      <c r="H1389" t="s">
        <v>75</v>
      </c>
      <c r="I1389" t="s">
        <v>76</v>
      </c>
      <c r="J1389" t="s">
        <v>77</v>
      </c>
      <c r="K1389" t="s">
        <v>78</v>
      </c>
      <c r="L1389" t="s">
        <v>101</v>
      </c>
      <c r="M1389" t="s">
        <v>102</v>
      </c>
      <c r="N1389" t="s">
        <v>867</v>
      </c>
      <c r="O1389" t="s">
        <v>82</v>
      </c>
      <c r="P1389" t="str">
        <f>"2170717042                    "</f>
        <v xml:space="preserve">2170717042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10.73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2.2000000000000002</v>
      </c>
      <c r="BJ1389">
        <v>0.8</v>
      </c>
      <c r="BK1389">
        <v>2.5</v>
      </c>
      <c r="BL1389" s="4">
        <v>63.06</v>
      </c>
      <c r="BM1389" s="4">
        <v>9.4600000000000009</v>
      </c>
      <c r="BN1389" s="4">
        <v>72.52</v>
      </c>
      <c r="BO1389" s="4">
        <v>72.52</v>
      </c>
      <c r="BR1389" t="s">
        <v>84</v>
      </c>
      <c r="BS1389" s="3">
        <v>43783</v>
      </c>
      <c r="BT1389" s="5">
        <v>0.3611111111111111</v>
      </c>
      <c r="BU1389" t="s">
        <v>1599</v>
      </c>
      <c r="BV1389" t="s">
        <v>86</v>
      </c>
      <c r="BY1389">
        <v>3949.44</v>
      </c>
      <c r="CA1389" t="s">
        <v>343</v>
      </c>
      <c r="CC1389" t="s">
        <v>102</v>
      </c>
      <c r="CD1389">
        <v>1</v>
      </c>
      <c r="CE1389" t="s">
        <v>88</v>
      </c>
      <c r="CF1389" s="3">
        <v>43784</v>
      </c>
      <c r="CI1389">
        <v>1</v>
      </c>
      <c r="CJ1389">
        <v>1</v>
      </c>
      <c r="CK1389">
        <v>21</v>
      </c>
      <c r="CL1389" t="s">
        <v>89</v>
      </c>
    </row>
    <row r="1390" spans="1:90">
      <c r="A1390" t="s">
        <v>72</v>
      </c>
      <c r="B1390" t="s">
        <v>73</v>
      </c>
      <c r="C1390" t="s">
        <v>74</v>
      </c>
      <c r="E1390" t="str">
        <f>"FES1162722905"</f>
        <v>FES1162722905</v>
      </c>
      <c r="F1390" s="3">
        <v>43782</v>
      </c>
      <c r="G1390">
        <v>202005</v>
      </c>
      <c r="H1390" t="s">
        <v>75</v>
      </c>
      <c r="I1390" t="s">
        <v>76</v>
      </c>
      <c r="J1390" t="s">
        <v>77</v>
      </c>
      <c r="K1390" t="s">
        <v>78</v>
      </c>
      <c r="L1390" t="s">
        <v>118</v>
      </c>
      <c r="M1390" t="s">
        <v>119</v>
      </c>
      <c r="N1390" t="s">
        <v>120</v>
      </c>
      <c r="O1390" t="s">
        <v>82</v>
      </c>
      <c r="P1390" t="str">
        <f>"2170716995                    "</f>
        <v xml:space="preserve">2170716995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53.61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10.9</v>
      </c>
      <c r="BJ1390">
        <v>12.4</v>
      </c>
      <c r="BK1390">
        <v>12.5</v>
      </c>
      <c r="BL1390" s="4">
        <v>315.14</v>
      </c>
      <c r="BM1390" s="4">
        <v>47.27</v>
      </c>
      <c r="BN1390" s="4">
        <v>362.41</v>
      </c>
      <c r="BO1390" s="4">
        <v>362.41</v>
      </c>
      <c r="BQ1390" t="s">
        <v>121</v>
      </c>
      <c r="BR1390" t="s">
        <v>84</v>
      </c>
      <c r="BS1390" s="3">
        <v>43783</v>
      </c>
      <c r="BT1390" s="5">
        <v>0.37708333333333338</v>
      </c>
      <c r="BU1390" t="s">
        <v>1743</v>
      </c>
      <c r="BV1390" t="s">
        <v>86</v>
      </c>
      <c r="BY1390">
        <v>62094.34</v>
      </c>
      <c r="CA1390" t="s">
        <v>250</v>
      </c>
      <c r="CC1390" t="s">
        <v>119</v>
      </c>
      <c r="CD1390">
        <v>3201</v>
      </c>
      <c r="CE1390" t="s">
        <v>88</v>
      </c>
      <c r="CF1390" s="3">
        <v>43784</v>
      </c>
      <c r="CI1390">
        <v>1</v>
      </c>
      <c r="CJ1390">
        <v>1</v>
      </c>
      <c r="CK1390">
        <v>21</v>
      </c>
      <c r="CL1390" t="s">
        <v>89</v>
      </c>
    </row>
    <row r="1391" spans="1:90">
      <c r="A1391" t="s">
        <v>72</v>
      </c>
      <c r="B1391" t="s">
        <v>73</v>
      </c>
      <c r="C1391" t="s">
        <v>74</v>
      </c>
      <c r="E1391" t="str">
        <f>"FES1162723000"</f>
        <v>FES1162723000</v>
      </c>
      <c r="F1391" s="3">
        <v>43782</v>
      </c>
      <c r="G1391">
        <v>202005</v>
      </c>
      <c r="H1391" t="s">
        <v>75</v>
      </c>
      <c r="I1391" t="s">
        <v>76</v>
      </c>
      <c r="J1391" t="s">
        <v>77</v>
      </c>
      <c r="K1391" t="s">
        <v>78</v>
      </c>
      <c r="L1391" t="s">
        <v>90</v>
      </c>
      <c r="M1391" t="s">
        <v>91</v>
      </c>
      <c r="N1391" t="s">
        <v>1481</v>
      </c>
      <c r="O1391" t="s">
        <v>82</v>
      </c>
      <c r="P1391" t="str">
        <f>"2170716653                    "</f>
        <v xml:space="preserve">2170716653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8.58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 s="4">
        <v>50.45</v>
      </c>
      <c r="BM1391" s="4">
        <v>7.57</v>
      </c>
      <c r="BN1391" s="4">
        <v>58.02</v>
      </c>
      <c r="BO1391" s="4">
        <v>58.02</v>
      </c>
      <c r="BQ1391" t="s">
        <v>246</v>
      </c>
      <c r="BR1391" t="s">
        <v>84</v>
      </c>
      <c r="BS1391" s="3">
        <v>43783</v>
      </c>
      <c r="BT1391" s="5">
        <v>0.35138888888888892</v>
      </c>
      <c r="BU1391" t="s">
        <v>1901</v>
      </c>
      <c r="BV1391" t="s">
        <v>86</v>
      </c>
      <c r="BY1391">
        <v>1200</v>
      </c>
      <c r="CA1391" t="s">
        <v>1902</v>
      </c>
      <c r="CC1391" t="s">
        <v>91</v>
      </c>
      <c r="CD1391">
        <v>7441</v>
      </c>
      <c r="CE1391" t="s">
        <v>147</v>
      </c>
      <c r="CF1391" s="3">
        <v>43784</v>
      </c>
      <c r="CI1391">
        <v>1</v>
      </c>
      <c r="CJ1391">
        <v>1</v>
      </c>
      <c r="CK1391">
        <v>21</v>
      </c>
      <c r="CL1391" t="s">
        <v>89</v>
      </c>
    </row>
    <row r="1392" spans="1:90">
      <c r="A1392" t="s">
        <v>72</v>
      </c>
      <c r="B1392" t="s">
        <v>73</v>
      </c>
      <c r="C1392" t="s">
        <v>74</v>
      </c>
      <c r="E1392" t="str">
        <f>"FES1162722882"</f>
        <v>FES1162722882</v>
      </c>
      <c r="F1392" s="3">
        <v>43782</v>
      </c>
      <c r="G1392">
        <v>202005</v>
      </c>
      <c r="H1392" t="s">
        <v>75</v>
      </c>
      <c r="I1392" t="s">
        <v>76</v>
      </c>
      <c r="J1392" t="s">
        <v>77</v>
      </c>
      <c r="K1392" t="s">
        <v>78</v>
      </c>
      <c r="L1392" t="s">
        <v>124</v>
      </c>
      <c r="M1392" t="s">
        <v>125</v>
      </c>
      <c r="N1392" t="s">
        <v>487</v>
      </c>
      <c r="O1392" t="s">
        <v>82</v>
      </c>
      <c r="P1392" t="str">
        <f>"2170710480                    "</f>
        <v xml:space="preserve">2170710480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7.51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2.1</v>
      </c>
      <c r="BJ1392">
        <v>2.4</v>
      </c>
      <c r="BK1392">
        <v>2.5</v>
      </c>
      <c r="BL1392" s="4">
        <v>44.14</v>
      </c>
      <c r="BM1392" s="4">
        <v>6.62</v>
      </c>
      <c r="BN1392" s="4">
        <v>50.76</v>
      </c>
      <c r="BO1392" s="4">
        <v>50.76</v>
      </c>
      <c r="BQ1392" t="s">
        <v>121</v>
      </c>
      <c r="BR1392" t="s">
        <v>84</v>
      </c>
      <c r="BS1392" s="3">
        <v>43783</v>
      </c>
      <c r="BT1392" s="5">
        <v>0.30208333333333331</v>
      </c>
      <c r="BU1392" t="s">
        <v>1903</v>
      </c>
      <c r="BV1392" t="s">
        <v>86</v>
      </c>
      <c r="BY1392">
        <v>11959.63</v>
      </c>
      <c r="CA1392" t="s">
        <v>837</v>
      </c>
      <c r="CC1392" t="s">
        <v>125</v>
      </c>
      <c r="CD1392">
        <v>2094</v>
      </c>
      <c r="CE1392" t="s">
        <v>88</v>
      </c>
      <c r="CF1392" s="3">
        <v>43784</v>
      </c>
      <c r="CI1392">
        <v>1</v>
      </c>
      <c r="CJ1392">
        <v>1</v>
      </c>
      <c r="CK1392">
        <v>22</v>
      </c>
      <c r="CL1392" t="s">
        <v>89</v>
      </c>
    </row>
    <row r="1393" spans="1:90">
      <c r="A1393" t="s">
        <v>72</v>
      </c>
      <c r="B1393" t="s">
        <v>73</v>
      </c>
      <c r="C1393" t="s">
        <v>74</v>
      </c>
      <c r="E1393" t="str">
        <f>"FES1162722893"</f>
        <v>FES1162722893</v>
      </c>
      <c r="F1393" s="3">
        <v>43782</v>
      </c>
      <c r="G1393">
        <v>202005</v>
      </c>
      <c r="H1393" t="s">
        <v>75</v>
      </c>
      <c r="I1393" t="s">
        <v>76</v>
      </c>
      <c r="J1393" t="s">
        <v>77</v>
      </c>
      <c r="K1393" t="s">
        <v>78</v>
      </c>
      <c r="L1393" t="s">
        <v>344</v>
      </c>
      <c r="M1393" t="s">
        <v>345</v>
      </c>
      <c r="N1393" t="s">
        <v>1143</v>
      </c>
      <c r="O1393" t="s">
        <v>82</v>
      </c>
      <c r="P1393" t="str">
        <f>"2170716979                    "</f>
        <v xml:space="preserve">2170716979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9.1199999999999992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3.5</v>
      </c>
      <c r="BJ1393">
        <v>1.1000000000000001</v>
      </c>
      <c r="BK1393">
        <v>3.5</v>
      </c>
      <c r="BL1393" s="4">
        <v>53.59</v>
      </c>
      <c r="BM1393" s="4">
        <v>8.0399999999999991</v>
      </c>
      <c r="BN1393" s="4">
        <v>61.63</v>
      </c>
      <c r="BO1393" s="4">
        <v>61.63</v>
      </c>
      <c r="BR1393" t="s">
        <v>84</v>
      </c>
      <c r="BS1393" s="3">
        <v>43783</v>
      </c>
      <c r="BT1393" s="5">
        <v>0.3659722222222222</v>
      </c>
      <c r="BU1393" t="s">
        <v>1904</v>
      </c>
      <c r="BV1393" t="s">
        <v>86</v>
      </c>
      <c r="BY1393">
        <v>5359.22</v>
      </c>
      <c r="CA1393" t="s">
        <v>348</v>
      </c>
      <c r="CC1393" t="s">
        <v>345</v>
      </c>
      <c r="CD1393">
        <v>2163</v>
      </c>
      <c r="CE1393" t="s">
        <v>1598</v>
      </c>
      <c r="CF1393" s="3">
        <v>43784</v>
      </c>
      <c r="CI1393">
        <v>1</v>
      </c>
      <c r="CJ1393">
        <v>1</v>
      </c>
      <c r="CK1393">
        <v>22</v>
      </c>
      <c r="CL1393" t="s">
        <v>89</v>
      </c>
    </row>
    <row r="1394" spans="1:90">
      <c r="A1394" t="s">
        <v>72</v>
      </c>
      <c r="B1394" t="s">
        <v>73</v>
      </c>
      <c r="C1394" t="s">
        <v>74</v>
      </c>
      <c r="E1394" t="str">
        <f>"FES1162722884"</f>
        <v>FES1162722884</v>
      </c>
      <c r="F1394" s="3">
        <v>43782</v>
      </c>
      <c r="G1394">
        <v>202005</v>
      </c>
      <c r="H1394" t="s">
        <v>75</v>
      </c>
      <c r="I1394" t="s">
        <v>76</v>
      </c>
      <c r="J1394" t="s">
        <v>77</v>
      </c>
      <c r="K1394" t="s">
        <v>78</v>
      </c>
      <c r="L1394" t="s">
        <v>124</v>
      </c>
      <c r="M1394" t="s">
        <v>125</v>
      </c>
      <c r="N1394" t="s">
        <v>1905</v>
      </c>
      <c r="O1394" t="s">
        <v>82</v>
      </c>
      <c r="P1394" t="str">
        <f>"2170712601                    "</f>
        <v xml:space="preserve">2170712601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6.71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0.6</v>
      </c>
      <c r="BJ1394">
        <v>0.9</v>
      </c>
      <c r="BK1394">
        <v>1</v>
      </c>
      <c r="BL1394" s="4">
        <v>39.42</v>
      </c>
      <c r="BM1394" s="4">
        <v>5.91</v>
      </c>
      <c r="BN1394" s="4">
        <v>45.33</v>
      </c>
      <c r="BO1394" s="4">
        <v>45.33</v>
      </c>
      <c r="BQ1394" t="s">
        <v>142</v>
      </c>
      <c r="BR1394" t="s">
        <v>84</v>
      </c>
      <c r="BS1394" s="3">
        <v>43783</v>
      </c>
      <c r="BT1394" s="5">
        <v>0.41666666666666669</v>
      </c>
      <c r="BU1394" t="s">
        <v>1906</v>
      </c>
      <c r="BV1394" t="s">
        <v>86</v>
      </c>
      <c r="BY1394">
        <v>4636.01</v>
      </c>
      <c r="CA1394" t="s">
        <v>1907</v>
      </c>
      <c r="CC1394" t="s">
        <v>125</v>
      </c>
      <c r="CD1394">
        <v>2001</v>
      </c>
      <c r="CE1394" t="s">
        <v>88</v>
      </c>
      <c r="CF1394" s="3">
        <v>43784</v>
      </c>
      <c r="CI1394">
        <v>1</v>
      </c>
      <c r="CJ1394">
        <v>1</v>
      </c>
      <c r="CK1394">
        <v>22</v>
      </c>
      <c r="CL1394" t="s">
        <v>89</v>
      </c>
    </row>
    <row r="1395" spans="1:90">
      <c r="A1395" t="s">
        <v>72</v>
      </c>
      <c r="B1395" t="s">
        <v>73</v>
      </c>
      <c r="C1395" t="s">
        <v>74</v>
      </c>
      <c r="E1395" t="str">
        <f>"FES1162722969"</f>
        <v>FES1162722969</v>
      </c>
      <c r="F1395" s="3">
        <v>43782</v>
      </c>
      <c r="G1395">
        <v>202005</v>
      </c>
      <c r="H1395" t="s">
        <v>75</v>
      </c>
      <c r="I1395" t="s">
        <v>76</v>
      </c>
      <c r="J1395" t="s">
        <v>77</v>
      </c>
      <c r="K1395" t="s">
        <v>78</v>
      </c>
      <c r="L1395" t="s">
        <v>112</v>
      </c>
      <c r="M1395" t="s">
        <v>113</v>
      </c>
      <c r="N1395" t="s">
        <v>160</v>
      </c>
      <c r="O1395" t="s">
        <v>82</v>
      </c>
      <c r="P1395" t="str">
        <f>"2170717065                    "</f>
        <v xml:space="preserve">2170717065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15.02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3.4</v>
      </c>
      <c r="BJ1395">
        <v>1.3</v>
      </c>
      <c r="BK1395">
        <v>3.5</v>
      </c>
      <c r="BL1395" s="4">
        <v>88.27</v>
      </c>
      <c r="BM1395" s="4">
        <v>13.24</v>
      </c>
      <c r="BN1395" s="4">
        <v>101.51</v>
      </c>
      <c r="BO1395" s="4">
        <v>101.51</v>
      </c>
      <c r="BQ1395" t="s">
        <v>161</v>
      </c>
      <c r="BR1395" t="s">
        <v>84</v>
      </c>
      <c r="BS1395" s="3">
        <v>43783</v>
      </c>
      <c r="BT1395" s="5">
        <v>0.35833333333333334</v>
      </c>
      <c r="BU1395" t="s">
        <v>162</v>
      </c>
      <c r="BV1395" t="s">
        <v>86</v>
      </c>
      <c r="BY1395">
        <v>6599.23</v>
      </c>
      <c r="CA1395" t="s">
        <v>163</v>
      </c>
      <c r="CC1395" t="s">
        <v>113</v>
      </c>
      <c r="CD1395">
        <v>4000</v>
      </c>
      <c r="CE1395" t="s">
        <v>88</v>
      </c>
      <c r="CF1395" s="3">
        <v>43784</v>
      </c>
      <c r="CI1395">
        <v>1</v>
      </c>
      <c r="CJ1395">
        <v>1</v>
      </c>
      <c r="CK1395">
        <v>21</v>
      </c>
      <c r="CL1395" t="s">
        <v>89</v>
      </c>
    </row>
    <row r="1396" spans="1:90">
      <c r="A1396" t="s">
        <v>72</v>
      </c>
      <c r="B1396" t="s">
        <v>73</v>
      </c>
      <c r="C1396" t="s">
        <v>74</v>
      </c>
      <c r="E1396" t="str">
        <f>"FES1162722841"</f>
        <v>FES1162722841</v>
      </c>
      <c r="F1396" s="3">
        <v>43782</v>
      </c>
      <c r="G1396">
        <v>202005</v>
      </c>
      <c r="H1396" t="s">
        <v>75</v>
      </c>
      <c r="I1396" t="s">
        <v>76</v>
      </c>
      <c r="J1396" t="s">
        <v>77</v>
      </c>
      <c r="K1396" t="s">
        <v>78</v>
      </c>
      <c r="L1396" t="s">
        <v>124</v>
      </c>
      <c r="M1396" t="s">
        <v>125</v>
      </c>
      <c r="N1396" t="s">
        <v>218</v>
      </c>
      <c r="O1396" t="s">
        <v>82</v>
      </c>
      <c r="P1396" t="str">
        <f>"2170716934                    "</f>
        <v xml:space="preserve">2170716934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8.31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2.2999999999999998</v>
      </c>
      <c r="BJ1396">
        <v>2.9</v>
      </c>
      <c r="BK1396">
        <v>3</v>
      </c>
      <c r="BL1396" s="4">
        <v>48.86</v>
      </c>
      <c r="BM1396" s="4">
        <v>7.33</v>
      </c>
      <c r="BN1396" s="4">
        <v>56.19</v>
      </c>
      <c r="BO1396" s="4">
        <v>56.19</v>
      </c>
      <c r="BQ1396" t="s">
        <v>121</v>
      </c>
      <c r="BR1396" t="s">
        <v>84</v>
      </c>
      <c r="BS1396" s="3">
        <v>43783</v>
      </c>
      <c r="BT1396" s="5">
        <v>0.41111111111111115</v>
      </c>
      <c r="BU1396" t="s">
        <v>1908</v>
      </c>
      <c r="BV1396" t="s">
        <v>86</v>
      </c>
      <c r="BY1396">
        <v>14358.44</v>
      </c>
      <c r="CA1396" t="s">
        <v>837</v>
      </c>
      <c r="CC1396" t="s">
        <v>125</v>
      </c>
      <c r="CD1396">
        <v>2094</v>
      </c>
      <c r="CE1396" t="s">
        <v>88</v>
      </c>
      <c r="CF1396" s="3">
        <v>43784</v>
      </c>
      <c r="CI1396">
        <v>1</v>
      </c>
      <c r="CJ1396">
        <v>1</v>
      </c>
      <c r="CK1396">
        <v>22</v>
      </c>
      <c r="CL1396" t="s">
        <v>89</v>
      </c>
    </row>
    <row r="1397" spans="1:90">
      <c r="A1397" t="s">
        <v>72</v>
      </c>
      <c r="B1397" t="s">
        <v>73</v>
      </c>
      <c r="C1397" t="s">
        <v>74</v>
      </c>
      <c r="E1397" t="str">
        <f>"FES1162722775"</f>
        <v>FES1162722775</v>
      </c>
      <c r="F1397" s="3">
        <v>43782</v>
      </c>
      <c r="G1397">
        <v>202005</v>
      </c>
      <c r="H1397" t="s">
        <v>75</v>
      </c>
      <c r="I1397" t="s">
        <v>76</v>
      </c>
      <c r="J1397" t="s">
        <v>77</v>
      </c>
      <c r="K1397" t="s">
        <v>78</v>
      </c>
      <c r="L1397" t="s">
        <v>106</v>
      </c>
      <c r="M1397" t="s">
        <v>107</v>
      </c>
      <c r="N1397" t="s">
        <v>842</v>
      </c>
      <c r="O1397" t="s">
        <v>82</v>
      </c>
      <c r="P1397" t="str">
        <f>"2170716591                    "</f>
        <v xml:space="preserve">2170716591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8.58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 s="4">
        <v>50.45</v>
      </c>
      <c r="BM1397" s="4">
        <v>7.57</v>
      </c>
      <c r="BN1397" s="4">
        <v>58.02</v>
      </c>
      <c r="BO1397" s="4">
        <v>58.02</v>
      </c>
      <c r="BQ1397" t="s">
        <v>1615</v>
      </c>
      <c r="BR1397" t="s">
        <v>84</v>
      </c>
      <c r="BS1397" s="3">
        <v>43783</v>
      </c>
      <c r="BT1397" s="5">
        <v>0.3833333333333333</v>
      </c>
      <c r="BU1397" t="s">
        <v>638</v>
      </c>
      <c r="BV1397" t="s">
        <v>86</v>
      </c>
      <c r="BY1397">
        <v>1200</v>
      </c>
      <c r="CA1397" t="s">
        <v>111</v>
      </c>
      <c r="CC1397" t="s">
        <v>107</v>
      </c>
      <c r="CD1397">
        <v>6001</v>
      </c>
      <c r="CE1397" t="s">
        <v>147</v>
      </c>
      <c r="CF1397" s="3">
        <v>43784</v>
      </c>
      <c r="CI1397">
        <v>1</v>
      </c>
      <c r="CJ1397">
        <v>1</v>
      </c>
      <c r="CK1397">
        <v>21</v>
      </c>
      <c r="CL1397" t="s">
        <v>89</v>
      </c>
    </row>
    <row r="1398" spans="1:90">
      <c r="A1398" t="s">
        <v>72</v>
      </c>
      <c r="B1398" t="s">
        <v>73</v>
      </c>
      <c r="C1398" t="s">
        <v>74</v>
      </c>
      <c r="E1398" t="str">
        <f>"FES1162722846"</f>
        <v>FES1162722846</v>
      </c>
      <c r="F1398" s="3">
        <v>43782</v>
      </c>
      <c r="G1398">
        <v>202005</v>
      </c>
      <c r="H1398" t="s">
        <v>75</v>
      </c>
      <c r="I1398" t="s">
        <v>76</v>
      </c>
      <c r="J1398" t="s">
        <v>77</v>
      </c>
      <c r="K1398" t="s">
        <v>78</v>
      </c>
      <c r="L1398" t="s">
        <v>133</v>
      </c>
      <c r="M1398" t="s">
        <v>134</v>
      </c>
      <c r="N1398" t="s">
        <v>696</v>
      </c>
      <c r="O1398" t="s">
        <v>82</v>
      </c>
      <c r="P1398" t="str">
        <f>"2170716939                    "</f>
        <v xml:space="preserve">2170716939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8.58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 s="4">
        <v>50.45</v>
      </c>
      <c r="BM1398" s="4">
        <v>7.57</v>
      </c>
      <c r="BN1398" s="4">
        <v>58.02</v>
      </c>
      <c r="BO1398" s="4">
        <v>58.02</v>
      </c>
      <c r="BQ1398" t="s">
        <v>121</v>
      </c>
      <c r="BR1398" t="s">
        <v>84</v>
      </c>
      <c r="BS1398" s="3">
        <v>43783</v>
      </c>
      <c r="BT1398" s="5">
        <v>0.35347222222222219</v>
      </c>
      <c r="BU1398" t="s">
        <v>1909</v>
      </c>
      <c r="BV1398" t="s">
        <v>86</v>
      </c>
      <c r="BY1398">
        <v>1200</v>
      </c>
      <c r="CA1398" t="s">
        <v>1910</v>
      </c>
      <c r="CC1398" t="s">
        <v>134</v>
      </c>
      <c r="CD1398">
        <v>5201</v>
      </c>
      <c r="CE1398" t="s">
        <v>147</v>
      </c>
      <c r="CF1398" s="3">
        <v>43784</v>
      </c>
      <c r="CI1398">
        <v>1</v>
      </c>
      <c r="CJ1398">
        <v>1</v>
      </c>
      <c r="CK1398">
        <v>21</v>
      </c>
      <c r="CL1398" t="s">
        <v>89</v>
      </c>
    </row>
    <row r="1399" spans="1:90">
      <c r="A1399" t="s">
        <v>72</v>
      </c>
      <c r="B1399" t="s">
        <v>73</v>
      </c>
      <c r="C1399" t="s">
        <v>74</v>
      </c>
      <c r="E1399" t="str">
        <f>"FES1162722712"</f>
        <v>FES1162722712</v>
      </c>
      <c r="F1399" s="3">
        <v>43782</v>
      </c>
      <c r="G1399">
        <v>202005</v>
      </c>
      <c r="H1399" t="s">
        <v>75</v>
      </c>
      <c r="I1399" t="s">
        <v>76</v>
      </c>
      <c r="J1399" t="s">
        <v>77</v>
      </c>
      <c r="K1399" t="s">
        <v>78</v>
      </c>
      <c r="L1399" t="s">
        <v>349</v>
      </c>
      <c r="M1399" t="s">
        <v>350</v>
      </c>
      <c r="N1399" t="s">
        <v>351</v>
      </c>
      <c r="O1399" t="s">
        <v>82</v>
      </c>
      <c r="P1399" t="str">
        <f>"2170714443                    "</f>
        <v xml:space="preserve">2170714443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8.58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 s="4">
        <v>50.45</v>
      </c>
      <c r="BM1399" s="4">
        <v>7.57</v>
      </c>
      <c r="BN1399" s="4">
        <v>58.02</v>
      </c>
      <c r="BO1399" s="4">
        <v>58.02</v>
      </c>
      <c r="BQ1399" t="s">
        <v>109</v>
      </c>
      <c r="BR1399" t="s">
        <v>84</v>
      </c>
      <c r="BS1399" s="3">
        <v>43783</v>
      </c>
      <c r="BT1399" s="5">
        <v>0.40833333333333338</v>
      </c>
      <c r="BU1399" t="s">
        <v>352</v>
      </c>
      <c r="BV1399" t="s">
        <v>86</v>
      </c>
      <c r="BY1399">
        <v>1200</v>
      </c>
      <c r="CC1399" t="s">
        <v>350</v>
      </c>
      <c r="CD1399">
        <v>6536</v>
      </c>
      <c r="CE1399" t="s">
        <v>147</v>
      </c>
      <c r="CF1399" s="3">
        <v>43787</v>
      </c>
      <c r="CI1399">
        <v>1</v>
      </c>
      <c r="CJ1399">
        <v>1</v>
      </c>
      <c r="CK1399">
        <v>21</v>
      </c>
      <c r="CL1399" t="s">
        <v>89</v>
      </c>
    </row>
    <row r="1400" spans="1:90">
      <c r="A1400" t="s">
        <v>72</v>
      </c>
      <c r="B1400" t="s">
        <v>73</v>
      </c>
      <c r="C1400" t="s">
        <v>74</v>
      </c>
      <c r="E1400" t="str">
        <f>"FES1162722842"</f>
        <v>FES1162722842</v>
      </c>
      <c r="F1400" s="3">
        <v>43782</v>
      </c>
      <c r="G1400">
        <v>202005</v>
      </c>
      <c r="H1400" t="s">
        <v>75</v>
      </c>
      <c r="I1400" t="s">
        <v>76</v>
      </c>
      <c r="J1400" t="s">
        <v>77</v>
      </c>
      <c r="K1400" t="s">
        <v>78</v>
      </c>
      <c r="L1400" t="s">
        <v>106</v>
      </c>
      <c r="M1400" t="s">
        <v>107</v>
      </c>
      <c r="N1400" t="s">
        <v>771</v>
      </c>
      <c r="O1400" t="s">
        <v>82</v>
      </c>
      <c r="P1400" t="str">
        <f>"21707166935                   "</f>
        <v xml:space="preserve">21707166935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8.58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 s="4">
        <v>50.45</v>
      </c>
      <c r="BM1400" s="4">
        <v>7.57</v>
      </c>
      <c r="BN1400" s="4">
        <v>58.02</v>
      </c>
      <c r="BO1400" s="4">
        <v>58.02</v>
      </c>
      <c r="BQ1400" t="s">
        <v>109</v>
      </c>
      <c r="BR1400" t="s">
        <v>84</v>
      </c>
      <c r="BS1400" s="3">
        <v>43783</v>
      </c>
      <c r="BT1400" s="5">
        <v>0.39374999999999999</v>
      </c>
      <c r="BU1400" t="s">
        <v>1911</v>
      </c>
      <c r="BV1400" t="s">
        <v>86</v>
      </c>
      <c r="BY1400">
        <v>1200</v>
      </c>
      <c r="CA1400" t="s">
        <v>773</v>
      </c>
      <c r="CC1400" t="s">
        <v>107</v>
      </c>
      <c r="CD1400">
        <v>6012</v>
      </c>
      <c r="CE1400" t="s">
        <v>147</v>
      </c>
      <c r="CF1400" s="3">
        <v>43784</v>
      </c>
      <c r="CI1400">
        <v>1</v>
      </c>
      <c r="CJ1400">
        <v>1</v>
      </c>
      <c r="CK1400">
        <v>21</v>
      </c>
      <c r="CL1400" t="s">
        <v>89</v>
      </c>
    </row>
    <row r="1401" spans="1:90">
      <c r="A1401" t="s">
        <v>72</v>
      </c>
      <c r="B1401" t="s">
        <v>73</v>
      </c>
      <c r="C1401" t="s">
        <v>74</v>
      </c>
      <c r="E1401" t="str">
        <f>"FES1162722817"</f>
        <v>FES1162722817</v>
      </c>
      <c r="F1401" s="3">
        <v>43782</v>
      </c>
      <c r="G1401">
        <v>202005</v>
      </c>
      <c r="H1401" t="s">
        <v>75</v>
      </c>
      <c r="I1401" t="s">
        <v>76</v>
      </c>
      <c r="J1401" t="s">
        <v>77</v>
      </c>
      <c r="K1401" t="s">
        <v>78</v>
      </c>
      <c r="L1401" t="s">
        <v>118</v>
      </c>
      <c r="M1401" t="s">
        <v>119</v>
      </c>
      <c r="N1401" t="s">
        <v>775</v>
      </c>
      <c r="O1401" t="s">
        <v>82</v>
      </c>
      <c r="P1401" t="str">
        <f>"2170714602                    "</f>
        <v xml:space="preserve">2170714602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8.58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 s="4">
        <v>50.45</v>
      </c>
      <c r="BM1401" s="4">
        <v>7.57</v>
      </c>
      <c r="BN1401" s="4">
        <v>58.02</v>
      </c>
      <c r="BO1401" s="4">
        <v>58.02</v>
      </c>
      <c r="BQ1401" t="s">
        <v>142</v>
      </c>
      <c r="BR1401" t="s">
        <v>84</v>
      </c>
      <c r="BS1401" s="3">
        <v>43783</v>
      </c>
      <c r="BT1401" s="5">
        <v>0.41736111111111113</v>
      </c>
      <c r="BU1401" t="s">
        <v>1739</v>
      </c>
      <c r="BV1401" t="s">
        <v>86</v>
      </c>
      <c r="BY1401">
        <v>1200</v>
      </c>
      <c r="CA1401" t="s">
        <v>171</v>
      </c>
      <c r="CC1401" t="s">
        <v>119</v>
      </c>
      <c r="CD1401">
        <v>3201</v>
      </c>
      <c r="CE1401" t="s">
        <v>147</v>
      </c>
      <c r="CF1401" s="3">
        <v>43784</v>
      </c>
      <c r="CI1401">
        <v>1</v>
      </c>
      <c r="CJ1401">
        <v>1</v>
      </c>
      <c r="CK1401">
        <v>21</v>
      </c>
      <c r="CL1401" t="s">
        <v>89</v>
      </c>
    </row>
    <row r="1402" spans="1:90">
      <c r="A1402" t="s">
        <v>72</v>
      </c>
      <c r="B1402" t="s">
        <v>73</v>
      </c>
      <c r="C1402" t="s">
        <v>74</v>
      </c>
      <c r="E1402" t="str">
        <f>"FES1162722667"</f>
        <v>FES1162722667</v>
      </c>
      <c r="F1402" s="3">
        <v>43782</v>
      </c>
      <c r="G1402">
        <v>202005</v>
      </c>
      <c r="H1402" t="s">
        <v>75</v>
      </c>
      <c r="I1402" t="s">
        <v>76</v>
      </c>
      <c r="J1402" t="s">
        <v>77</v>
      </c>
      <c r="K1402" t="s">
        <v>78</v>
      </c>
      <c r="L1402" t="s">
        <v>79</v>
      </c>
      <c r="M1402" t="s">
        <v>80</v>
      </c>
      <c r="N1402" t="s">
        <v>511</v>
      </c>
      <c r="O1402" t="s">
        <v>82</v>
      </c>
      <c r="P1402" t="str">
        <f>"2170713856                    "</f>
        <v xml:space="preserve">2170713856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8.58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 s="4">
        <v>50.45</v>
      </c>
      <c r="BM1402" s="4">
        <v>7.57</v>
      </c>
      <c r="BN1402" s="4">
        <v>58.02</v>
      </c>
      <c r="BO1402" s="4">
        <v>58.02</v>
      </c>
      <c r="BQ1402" t="s">
        <v>109</v>
      </c>
      <c r="BR1402" t="s">
        <v>84</v>
      </c>
      <c r="BS1402" s="3">
        <v>43783</v>
      </c>
      <c r="BT1402" s="5">
        <v>0.33333333333333331</v>
      </c>
      <c r="BU1402" t="s">
        <v>512</v>
      </c>
      <c r="BV1402" t="s">
        <v>86</v>
      </c>
      <c r="BY1402">
        <v>1200</v>
      </c>
      <c r="CA1402" t="s">
        <v>87</v>
      </c>
      <c r="CC1402" t="s">
        <v>80</v>
      </c>
      <c r="CD1402">
        <v>6229</v>
      </c>
      <c r="CE1402" t="s">
        <v>147</v>
      </c>
      <c r="CF1402" s="3">
        <v>43784</v>
      </c>
      <c r="CI1402">
        <v>1</v>
      </c>
      <c r="CJ1402">
        <v>1</v>
      </c>
      <c r="CK1402">
        <v>21</v>
      </c>
      <c r="CL1402" t="s">
        <v>89</v>
      </c>
    </row>
    <row r="1403" spans="1:90">
      <c r="A1403" t="s">
        <v>72</v>
      </c>
      <c r="B1403" t="s">
        <v>73</v>
      </c>
      <c r="C1403" t="s">
        <v>74</v>
      </c>
      <c r="E1403" t="str">
        <f>"FES1162722713"</f>
        <v>FES1162722713</v>
      </c>
      <c r="F1403" s="3">
        <v>43782</v>
      </c>
      <c r="G1403">
        <v>202005</v>
      </c>
      <c r="H1403" t="s">
        <v>75</v>
      </c>
      <c r="I1403" t="s">
        <v>76</v>
      </c>
      <c r="J1403" t="s">
        <v>77</v>
      </c>
      <c r="K1403" t="s">
        <v>78</v>
      </c>
      <c r="L1403" t="s">
        <v>1239</v>
      </c>
      <c r="M1403" t="s">
        <v>1240</v>
      </c>
      <c r="N1403" t="s">
        <v>1241</v>
      </c>
      <c r="O1403" t="s">
        <v>82</v>
      </c>
      <c r="P1403" t="str">
        <f>"2170714449                    "</f>
        <v xml:space="preserve">2170714449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16.63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 s="4">
        <v>97.75</v>
      </c>
      <c r="BM1403" s="4">
        <v>14.66</v>
      </c>
      <c r="BN1403" s="4">
        <v>112.41</v>
      </c>
      <c r="BO1403" s="4">
        <v>112.41</v>
      </c>
      <c r="BQ1403" t="s">
        <v>142</v>
      </c>
      <c r="BR1403" t="s">
        <v>84</v>
      </c>
      <c r="BS1403" t="s">
        <v>201</v>
      </c>
      <c r="BY1403">
        <v>1200</v>
      </c>
      <c r="CC1403" t="s">
        <v>1240</v>
      </c>
      <c r="CD1403">
        <v>6300</v>
      </c>
      <c r="CE1403" t="s">
        <v>147</v>
      </c>
      <c r="CF1403" s="3">
        <v>43788</v>
      </c>
      <c r="CI1403">
        <v>3</v>
      </c>
      <c r="CJ1403" t="s">
        <v>201</v>
      </c>
      <c r="CK1403">
        <v>23</v>
      </c>
      <c r="CL1403" t="s">
        <v>89</v>
      </c>
    </row>
    <row r="1404" spans="1:90">
      <c r="A1404" t="s">
        <v>72</v>
      </c>
      <c r="B1404" t="s">
        <v>73</v>
      </c>
      <c r="C1404" t="s">
        <v>74</v>
      </c>
      <c r="E1404" t="str">
        <f>"FES1162722808"</f>
        <v>FES1162722808</v>
      </c>
      <c r="F1404" s="3">
        <v>43782</v>
      </c>
      <c r="G1404">
        <v>202005</v>
      </c>
      <c r="H1404" t="s">
        <v>75</v>
      </c>
      <c r="I1404" t="s">
        <v>76</v>
      </c>
      <c r="J1404" t="s">
        <v>77</v>
      </c>
      <c r="K1404" t="s">
        <v>78</v>
      </c>
      <c r="L1404" t="s">
        <v>106</v>
      </c>
      <c r="M1404" t="s">
        <v>107</v>
      </c>
      <c r="N1404" t="s">
        <v>301</v>
      </c>
      <c r="O1404" t="s">
        <v>82</v>
      </c>
      <c r="P1404" t="str">
        <f>"2170714541                    "</f>
        <v xml:space="preserve">2170714541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8.58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 s="4">
        <v>50.45</v>
      </c>
      <c r="BM1404" s="4">
        <v>7.57</v>
      </c>
      <c r="BN1404" s="4">
        <v>58.02</v>
      </c>
      <c r="BO1404" s="4">
        <v>58.02</v>
      </c>
      <c r="BQ1404" t="s">
        <v>302</v>
      </c>
      <c r="BR1404" t="s">
        <v>84</v>
      </c>
      <c r="BS1404" s="3">
        <v>43783</v>
      </c>
      <c r="BT1404" s="5">
        <v>0.35833333333333334</v>
      </c>
      <c r="BU1404" t="s">
        <v>303</v>
      </c>
      <c r="BV1404" t="s">
        <v>86</v>
      </c>
      <c r="BY1404">
        <v>1200</v>
      </c>
      <c r="CA1404" t="s">
        <v>244</v>
      </c>
      <c r="CC1404" t="s">
        <v>107</v>
      </c>
      <c r="CD1404">
        <v>6001</v>
      </c>
      <c r="CE1404" t="s">
        <v>147</v>
      </c>
      <c r="CF1404" s="3">
        <v>43784</v>
      </c>
      <c r="CI1404">
        <v>1</v>
      </c>
      <c r="CJ1404">
        <v>1</v>
      </c>
      <c r="CK1404">
        <v>21</v>
      </c>
      <c r="CL1404" t="s">
        <v>89</v>
      </c>
    </row>
    <row r="1405" spans="1:90">
      <c r="A1405" t="s">
        <v>72</v>
      </c>
      <c r="B1405" t="s">
        <v>73</v>
      </c>
      <c r="C1405" t="s">
        <v>74</v>
      </c>
      <c r="E1405" t="str">
        <f>"FES1162722738"</f>
        <v>FES1162722738</v>
      </c>
      <c r="F1405" s="3">
        <v>43782</v>
      </c>
      <c r="G1405">
        <v>202005</v>
      </c>
      <c r="H1405" t="s">
        <v>75</v>
      </c>
      <c r="I1405" t="s">
        <v>76</v>
      </c>
      <c r="J1405" t="s">
        <v>77</v>
      </c>
      <c r="K1405" t="s">
        <v>78</v>
      </c>
      <c r="L1405" t="s">
        <v>106</v>
      </c>
      <c r="M1405" t="s">
        <v>107</v>
      </c>
      <c r="N1405" t="s">
        <v>108</v>
      </c>
      <c r="O1405" t="s">
        <v>82</v>
      </c>
      <c r="P1405" t="str">
        <f>"2170714723                    "</f>
        <v xml:space="preserve">2170714723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8.58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 s="4">
        <v>50.45</v>
      </c>
      <c r="BM1405" s="4">
        <v>7.57</v>
      </c>
      <c r="BN1405" s="4">
        <v>58.02</v>
      </c>
      <c r="BO1405" s="4">
        <v>58.02</v>
      </c>
      <c r="BQ1405" t="s">
        <v>109</v>
      </c>
      <c r="BR1405" t="s">
        <v>84</v>
      </c>
      <c r="BS1405" s="3">
        <v>43783</v>
      </c>
      <c r="BT1405" s="5">
        <v>0.35972222222222222</v>
      </c>
      <c r="BU1405" t="s">
        <v>1526</v>
      </c>
      <c r="BV1405" t="s">
        <v>86</v>
      </c>
      <c r="BY1405">
        <v>1200</v>
      </c>
      <c r="CA1405" t="s">
        <v>111</v>
      </c>
      <c r="CC1405" t="s">
        <v>107</v>
      </c>
      <c r="CD1405">
        <v>6001</v>
      </c>
      <c r="CE1405" t="s">
        <v>147</v>
      </c>
      <c r="CF1405" s="3">
        <v>43784</v>
      </c>
      <c r="CI1405">
        <v>1</v>
      </c>
      <c r="CJ1405">
        <v>1</v>
      </c>
      <c r="CK1405">
        <v>21</v>
      </c>
      <c r="CL1405" t="s">
        <v>89</v>
      </c>
    </row>
    <row r="1406" spans="1:90">
      <c r="A1406" t="s">
        <v>72</v>
      </c>
      <c r="B1406" t="s">
        <v>73</v>
      </c>
      <c r="C1406" t="s">
        <v>74</v>
      </c>
      <c r="E1406" t="str">
        <f>"FES1162722727"</f>
        <v>FES1162722727</v>
      </c>
      <c r="F1406" s="3">
        <v>43782</v>
      </c>
      <c r="G1406">
        <v>202005</v>
      </c>
      <c r="H1406" t="s">
        <v>75</v>
      </c>
      <c r="I1406" t="s">
        <v>76</v>
      </c>
      <c r="J1406" t="s">
        <v>77</v>
      </c>
      <c r="K1406" t="s">
        <v>78</v>
      </c>
      <c r="L1406" t="s">
        <v>106</v>
      </c>
      <c r="M1406" t="s">
        <v>107</v>
      </c>
      <c r="N1406" t="s">
        <v>301</v>
      </c>
      <c r="O1406" t="s">
        <v>82</v>
      </c>
      <c r="P1406" t="str">
        <f>"2170714541                    "</f>
        <v xml:space="preserve">2170714541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8.58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 s="4">
        <v>50.45</v>
      </c>
      <c r="BM1406" s="4">
        <v>7.57</v>
      </c>
      <c r="BN1406" s="4">
        <v>58.02</v>
      </c>
      <c r="BO1406" s="4">
        <v>58.02</v>
      </c>
      <c r="BQ1406" t="s">
        <v>302</v>
      </c>
      <c r="BR1406" t="s">
        <v>84</v>
      </c>
      <c r="BS1406" s="3">
        <v>43783</v>
      </c>
      <c r="BT1406" s="5">
        <v>0.35833333333333334</v>
      </c>
      <c r="BU1406" t="s">
        <v>303</v>
      </c>
      <c r="BV1406" t="s">
        <v>86</v>
      </c>
      <c r="BY1406">
        <v>1200</v>
      </c>
      <c r="CA1406" t="s">
        <v>244</v>
      </c>
      <c r="CC1406" t="s">
        <v>107</v>
      </c>
      <c r="CD1406">
        <v>6001</v>
      </c>
      <c r="CE1406" t="s">
        <v>147</v>
      </c>
      <c r="CF1406" s="3">
        <v>43784</v>
      </c>
      <c r="CI1406">
        <v>1</v>
      </c>
      <c r="CJ1406">
        <v>1</v>
      </c>
      <c r="CK1406">
        <v>21</v>
      </c>
      <c r="CL1406" t="s">
        <v>89</v>
      </c>
    </row>
    <row r="1407" spans="1:90">
      <c r="A1407" t="s">
        <v>72</v>
      </c>
      <c r="B1407" t="s">
        <v>73</v>
      </c>
      <c r="C1407" t="s">
        <v>74</v>
      </c>
      <c r="E1407" t="str">
        <f>"FES1162722681"</f>
        <v>FES1162722681</v>
      </c>
      <c r="F1407" s="3">
        <v>43782</v>
      </c>
      <c r="G1407">
        <v>202005</v>
      </c>
      <c r="H1407" t="s">
        <v>75</v>
      </c>
      <c r="I1407" t="s">
        <v>76</v>
      </c>
      <c r="J1407" t="s">
        <v>77</v>
      </c>
      <c r="K1407" t="s">
        <v>78</v>
      </c>
      <c r="L1407" t="s">
        <v>106</v>
      </c>
      <c r="M1407" t="s">
        <v>107</v>
      </c>
      <c r="N1407" t="s">
        <v>128</v>
      </c>
      <c r="O1407" t="s">
        <v>82</v>
      </c>
      <c r="P1407" t="str">
        <f>"2170714190                    "</f>
        <v xml:space="preserve">2170714190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8.58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 s="4">
        <v>50.45</v>
      </c>
      <c r="BM1407" s="4">
        <v>7.57</v>
      </c>
      <c r="BN1407" s="4">
        <v>58.02</v>
      </c>
      <c r="BO1407" s="4">
        <v>58.02</v>
      </c>
      <c r="BQ1407" t="s">
        <v>121</v>
      </c>
      <c r="BR1407" t="s">
        <v>84</v>
      </c>
      <c r="BS1407" s="3">
        <v>43783</v>
      </c>
      <c r="BT1407" s="5">
        <v>0.35138888888888892</v>
      </c>
      <c r="BU1407" t="s">
        <v>714</v>
      </c>
      <c r="BV1407" t="s">
        <v>86</v>
      </c>
      <c r="BY1407">
        <v>1200</v>
      </c>
      <c r="CA1407" t="s">
        <v>87</v>
      </c>
      <c r="CC1407" t="s">
        <v>107</v>
      </c>
      <c r="CD1407">
        <v>6001</v>
      </c>
      <c r="CE1407" t="s">
        <v>147</v>
      </c>
      <c r="CF1407" s="3">
        <v>43784</v>
      </c>
      <c r="CI1407">
        <v>1</v>
      </c>
      <c r="CJ1407">
        <v>1</v>
      </c>
      <c r="CK1407">
        <v>21</v>
      </c>
      <c r="CL1407" t="s">
        <v>89</v>
      </c>
    </row>
    <row r="1408" spans="1:90">
      <c r="A1408" t="s">
        <v>72</v>
      </c>
      <c r="B1408" t="s">
        <v>73</v>
      </c>
      <c r="C1408" t="s">
        <v>74</v>
      </c>
      <c r="E1408" t="str">
        <f>"FES1162722732"</f>
        <v>FES1162722732</v>
      </c>
      <c r="F1408" s="3">
        <v>43782</v>
      </c>
      <c r="G1408">
        <v>202005</v>
      </c>
      <c r="H1408" t="s">
        <v>75</v>
      </c>
      <c r="I1408" t="s">
        <v>76</v>
      </c>
      <c r="J1408" t="s">
        <v>77</v>
      </c>
      <c r="K1408" t="s">
        <v>78</v>
      </c>
      <c r="L1408" t="s">
        <v>79</v>
      </c>
      <c r="M1408" t="s">
        <v>80</v>
      </c>
      <c r="N1408" t="s">
        <v>456</v>
      </c>
      <c r="O1408" t="s">
        <v>82</v>
      </c>
      <c r="P1408" t="str">
        <f>"2170714679                    "</f>
        <v xml:space="preserve">2170714679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8.58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 s="4">
        <v>50.45</v>
      </c>
      <c r="BM1408" s="4">
        <v>7.57</v>
      </c>
      <c r="BN1408" s="4">
        <v>58.02</v>
      </c>
      <c r="BO1408" s="4">
        <v>58.02</v>
      </c>
      <c r="BQ1408" t="s">
        <v>109</v>
      </c>
      <c r="BR1408" t="s">
        <v>84</v>
      </c>
      <c r="BS1408" s="3">
        <v>43783</v>
      </c>
      <c r="BT1408" s="5">
        <v>0.3263888888888889</v>
      </c>
      <c r="BU1408" t="s">
        <v>1912</v>
      </c>
      <c r="BV1408" t="s">
        <v>86</v>
      </c>
      <c r="BY1408">
        <v>1200</v>
      </c>
      <c r="CA1408" t="s">
        <v>87</v>
      </c>
      <c r="CC1408" t="s">
        <v>80</v>
      </c>
      <c r="CD1408">
        <v>6230</v>
      </c>
      <c r="CE1408" t="s">
        <v>147</v>
      </c>
      <c r="CF1408" s="3">
        <v>43784</v>
      </c>
      <c r="CI1408">
        <v>1</v>
      </c>
      <c r="CJ1408">
        <v>1</v>
      </c>
      <c r="CK1408">
        <v>21</v>
      </c>
      <c r="CL1408" t="s">
        <v>89</v>
      </c>
    </row>
    <row r="1409" spans="1:90">
      <c r="A1409" t="s">
        <v>72</v>
      </c>
      <c r="B1409" t="s">
        <v>73</v>
      </c>
      <c r="C1409" t="s">
        <v>74</v>
      </c>
      <c r="E1409" t="str">
        <f>"FES1162722715"</f>
        <v>FES1162722715</v>
      </c>
      <c r="F1409" s="3">
        <v>43782</v>
      </c>
      <c r="G1409">
        <v>202005</v>
      </c>
      <c r="H1409" t="s">
        <v>75</v>
      </c>
      <c r="I1409" t="s">
        <v>76</v>
      </c>
      <c r="J1409" t="s">
        <v>77</v>
      </c>
      <c r="K1409" t="s">
        <v>78</v>
      </c>
      <c r="L1409" t="s">
        <v>106</v>
      </c>
      <c r="M1409" t="s">
        <v>107</v>
      </c>
      <c r="N1409" t="s">
        <v>150</v>
      </c>
      <c r="O1409" t="s">
        <v>82</v>
      </c>
      <c r="P1409" t="str">
        <f>"2170714461                    "</f>
        <v xml:space="preserve">2170714461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8.58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 s="4">
        <v>50.45</v>
      </c>
      <c r="BM1409" s="4">
        <v>7.57</v>
      </c>
      <c r="BN1409" s="4">
        <v>58.02</v>
      </c>
      <c r="BO1409" s="4">
        <v>58.02</v>
      </c>
      <c r="BQ1409" t="s">
        <v>109</v>
      </c>
      <c r="BR1409" t="s">
        <v>84</v>
      </c>
      <c r="BS1409" s="3">
        <v>43783</v>
      </c>
      <c r="BT1409" s="5">
        <v>0.3520833333333333</v>
      </c>
      <c r="BU1409" t="s">
        <v>151</v>
      </c>
      <c r="BV1409" t="s">
        <v>86</v>
      </c>
      <c r="BY1409">
        <v>1200</v>
      </c>
      <c r="CA1409" t="s">
        <v>111</v>
      </c>
      <c r="CC1409" t="s">
        <v>107</v>
      </c>
      <c r="CD1409">
        <v>6001</v>
      </c>
      <c r="CE1409" t="s">
        <v>147</v>
      </c>
      <c r="CF1409" s="3">
        <v>43784</v>
      </c>
      <c r="CI1409">
        <v>1</v>
      </c>
      <c r="CJ1409">
        <v>1</v>
      </c>
      <c r="CK1409">
        <v>21</v>
      </c>
      <c r="CL1409" t="s">
        <v>89</v>
      </c>
    </row>
    <row r="1410" spans="1:90">
      <c r="A1410" t="s">
        <v>72</v>
      </c>
      <c r="B1410" t="s">
        <v>73</v>
      </c>
      <c r="C1410" t="s">
        <v>74</v>
      </c>
      <c r="E1410" t="str">
        <f>"FES1162722672"</f>
        <v>FES1162722672</v>
      </c>
      <c r="F1410" s="3">
        <v>43782</v>
      </c>
      <c r="G1410">
        <v>202005</v>
      </c>
      <c r="H1410" t="s">
        <v>75</v>
      </c>
      <c r="I1410" t="s">
        <v>76</v>
      </c>
      <c r="J1410" t="s">
        <v>77</v>
      </c>
      <c r="K1410" t="s">
        <v>78</v>
      </c>
      <c r="L1410" t="s">
        <v>90</v>
      </c>
      <c r="M1410" t="s">
        <v>91</v>
      </c>
      <c r="N1410" t="s">
        <v>1913</v>
      </c>
      <c r="O1410" t="s">
        <v>82</v>
      </c>
      <c r="P1410" t="str">
        <f>"2170714164                    "</f>
        <v xml:space="preserve">2170714164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8.58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 s="4">
        <v>50.45</v>
      </c>
      <c r="BM1410" s="4">
        <v>7.57</v>
      </c>
      <c r="BN1410" s="4">
        <v>58.02</v>
      </c>
      <c r="BO1410" s="4">
        <v>58.02</v>
      </c>
      <c r="BQ1410" t="s">
        <v>142</v>
      </c>
      <c r="BR1410" t="s">
        <v>84</v>
      </c>
      <c r="BS1410" s="3">
        <v>43783</v>
      </c>
      <c r="BT1410" s="5">
        <v>0.32083333333333336</v>
      </c>
      <c r="BU1410" t="s">
        <v>1914</v>
      </c>
      <c r="BV1410" t="s">
        <v>86</v>
      </c>
      <c r="BY1410">
        <v>1200</v>
      </c>
      <c r="CA1410" t="s">
        <v>140</v>
      </c>
      <c r="CC1410" t="s">
        <v>91</v>
      </c>
      <c r="CD1410">
        <v>7530</v>
      </c>
      <c r="CE1410" t="s">
        <v>147</v>
      </c>
      <c r="CF1410" s="3">
        <v>43784</v>
      </c>
      <c r="CI1410">
        <v>1</v>
      </c>
      <c r="CJ1410">
        <v>1</v>
      </c>
      <c r="CK1410">
        <v>21</v>
      </c>
      <c r="CL1410" t="s">
        <v>89</v>
      </c>
    </row>
    <row r="1411" spans="1:90">
      <c r="A1411" t="s">
        <v>72</v>
      </c>
      <c r="B1411" t="s">
        <v>73</v>
      </c>
      <c r="C1411" t="s">
        <v>74</v>
      </c>
      <c r="E1411" t="str">
        <f>"FES1162722782"</f>
        <v>FES1162722782</v>
      </c>
      <c r="F1411" s="3">
        <v>43782</v>
      </c>
      <c r="G1411">
        <v>202005</v>
      </c>
      <c r="H1411" t="s">
        <v>75</v>
      </c>
      <c r="I1411" t="s">
        <v>76</v>
      </c>
      <c r="J1411" t="s">
        <v>77</v>
      </c>
      <c r="K1411" t="s">
        <v>78</v>
      </c>
      <c r="L1411" t="s">
        <v>79</v>
      </c>
      <c r="M1411" t="s">
        <v>80</v>
      </c>
      <c r="N1411" t="s">
        <v>511</v>
      </c>
      <c r="O1411" t="s">
        <v>82</v>
      </c>
      <c r="P1411" t="str">
        <f>"2170716907                    "</f>
        <v xml:space="preserve">2170716907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8.58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 s="4">
        <v>50.45</v>
      </c>
      <c r="BM1411" s="4">
        <v>7.57</v>
      </c>
      <c r="BN1411" s="4">
        <v>58.02</v>
      </c>
      <c r="BO1411" s="4">
        <v>58.02</v>
      </c>
      <c r="BQ1411" t="s">
        <v>109</v>
      </c>
      <c r="BR1411" t="s">
        <v>84</v>
      </c>
      <c r="BS1411" s="3">
        <v>43783</v>
      </c>
      <c r="BT1411" s="5">
        <v>0.33333333333333331</v>
      </c>
      <c r="BU1411" t="s">
        <v>512</v>
      </c>
      <c r="BV1411" t="s">
        <v>86</v>
      </c>
      <c r="BY1411">
        <v>1200</v>
      </c>
      <c r="CA1411" t="s">
        <v>87</v>
      </c>
      <c r="CC1411" t="s">
        <v>80</v>
      </c>
      <c r="CD1411">
        <v>6229</v>
      </c>
      <c r="CE1411" t="s">
        <v>147</v>
      </c>
      <c r="CF1411" s="3">
        <v>43784</v>
      </c>
      <c r="CI1411">
        <v>1</v>
      </c>
      <c r="CJ1411">
        <v>1</v>
      </c>
      <c r="CK1411">
        <v>21</v>
      </c>
      <c r="CL1411" t="s">
        <v>89</v>
      </c>
    </row>
    <row r="1412" spans="1:90">
      <c r="A1412" t="s">
        <v>72</v>
      </c>
      <c r="B1412" t="s">
        <v>73</v>
      </c>
      <c r="C1412" t="s">
        <v>74</v>
      </c>
      <c r="E1412" t="str">
        <f>"FES1162722664"</f>
        <v>FES1162722664</v>
      </c>
      <c r="F1412" s="3">
        <v>43782</v>
      </c>
      <c r="G1412">
        <v>202005</v>
      </c>
      <c r="H1412" t="s">
        <v>75</v>
      </c>
      <c r="I1412" t="s">
        <v>76</v>
      </c>
      <c r="J1412" t="s">
        <v>77</v>
      </c>
      <c r="K1412" t="s">
        <v>78</v>
      </c>
      <c r="L1412" t="s">
        <v>106</v>
      </c>
      <c r="M1412" t="s">
        <v>107</v>
      </c>
      <c r="N1412" t="s">
        <v>128</v>
      </c>
      <c r="O1412" t="s">
        <v>82</v>
      </c>
      <c r="P1412" t="str">
        <f>"2170713224                    "</f>
        <v xml:space="preserve">2170713224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8.58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 s="4">
        <v>50.45</v>
      </c>
      <c r="BM1412" s="4">
        <v>7.57</v>
      </c>
      <c r="BN1412" s="4">
        <v>58.02</v>
      </c>
      <c r="BO1412" s="4">
        <v>58.02</v>
      </c>
      <c r="BQ1412" t="s">
        <v>121</v>
      </c>
      <c r="BR1412" t="s">
        <v>84</v>
      </c>
      <c r="BS1412" s="3">
        <v>43783</v>
      </c>
      <c r="BT1412" s="5">
        <v>0.33333333333333331</v>
      </c>
      <c r="BU1412" t="s">
        <v>714</v>
      </c>
      <c r="BV1412" t="s">
        <v>86</v>
      </c>
      <c r="BY1412">
        <v>1200</v>
      </c>
      <c r="CA1412" t="s">
        <v>87</v>
      </c>
      <c r="CC1412" t="s">
        <v>107</v>
      </c>
      <c r="CD1412">
        <v>6001</v>
      </c>
      <c r="CE1412" t="s">
        <v>147</v>
      </c>
      <c r="CF1412" s="3">
        <v>43784</v>
      </c>
      <c r="CI1412">
        <v>1</v>
      </c>
      <c r="CJ1412">
        <v>1</v>
      </c>
      <c r="CK1412">
        <v>21</v>
      </c>
      <c r="CL1412" t="s">
        <v>89</v>
      </c>
    </row>
    <row r="1413" spans="1:90">
      <c r="A1413" t="s">
        <v>72</v>
      </c>
      <c r="B1413" t="s">
        <v>73</v>
      </c>
      <c r="C1413" t="s">
        <v>74</v>
      </c>
      <c r="E1413" t="str">
        <f>"FES1162722830"</f>
        <v>FES1162722830</v>
      </c>
      <c r="F1413" s="3">
        <v>43782</v>
      </c>
      <c r="G1413">
        <v>202005</v>
      </c>
      <c r="H1413" t="s">
        <v>75</v>
      </c>
      <c r="I1413" t="s">
        <v>76</v>
      </c>
      <c r="J1413" t="s">
        <v>77</v>
      </c>
      <c r="K1413" t="s">
        <v>78</v>
      </c>
      <c r="L1413" t="s">
        <v>133</v>
      </c>
      <c r="M1413" t="s">
        <v>134</v>
      </c>
      <c r="N1413" t="s">
        <v>1915</v>
      </c>
      <c r="O1413" t="s">
        <v>82</v>
      </c>
      <c r="P1413" t="str">
        <f>"2170716922                    "</f>
        <v xml:space="preserve">2170716922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8.58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 s="4">
        <v>50.45</v>
      </c>
      <c r="BM1413" s="4">
        <v>7.57</v>
      </c>
      <c r="BN1413" s="4">
        <v>58.02</v>
      </c>
      <c r="BO1413" s="4">
        <v>58.02</v>
      </c>
      <c r="BR1413" t="s">
        <v>84</v>
      </c>
      <c r="BS1413" s="3">
        <v>43783</v>
      </c>
      <c r="BT1413" s="5">
        <v>0.3576388888888889</v>
      </c>
      <c r="BU1413" t="s">
        <v>1560</v>
      </c>
      <c r="BV1413" t="s">
        <v>86</v>
      </c>
      <c r="BY1413">
        <v>1200</v>
      </c>
      <c r="CA1413" t="s">
        <v>912</v>
      </c>
      <c r="CC1413" t="s">
        <v>134</v>
      </c>
      <c r="CD1413">
        <v>5201</v>
      </c>
      <c r="CE1413" t="s">
        <v>147</v>
      </c>
      <c r="CF1413" s="3">
        <v>43784</v>
      </c>
      <c r="CI1413">
        <v>1</v>
      </c>
      <c r="CJ1413">
        <v>1</v>
      </c>
      <c r="CK1413">
        <v>21</v>
      </c>
      <c r="CL1413" t="s">
        <v>89</v>
      </c>
    </row>
    <row r="1414" spans="1:90">
      <c r="A1414" t="s">
        <v>72</v>
      </c>
      <c r="B1414" t="s">
        <v>73</v>
      </c>
      <c r="C1414" t="s">
        <v>74</v>
      </c>
      <c r="E1414" t="str">
        <f>"FES1162722840"</f>
        <v>FES1162722840</v>
      </c>
      <c r="F1414" s="3">
        <v>43782</v>
      </c>
      <c r="G1414">
        <v>202005</v>
      </c>
      <c r="H1414" t="s">
        <v>75</v>
      </c>
      <c r="I1414" t="s">
        <v>76</v>
      </c>
      <c r="J1414" t="s">
        <v>77</v>
      </c>
      <c r="K1414" t="s">
        <v>78</v>
      </c>
      <c r="L1414" t="s">
        <v>106</v>
      </c>
      <c r="M1414" t="s">
        <v>107</v>
      </c>
      <c r="N1414" t="s">
        <v>771</v>
      </c>
      <c r="O1414" t="s">
        <v>82</v>
      </c>
      <c r="P1414" t="str">
        <f>"2170716933                    "</f>
        <v xml:space="preserve">2170716933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8.58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 s="4">
        <v>50.45</v>
      </c>
      <c r="BM1414" s="4">
        <v>7.57</v>
      </c>
      <c r="BN1414" s="4">
        <v>58.02</v>
      </c>
      <c r="BO1414" s="4">
        <v>58.02</v>
      </c>
      <c r="BQ1414" t="s">
        <v>109</v>
      </c>
      <c r="BR1414" t="s">
        <v>84</v>
      </c>
      <c r="BS1414" s="3">
        <v>43783</v>
      </c>
      <c r="BT1414" s="5">
        <v>0.39374999999999999</v>
      </c>
      <c r="BU1414" t="s">
        <v>1911</v>
      </c>
      <c r="BV1414" t="s">
        <v>86</v>
      </c>
      <c r="BY1414">
        <v>1200</v>
      </c>
      <c r="CA1414" t="s">
        <v>773</v>
      </c>
      <c r="CC1414" t="s">
        <v>107</v>
      </c>
      <c r="CD1414">
        <v>6012</v>
      </c>
      <c r="CE1414" t="s">
        <v>147</v>
      </c>
      <c r="CF1414" s="3">
        <v>43784</v>
      </c>
      <c r="CI1414">
        <v>1</v>
      </c>
      <c r="CJ1414">
        <v>1</v>
      </c>
      <c r="CK1414">
        <v>21</v>
      </c>
      <c r="CL1414" t="s">
        <v>89</v>
      </c>
    </row>
    <row r="1415" spans="1:90">
      <c r="A1415" t="s">
        <v>72</v>
      </c>
      <c r="B1415" t="s">
        <v>73</v>
      </c>
      <c r="C1415" t="s">
        <v>74</v>
      </c>
      <c r="E1415" t="str">
        <f>"FES1162722721"</f>
        <v>FES1162722721</v>
      </c>
      <c r="F1415" s="3">
        <v>43782</v>
      </c>
      <c r="G1415">
        <v>202005</v>
      </c>
      <c r="H1415" t="s">
        <v>75</v>
      </c>
      <c r="I1415" t="s">
        <v>76</v>
      </c>
      <c r="J1415" t="s">
        <v>77</v>
      </c>
      <c r="K1415" t="s">
        <v>78</v>
      </c>
      <c r="L1415" t="s">
        <v>90</v>
      </c>
      <c r="M1415" t="s">
        <v>91</v>
      </c>
      <c r="N1415" t="s">
        <v>1219</v>
      </c>
      <c r="O1415" t="s">
        <v>82</v>
      </c>
      <c r="P1415" t="str">
        <f>"2170714510                    "</f>
        <v xml:space="preserve">2170714510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8.58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 s="4">
        <v>50.45</v>
      </c>
      <c r="BM1415" s="4">
        <v>7.57</v>
      </c>
      <c r="BN1415" s="4">
        <v>58.02</v>
      </c>
      <c r="BO1415" s="4">
        <v>58.02</v>
      </c>
      <c r="BQ1415" t="s">
        <v>1220</v>
      </c>
      <c r="BR1415" t="s">
        <v>84</v>
      </c>
      <c r="BS1415" s="3">
        <v>43783</v>
      </c>
      <c r="BT1415" s="5">
        <v>0.35486111111111113</v>
      </c>
      <c r="BU1415" t="s">
        <v>1221</v>
      </c>
      <c r="BV1415" t="s">
        <v>86</v>
      </c>
      <c r="BY1415">
        <v>1200</v>
      </c>
      <c r="CA1415" t="s">
        <v>329</v>
      </c>
      <c r="CC1415" t="s">
        <v>91</v>
      </c>
      <c r="CD1415">
        <v>7405</v>
      </c>
      <c r="CE1415" t="s">
        <v>147</v>
      </c>
      <c r="CF1415" s="3">
        <v>43784</v>
      </c>
      <c r="CI1415">
        <v>1</v>
      </c>
      <c r="CJ1415">
        <v>1</v>
      </c>
      <c r="CK1415">
        <v>21</v>
      </c>
      <c r="CL1415" t="s">
        <v>89</v>
      </c>
    </row>
    <row r="1416" spans="1:90">
      <c r="A1416" t="s">
        <v>72</v>
      </c>
      <c r="B1416" t="s">
        <v>73</v>
      </c>
      <c r="C1416" t="s">
        <v>74</v>
      </c>
      <c r="E1416" t="str">
        <f>"FES1162722638"</f>
        <v>FES1162722638</v>
      </c>
      <c r="F1416" s="3">
        <v>43782</v>
      </c>
      <c r="G1416">
        <v>202005</v>
      </c>
      <c r="H1416" t="s">
        <v>75</v>
      </c>
      <c r="I1416" t="s">
        <v>76</v>
      </c>
      <c r="J1416" t="s">
        <v>77</v>
      </c>
      <c r="K1416" t="s">
        <v>78</v>
      </c>
      <c r="L1416" t="s">
        <v>124</v>
      </c>
      <c r="M1416" t="s">
        <v>125</v>
      </c>
      <c r="N1416" t="s">
        <v>218</v>
      </c>
      <c r="O1416" t="s">
        <v>82</v>
      </c>
      <c r="P1416" t="str">
        <f>"2170716894                    "</f>
        <v xml:space="preserve">2170716894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6.71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 s="4">
        <v>39.42</v>
      </c>
      <c r="BM1416" s="4">
        <v>5.91</v>
      </c>
      <c r="BN1416" s="4">
        <v>45.33</v>
      </c>
      <c r="BO1416" s="4">
        <v>45.33</v>
      </c>
      <c r="BQ1416" t="s">
        <v>121</v>
      </c>
      <c r="BR1416" t="s">
        <v>84</v>
      </c>
      <c r="BS1416" s="3">
        <v>43783</v>
      </c>
      <c r="BT1416" s="5">
        <v>0.41250000000000003</v>
      </c>
      <c r="BU1416" t="s">
        <v>1908</v>
      </c>
      <c r="BV1416" t="s">
        <v>86</v>
      </c>
      <c r="BY1416">
        <v>1200</v>
      </c>
      <c r="CA1416" t="s">
        <v>837</v>
      </c>
      <c r="CC1416" t="s">
        <v>125</v>
      </c>
      <c r="CD1416">
        <v>2094</v>
      </c>
      <c r="CE1416" t="s">
        <v>147</v>
      </c>
      <c r="CF1416" s="3">
        <v>43784</v>
      </c>
      <c r="CI1416">
        <v>1</v>
      </c>
      <c r="CJ1416">
        <v>1</v>
      </c>
      <c r="CK1416">
        <v>22</v>
      </c>
      <c r="CL1416" t="s">
        <v>89</v>
      </c>
    </row>
    <row r="1417" spans="1:90">
      <c r="A1417" t="s">
        <v>72</v>
      </c>
      <c r="B1417" t="s">
        <v>73</v>
      </c>
      <c r="C1417" t="s">
        <v>74</v>
      </c>
      <c r="E1417" t="str">
        <f>"FES1162722650"</f>
        <v>FES1162722650</v>
      </c>
      <c r="F1417" s="3">
        <v>43782</v>
      </c>
      <c r="G1417">
        <v>202005</v>
      </c>
      <c r="H1417" t="s">
        <v>75</v>
      </c>
      <c r="I1417" t="s">
        <v>76</v>
      </c>
      <c r="J1417" t="s">
        <v>77</v>
      </c>
      <c r="K1417" t="s">
        <v>78</v>
      </c>
      <c r="L1417" t="s">
        <v>106</v>
      </c>
      <c r="M1417" t="s">
        <v>107</v>
      </c>
      <c r="N1417" t="s">
        <v>1878</v>
      </c>
      <c r="O1417" t="s">
        <v>82</v>
      </c>
      <c r="P1417" t="str">
        <f>"2170716726                    "</f>
        <v xml:space="preserve">2170716726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8.58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 s="4">
        <v>50.45</v>
      </c>
      <c r="BM1417" s="4">
        <v>7.57</v>
      </c>
      <c r="BN1417" s="4">
        <v>58.02</v>
      </c>
      <c r="BO1417" s="4">
        <v>58.02</v>
      </c>
      <c r="BQ1417" t="s">
        <v>121</v>
      </c>
      <c r="BR1417" t="s">
        <v>84</v>
      </c>
      <c r="BS1417" s="3">
        <v>43783</v>
      </c>
      <c r="BT1417" s="5">
        <v>0.61458333333333337</v>
      </c>
      <c r="BU1417" t="s">
        <v>534</v>
      </c>
      <c r="BV1417" t="s">
        <v>89</v>
      </c>
      <c r="BW1417" t="s">
        <v>371</v>
      </c>
      <c r="BX1417" t="s">
        <v>320</v>
      </c>
      <c r="BY1417">
        <v>1200</v>
      </c>
      <c r="CA1417" t="s">
        <v>111</v>
      </c>
      <c r="CC1417" t="s">
        <v>107</v>
      </c>
      <c r="CD1417">
        <v>6000</v>
      </c>
      <c r="CE1417" t="s">
        <v>147</v>
      </c>
      <c r="CF1417" s="3">
        <v>43784</v>
      </c>
      <c r="CI1417">
        <v>1</v>
      </c>
      <c r="CJ1417">
        <v>1</v>
      </c>
      <c r="CK1417">
        <v>21</v>
      </c>
      <c r="CL1417" t="s">
        <v>89</v>
      </c>
    </row>
    <row r="1418" spans="1:90">
      <c r="A1418" t="s">
        <v>72</v>
      </c>
      <c r="B1418" t="s">
        <v>73</v>
      </c>
      <c r="C1418" t="s">
        <v>74</v>
      </c>
      <c r="E1418" t="str">
        <f>"FES1162722653"</f>
        <v>FES1162722653</v>
      </c>
      <c r="F1418" s="3">
        <v>43782</v>
      </c>
      <c r="G1418">
        <v>202005</v>
      </c>
      <c r="H1418" t="s">
        <v>75</v>
      </c>
      <c r="I1418" t="s">
        <v>76</v>
      </c>
      <c r="J1418" t="s">
        <v>77</v>
      </c>
      <c r="K1418" t="s">
        <v>78</v>
      </c>
      <c r="L1418" t="s">
        <v>124</v>
      </c>
      <c r="M1418" t="s">
        <v>125</v>
      </c>
      <c r="N1418" t="s">
        <v>218</v>
      </c>
      <c r="O1418" t="s">
        <v>82</v>
      </c>
      <c r="P1418" t="str">
        <f>"2170716901                    "</f>
        <v xml:space="preserve">2170716901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6.71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 s="4">
        <v>39.42</v>
      </c>
      <c r="BM1418" s="4">
        <v>5.91</v>
      </c>
      <c r="BN1418" s="4">
        <v>45.33</v>
      </c>
      <c r="BO1418" s="4">
        <v>45.33</v>
      </c>
      <c r="BQ1418" t="s">
        <v>121</v>
      </c>
      <c r="BR1418" t="s">
        <v>84</v>
      </c>
      <c r="BS1418" s="3">
        <v>43783</v>
      </c>
      <c r="BT1418" s="5">
        <v>0.41319444444444442</v>
      </c>
      <c r="BU1418" t="s">
        <v>1908</v>
      </c>
      <c r="BV1418" t="s">
        <v>86</v>
      </c>
      <c r="BY1418">
        <v>1200</v>
      </c>
      <c r="CA1418" t="s">
        <v>837</v>
      </c>
      <c r="CC1418" t="s">
        <v>125</v>
      </c>
      <c r="CD1418">
        <v>2094</v>
      </c>
      <c r="CE1418" t="s">
        <v>147</v>
      </c>
      <c r="CF1418" s="3">
        <v>43784</v>
      </c>
      <c r="CI1418">
        <v>1</v>
      </c>
      <c r="CJ1418">
        <v>1</v>
      </c>
      <c r="CK1418">
        <v>22</v>
      </c>
      <c r="CL1418" t="s">
        <v>89</v>
      </c>
    </row>
    <row r="1419" spans="1:90">
      <c r="A1419" t="s">
        <v>72</v>
      </c>
      <c r="B1419" t="s">
        <v>73</v>
      </c>
      <c r="C1419" t="s">
        <v>74</v>
      </c>
      <c r="E1419" t="str">
        <f>"FES1162722645"</f>
        <v>FES1162722645</v>
      </c>
      <c r="F1419" s="3">
        <v>43782</v>
      </c>
      <c r="G1419">
        <v>202005</v>
      </c>
      <c r="H1419" t="s">
        <v>75</v>
      </c>
      <c r="I1419" t="s">
        <v>76</v>
      </c>
      <c r="J1419" t="s">
        <v>77</v>
      </c>
      <c r="K1419" t="s">
        <v>78</v>
      </c>
      <c r="L1419" t="s">
        <v>339</v>
      </c>
      <c r="M1419" t="s">
        <v>340</v>
      </c>
      <c r="N1419" t="s">
        <v>615</v>
      </c>
      <c r="O1419" t="s">
        <v>82</v>
      </c>
      <c r="P1419" t="str">
        <f>"2170716504                    "</f>
        <v xml:space="preserve">2170716504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8.58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 s="4">
        <v>50.45</v>
      </c>
      <c r="BM1419" s="4">
        <v>7.57</v>
      </c>
      <c r="BN1419" s="4">
        <v>58.02</v>
      </c>
      <c r="BO1419" s="4">
        <v>58.02</v>
      </c>
      <c r="BR1419" t="s">
        <v>84</v>
      </c>
      <c r="BS1419" s="3">
        <v>43783</v>
      </c>
      <c r="BT1419" s="5">
        <v>0.42708333333333331</v>
      </c>
      <c r="BU1419" t="s">
        <v>1916</v>
      </c>
      <c r="BV1419" t="s">
        <v>86</v>
      </c>
      <c r="BY1419">
        <v>1200</v>
      </c>
      <c r="CA1419" t="s">
        <v>343</v>
      </c>
      <c r="CC1419" t="s">
        <v>340</v>
      </c>
      <c r="CD1419">
        <v>157</v>
      </c>
      <c r="CE1419" t="s">
        <v>147</v>
      </c>
      <c r="CF1419" s="3">
        <v>43784</v>
      </c>
      <c r="CI1419">
        <v>1</v>
      </c>
      <c r="CJ1419">
        <v>1</v>
      </c>
      <c r="CK1419">
        <v>21</v>
      </c>
      <c r="CL1419" t="s">
        <v>89</v>
      </c>
    </row>
    <row r="1420" spans="1:90">
      <c r="A1420" t="s">
        <v>72</v>
      </c>
      <c r="B1420" t="s">
        <v>73</v>
      </c>
      <c r="C1420" t="s">
        <v>74</v>
      </c>
      <c r="E1420" t="str">
        <f>"FES1162722764"</f>
        <v>FES1162722764</v>
      </c>
      <c r="F1420" s="3">
        <v>43782</v>
      </c>
      <c r="G1420">
        <v>202005</v>
      </c>
      <c r="H1420" t="s">
        <v>75</v>
      </c>
      <c r="I1420" t="s">
        <v>76</v>
      </c>
      <c r="J1420" t="s">
        <v>77</v>
      </c>
      <c r="K1420" t="s">
        <v>78</v>
      </c>
      <c r="L1420" t="s">
        <v>106</v>
      </c>
      <c r="M1420" t="s">
        <v>107</v>
      </c>
      <c r="N1420" t="s">
        <v>153</v>
      </c>
      <c r="O1420" t="s">
        <v>82</v>
      </c>
      <c r="P1420" t="str">
        <f>"2170715049                    "</f>
        <v xml:space="preserve">2170715049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8.58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 s="4">
        <v>50.45</v>
      </c>
      <c r="BM1420" s="4">
        <v>7.57</v>
      </c>
      <c r="BN1420" s="4">
        <v>58.02</v>
      </c>
      <c r="BO1420" s="4">
        <v>58.02</v>
      </c>
      <c r="BQ1420" t="s">
        <v>121</v>
      </c>
      <c r="BR1420" t="s">
        <v>84</v>
      </c>
      <c r="BS1420" s="3">
        <v>43783</v>
      </c>
      <c r="BT1420" s="5">
        <v>0.38680555555555557</v>
      </c>
      <c r="BU1420" t="s">
        <v>154</v>
      </c>
      <c r="BV1420" t="s">
        <v>86</v>
      </c>
      <c r="BY1420">
        <v>1200</v>
      </c>
      <c r="CA1420" t="s">
        <v>111</v>
      </c>
      <c r="CC1420" t="s">
        <v>107</v>
      </c>
      <c r="CD1420">
        <v>6001</v>
      </c>
      <c r="CE1420" t="s">
        <v>147</v>
      </c>
      <c r="CF1420" s="3">
        <v>43784</v>
      </c>
      <c r="CI1420">
        <v>1</v>
      </c>
      <c r="CJ1420">
        <v>1</v>
      </c>
      <c r="CK1420">
        <v>21</v>
      </c>
      <c r="CL1420" t="s">
        <v>89</v>
      </c>
    </row>
    <row r="1421" spans="1:90">
      <c r="A1421" t="s">
        <v>72</v>
      </c>
      <c r="B1421" t="s">
        <v>73</v>
      </c>
      <c r="C1421" t="s">
        <v>74</v>
      </c>
      <c r="E1421" t="str">
        <f>"FES1162722800"</f>
        <v>FES1162722800</v>
      </c>
      <c r="F1421" s="3">
        <v>43782</v>
      </c>
      <c r="G1421">
        <v>202005</v>
      </c>
      <c r="H1421" t="s">
        <v>75</v>
      </c>
      <c r="I1421" t="s">
        <v>76</v>
      </c>
      <c r="J1421" t="s">
        <v>77</v>
      </c>
      <c r="K1421" t="s">
        <v>78</v>
      </c>
      <c r="L1421" t="s">
        <v>106</v>
      </c>
      <c r="M1421" t="s">
        <v>107</v>
      </c>
      <c r="N1421" t="s">
        <v>1249</v>
      </c>
      <c r="O1421" t="s">
        <v>82</v>
      </c>
      <c r="P1421" t="str">
        <f>"2170713800                    "</f>
        <v xml:space="preserve">2170713800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8.58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 s="4">
        <v>50.45</v>
      </c>
      <c r="BM1421" s="4">
        <v>7.57</v>
      </c>
      <c r="BN1421" s="4">
        <v>58.02</v>
      </c>
      <c r="BO1421" s="4">
        <v>58.02</v>
      </c>
      <c r="BQ1421" t="s">
        <v>1856</v>
      </c>
      <c r="BR1421" t="s">
        <v>84</v>
      </c>
      <c r="BS1421" s="3">
        <v>43783</v>
      </c>
      <c r="BT1421" s="5">
        <v>0.40277777777777773</v>
      </c>
      <c r="BU1421" t="s">
        <v>1917</v>
      </c>
      <c r="BV1421" t="s">
        <v>86</v>
      </c>
      <c r="BY1421">
        <v>1200</v>
      </c>
      <c r="CA1421" t="s">
        <v>773</v>
      </c>
      <c r="CC1421" t="s">
        <v>107</v>
      </c>
      <c r="CD1421">
        <v>6012</v>
      </c>
      <c r="CE1421" t="s">
        <v>147</v>
      </c>
      <c r="CF1421" s="3">
        <v>43784</v>
      </c>
      <c r="CI1421">
        <v>1</v>
      </c>
      <c r="CJ1421">
        <v>1</v>
      </c>
      <c r="CK1421">
        <v>21</v>
      </c>
      <c r="CL1421" t="s">
        <v>89</v>
      </c>
    </row>
    <row r="1422" spans="1:90">
      <c r="A1422" t="s">
        <v>72</v>
      </c>
      <c r="B1422" t="s">
        <v>73</v>
      </c>
      <c r="C1422" t="s">
        <v>74</v>
      </c>
      <c r="E1422" t="str">
        <f>"FES1162722756"</f>
        <v>FES1162722756</v>
      </c>
      <c r="F1422" s="3">
        <v>43782</v>
      </c>
      <c r="G1422">
        <v>202005</v>
      </c>
      <c r="H1422" t="s">
        <v>75</v>
      </c>
      <c r="I1422" t="s">
        <v>76</v>
      </c>
      <c r="J1422" t="s">
        <v>77</v>
      </c>
      <c r="K1422" t="s">
        <v>78</v>
      </c>
      <c r="L1422" t="s">
        <v>79</v>
      </c>
      <c r="M1422" t="s">
        <v>80</v>
      </c>
      <c r="N1422" t="s">
        <v>1843</v>
      </c>
      <c r="O1422" t="s">
        <v>82</v>
      </c>
      <c r="P1422" t="str">
        <f>"2170714966                    "</f>
        <v xml:space="preserve">2170714966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8.58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 s="4">
        <v>50.45</v>
      </c>
      <c r="BM1422" s="4">
        <v>7.57</v>
      </c>
      <c r="BN1422" s="4">
        <v>58.02</v>
      </c>
      <c r="BO1422" s="4">
        <v>58.02</v>
      </c>
      <c r="BQ1422" t="s">
        <v>109</v>
      </c>
      <c r="BR1422" t="s">
        <v>84</v>
      </c>
      <c r="BS1422" s="3">
        <v>43783</v>
      </c>
      <c r="BT1422" s="5">
        <v>0.33888888888888885</v>
      </c>
      <c r="BU1422" t="s">
        <v>1918</v>
      </c>
      <c r="BV1422" t="s">
        <v>86</v>
      </c>
      <c r="BY1422">
        <v>1200</v>
      </c>
      <c r="CA1422" t="s">
        <v>87</v>
      </c>
      <c r="CC1422" t="s">
        <v>80</v>
      </c>
      <c r="CD1422">
        <v>6229</v>
      </c>
      <c r="CE1422" t="s">
        <v>147</v>
      </c>
      <c r="CF1422" s="3">
        <v>43784</v>
      </c>
      <c r="CI1422">
        <v>1</v>
      </c>
      <c r="CJ1422">
        <v>1</v>
      </c>
      <c r="CK1422">
        <v>21</v>
      </c>
      <c r="CL1422" t="s">
        <v>89</v>
      </c>
    </row>
    <row r="1423" spans="1:90">
      <c r="A1423" t="s">
        <v>72</v>
      </c>
      <c r="B1423" t="s">
        <v>73</v>
      </c>
      <c r="C1423" t="s">
        <v>74</v>
      </c>
      <c r="E1423" t="str">
        <f>"FES1162722671"</f>
        <v>FES1162722671</v>
      </c>
      <c r="F1423" s="3">
        <v>43782</v>
      </c>
      <c r="G1423">
        <v>202005</v>
      </c>
      <c r="H1423" t="s">
        <v>75</v>
      </c>
      <c r="I1423" t="s">
        <v>76</v>
      </c>
      <c r="J1423" t="s">
        <v>77</v>
      </c>
      <c r="K1423" t="s">
        <v>78</v>
      </c>
      <c r="L1423" t="s">
        <v>106</v>
      </c>
      <c r="M1423" t="s">
        <v>107</v>
      </c>
      <c r="N1423" t="s">
        <v>1919</v>
      </c>
      <c r="O1423" t="s">
        <v>82</v>
      </c>
      <c r="P1423" t="str">
        <f>"2170714162                    "</f>
        <v xml:space="preserve">2170714162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8.58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 s="4">
        <v>50.45</v>
      </c>
      <c r="BM1423" s="4">
        <v>7.57</v>
      </c>
      <c r="BN1423" s="4">
        <v>58.02</v>
      </c>
      <c r="BO1423" s="4">
        <v>58.02</v>
      </c>
      <c r="BQ1423" t="s">
        <v>121</v>
      </c>
      <c r="BR1423" t="s">
        <v>84</v>
      </c>
      <c r="BS1423" s="3">
        <v>43783</v>
      </c>
      <c r="BT1423" s="5">
        <v>0.38611111111111113</v>
      </c>
      <c r="BU1423" t="s">
        <v>1920</v>
      </c>
      <c r="BV1423" t="s">
        <v>86</v>
      </c>
      <c r="BY1423">
        <v>1200</v>
      </c>
      <c r="CA1423" t="s">
        <v>1921</v>
      </c>
      <c r="CC1423" t="s">
        <v>107</v>
      </c>
      <c r="CD1423">
        <v>6001</v>
      </c>
      <c r="CE1423" t="s">
        <v>147</v>
      </c>
      <c r="CF1423" s="3">
        <v>43784</v>
      </c>
      <c r="CI1423">
        <v>1</v>
      </c>
      <c r="CJ1423">
        <v>1</v>
      </c>
      <c r="CK1423">
        <v>21</v>
      </c>
      <c r="CL1423" t="s">
        <v>89</v>
      </c>
    </row>
    <row r="1424" spans="1:90">
      <c r="A1424" t="s">
        <v>72</v>
      </c>
      <c r="B1424" t="s">
        <v>73</v>
      </c>
      <c r="C1424" t="s">
        <v>74</v>
      </c>
      <c r="E1424" t="str">
        <f>"FES1162722753"</f>
        <v>FES1162722753</v>
      </c>
      <c r="F1424" s="3">
        <v>43782</v>
      </c>
      <c r="G1424">
        <v>202005</v>
      </c>
      <c r="H1424" t="s">
        <v>75</v>
      </c>
      <c r="I1424" t="s">
        <v>76</v>
      </c>
      <c r="J1424" t="s">
        <v>77</v>
      </c>
      <c r="K1424" t="s">
        <v>78</v>
      </c>
      <c r="L1424" t="s">
        <v>101</v>
      </c>
      <c r="M1424" t="s">
        <v>102</v>
      </c>
      <c r="N1424" t="s">
        <v>1922</v>
      </c>
      <c r="O1424" t="s">
        <v>82</v>
      </c>
      <c r="P1424" t="str">
        <f>"2170714946                    "</f>
        <v xml:space="preserve">2170714946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8.58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 s="4">
        <v>50.45</v>
      </c>
      <c r="BM1424" s="4">
        <v>7.57</v>
      </c>
      <c r="BN1424" s="4">
        <v>58.02</v>
      </c>
      <c r="BO1424" s="4">
        <v>58.02</v>
      </c>
      <c r="BQ1424" t="s">
        <v>161</v>
      </c>
      <c r="BR1424" t="s">
        <v>84</v>
      </c>
      <c r="BS1424" s="3">
        <v>43783</v>
      </c>
      <c r="BT1424" s="5">
        <v>0.38194444444444442</v>
      </c>
      <c r="BU1424" t="s">
        <v>1923</v>
      </c>
      <c r="BV1424" t="s">
        <v>86</v>
      </c>
      <c r="BY1424">
        <v>1200</v>
      </c>
      <c r="CC1424" t="s">
        <v>102</v>
      </c>
      <c r="CD1424">
        <v>200</v>
      </c>
      <c r="CE1424" t="s">
        <v>147</v>
      </c>
      <c r="CF1424" s="3">
        <v>43784</v>
      </c>
      <c r="CI1424">
        <v>1</v>
      </c>
      <c r="CJ1424">
        <v>1</v>
      </c>
      <c r="CK1424">
        <v>21</v>
      </c>
      <c r="CL1424" t="s">
        <v>89</v>
      </c>
    </row>
    <row r="1425" spans="1:90">
      <c r="A1425" t="s">
        <v>72</v>
      </c>
      <c r="B1425" t="s">
        <v>73</v>
      </c>
      <c r="C1425" t="s">
        <v>74</v>
      </c>
      <c r="E1425" t="str">
        <f>"FES1162722656"</f>
        <v>FES1162722656</v>
      </c>
      <c r="F1425" s="3">
        <v>43782</v>
      </c>
      <c r="G1425">
        <v>202005</v>
      </c>
      <c r="H1425" t="s">
        <v>75</v>
      </c>
      <c r="I1425" t="s">
        <v>76</v>
      </c>
      <c r="J1425" t="s">
        <v>77</v>
      </c>
      <c r="K1425" t="s">
        <v>78</v>
      </c>
      <c r="L1425" t="s">
        <v>133</v>
      </c>
      <c r="M1425" t="s">
        <v>134</v>
      </c>
      <c r="N1425" t="s">
        <v>1751</v>
      </c>
      <c r="O1425" t="s">
        <v>82</v>
      </c>
      <c r="P1425" t="str">
        <f>"2170707886                    "</f>
        <v xml:space="preserve">2170707886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8.58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 s="4">
        <v>50.45</v>
      </c>
      <c r="BM1425" s="4">
        <v>7.57</v>
      </c>
      <c r="BN1425" s="4">
        <v>58.02</v>
      </c>
      <c r="BO1425" s="4">
        <v>58.02</v>
      </c>
      <c r="BQ1425" t="s">
        <v>121</v>
      </c>
      <c r="BR1425" t="s">
        <v>84</v>
      </c>
      <c r="BS1425" s="3">
        <v>43783</v>
      </c>
      <c r="BT1425" s="5">
        <v>0.34861111111111115</v>
      </c>
      <c r="BU1425" t="s">
        <v>1924</v>
      </c>
      <c r="BV1425" t="s">
        <v>86</v>
      </c>
      <c r="BY1425">
        <v>1200</v>
      </c>
      <c r="CA1425" t="s">
        <v>1910</v>
      </c>
      <c r="CC1425" t="s">
        <v>134</v>
      </c>
      <c r="CD1425">
        <v>5201</v>
      </c>
      <c r="CE1425" t="s">
        <v>147</v>
      </c>
      <c r="CF1425" s="3">
        <v>43784</v>
      </c>
      <c r="CI1425">
        <v>1</v>
      </c>
      <c r="CJ1425">
        <v>1</v>
      </c>
      <c r="CK1425">
        <v>21</v>
      </c>
      <c r="CL1425" t="s">
        <v>89</v>
      </c>
    </row>
    <row r="1426" spans="1:90">
      <c r="A1426" t="s">
        <v>72</v>
      </c>
      <c r="B1426" t="s">
        <v>73</v>
      </c>
      <c r="C1426" t="s">
        <v>74</v>
      </c>
      <c r="E1426" t="str">
        <f>"FES1162722780"</f>
        <v>FES1162722780</v>
      </c>
      <c r="F1426" s="3">
        <v>43782</v>
      </c>
      <c r="G1426">
        <v>202005</v>
      </c>
      <c r="H1426" t="s">
        <v>75</v>
      </c>
      <c r="I1426" t="s">
        <v>76</v>
      </c>
      <c r="J1426" t="s">
        <v>77</v>
      </c>
      <c r="K1426" t="s">
        <v>78</v>
      </c>
      <c r="L1426" t="s">
        <v>106</v>
      </c>
      <c r="M1426" t="s">
        <v>107</v>
      </c>
      <c r="N1426" t="s">
        <v>1524</v>
      </c>
      <c r="O1426" t="s">
        <v>82</v>
      </c>
      <c r="P1426" t="str">
        <f>"2170716905                    "</f>
        <v xml:space="preserve">2170716905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8.58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 s="4">
        <v>50.45</v>
      </c>
      <c r="BM1426" s="4">
        <v>7.57</v>
      </c>
      <c r="BN1426" s="4">
        <v>58.02</v>
      </c>
      <c r="BO1426" s="4">
        <v>58.02</v>
      </c>
      <c r="BQ1426" t="s">
        <v>109</v>
      </c>
      <c r="BR1426" t="s">
        <v>84</v>
      </c>
      <c r="BS1426" s="3">
        <v>43784</v>
      </c>
      <c r="BT1426" s="5">
        <v>0.41319444444444442</v>
      </c>
      <c r="BU1426" t="s">
        <v>1925</v>
      </c>
      <c r="BV1426" t="s">
        <v>89</v>
      </c>
      <c r="BY1426">
        <v>1200</v>
      </c>
      <c r="CC1426" t="s">
        <v>107</v>
      </c>
      <c r="CD1426">
        <v>6100</v>
      </c>
      <c r="CE1426" t="s">
        <v>147</v>
      </c>
      <c r="CF1426" s="3">
        <v>43788</v>
      </c>
      <c r="CI1426">
        <v>1</v>
      </c>
      <c r="CJ1426">
        <v>2</v>
      </c>
      <c r="CK1426">
        <v>21</v>
      </c>
      <c r="CL1426" t="s">
        <v>89</v>
      </c>
    </row>
    <row r="1427" spans="1:90">
      <c r="A1427" t="s">
        <v>72</v>
      </c>
      <c r="B1427" t="s">
        <v>73</v>
      </c>
      <c r="C1427" t="s">
        <v>74</v>
      </c>
      <c r="E1427" t="str">
        <f>"FES1162722779"</f>
        <v>FES1162722779</v>
      </c>
      <c r="F1427" s="3">
        <v>43782</v>
      </c>
      <c r="G1427">
        <v>202005</v>
      </c>
      <c r="H1427" t="s">
        <v>75</v>
      </c>
      <c r="I1427" t="s">
        <v>76</v>
      </c>
      <c r="J1427" t="s">
        <v>77</v>
      </c>
      <c r="K1427" t="s">
        <v>78</v>
      </c>
      <c r="L1427" t="s">
        <v>917</v>
      </c>
      <c r="M1427" t="s">
        <v>918</v>
      </c>
      <c r="N1427" t="s">
        <v>919</v>
      </c>
      <c r="O1427" t="s">
        <v>82</v>
      </c>
      <c r="P1427" t="str">
        <f>"2170716900                    "</f>
        <v xml:space="preserve">2170716900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12.07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 s="4">
        <v>70.95</v>
      </c>
      <c r="BM1427" s="4">
        <v>10.64</v>
      </c>
      <c r="BN1427" s="4">
        <v>81.59</v>
      </c>
      <c r="BO1427" s="4">
        <v>81.59</v>
      </c>
      <c r="BQ1427" t="s">
        <v>109</v>
      </c>
      <c r="BR1427" t="s">
        <v>84</v>
      </c>
      <c r="BS1427" s="3">
        <v>43783</v>
      </c>
      <c r="BT1427" s="5">
        <v>0.33333333333333331</v>
      </c>
      <c r="BU1427" t="s">
        <v>1926</v>
      </c>
      <c r="BV1427" t="s">
        <v>86</v>
      </c>
      <c r="BY1427">
        <v>1200</v>
      </c>
      <c r="CC1427" t="s">
        <v>918</v>
      </c>
      <c r="CD1427">
        <v>2210</v>
      </c>
      <c r="CE1427" t="s">
        <v>147</v>
      </c>
      <c r="CF1427" s="3">
        <v>43784</v>
      </c>
      <c r="CI1427">
        <v>1</v>
      </c>
      <c r="CJ1427">
        <v>1</v>
      </c>
      <c r="CK1427">
        <v>24</v>
      </c>
      <c r="CL1427" t="s">
        <v>89</v>
      </c>
    </row>
    <row r="1428" spans="1:90">
      <c r="A1428" t="s">
        <v>72</v>
      </c>
      <c r="B1428" t="s">
        <v>73</v>
      </c>
      <c r="C1428" t="s">
        <v>74</v>
      </c>
      <c r="E1428" t="str">
        <f>"FES1162722745"</f>
        <v>FES1162722745</v>
      </c>
      <c r="F1428" s="3">
        <v>43782</v>
      </c>
      <c r="G1428">
        <v>202005</v>
      </c>
      <c r="H1428" t="s">
        <v>75</v>
      </c>
      <c r="I1428" t="s">
        <v>76</v>
      </c>
      <c r="J1428" t="s">
        <v>77</v>
      </c>
      <c r="K1428" t="s">
        <v>78</v>
      </c>
      <c r="L1428" t="s">
        <v>339</v>
      </c>
      <c r="M1428" t="s">
        <v>340</v>
      </c>
      <c r="N1428" t="s">
        <v>615</v>
      </c>
      <c r="O1428" t="s">
        <v>82</v>
      </c>
      <c r="P1428" t="str">
        <f>"2170714840                    "</f>
        <v xml:space="preserve">2170714840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8.58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 s="4">
        <v>50.45</v>
      </c>
      <c r="BM1428" s="4">
        <v>7.57</v>
      </c>
      <c r="BN1428" s="4">
        <v>58.02</v>
      </c>
      <c r="BO1428" s="4">
        <v>58.02</v>
      </c>
      <c r="BR1428" t="s">
        <v>84</v>
      </c>
      <c r="BS1428" s="3">
        <v>43783</v>
      </c>
      <c r="BT1428" s="5">
        <v>0.42708333333333331</v>
      </c>
      <c r="BU1428" t="s">
        <v>1916</v>
      </c>
      <c r="BV1428" t="s">
        <v>86</v>
      </c>
      <c r="BY1428">
        <v>1200</v>
      </c>
      <c r="CA1428" t="s">
        <v>343</v>
      </c>
      <c r="CC1428" t="s">
        <v>340</v>
      </c>
      <c r="CD1428">
        <v>157</v>
      </c>
      <c r="CE1428" t="s">
        <v>147</v>
      </c>
      <c r="CF1428" s="3">
        <v>43784</v>
      </c>
      <c r="CI1428">
        <v>1</v>
      </c>
      <c r="CJ1428">
        <v>1</v>
      </c>
      <c r="CK1428">
        <v>21</v>
      </c>
      <c r="CL1428" t="s">
        <v>89</v>
      </c>
    </row>
    <row r="1429" spans="1:90">
      <c r="A1429" t="s">
        <v>72</v>
      </c>
      <c r="B1429" t="s">
        <v>73</v>
      </c>
      <c r="C1429" t="s">
        <v>74</v>
      </c>
      <c r="E1429" t="str">
        <f>"FES1162722710"</f>
        <v>FES1162722710</v>
      </c>
      <c r="F1429" s="3">
        <v>43782</v>
      </c>
      <c r="G1429">
        <v>202005</v>
      </c>
      <c r="H1429" t="s">
        <v>75</v>
      </c>
      <c r="I1429" t="s">
        <v>76</v>
      </c>
      <c r="J1429" t="s">
        <v>77</v>
      </c>
      <c r="K1429" t="s">
        <v>78</v>
      </c>
      <c r="L1429" t="s">
        <v>101</v>
      </c>
      <c r="M1429" t="s">
        <v>102</v>
      </c>
      <c r="N1429" t="s">
        <v>923</v>
      </c>
      <c r="O1429" t="s">
        <v>82</v>
      </c>
      <c r="P1429" t="str">
        <f>"2170714414                    "</f>
        <v xml:space="preserve">2170714414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8.58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 s="4">
        <v>50.45</v>
      </c>
      <c r="BM1429" s="4">
        <v>7.57</v>
      </c>
      <c r="BN1429" s="4">
        <v>58.02</v>
      </c>
      <c r="BO1429" s="4">
        <v>58.02</v>
      </c>
      <c r="BQ1429" t="s">
        <v>109</v>
      </c>
      <c r="BR1429" t="s">
        <v>84</v>
      </c>
      <c r="BS1429" s="3">
        <v>43783</v>
      </c>
      <c r="BT1429" s="5">
        <v>0.46597222222222223</v>
      </c>
      <c r="BU1429" t="s">
        <v>1927</v>
      </c>
      <c r="BV1429" t="s">
        <v>89</v>
      </c>
      <c r="BY1429">
        <v>1200</v>
      </c>
      <c r="CC1429" t="s">
        <v>102</v>
      </c>
      <c r="CD1429">
        <v>2</v>
      </c>
      <c r="CE1429" t="s">
        <v>147</v>
      </c>
      <c r="CF1429" s="3">
        <v>43787</v>
      </c>
      <c r="CI1429">
        <v>1</v>
      </c>
      <c r="CJ1429">
        <v>1</v>
      </c>
      <c r="CK1429">
        <v>21</v>
      </c>
      <c r="CL1429" t="s">
        <v>89</v>
      </c>
    </row>
    <row r="1430" spans="1:90">
      <c r="A1430" t="s">
        <v>72</v>
      </c>
      <c r="B1430" t="s">
        <v>73</v>
      </c>
      <c r="C1430" t="s">
        <v>74</v>
      </c>
      <c r="E1430" t="str">
        <f>"FES1162722813"</f>
        <v>FES1162722813</v>
      </c>
      <c r="F1430" s="3">
        <v>43782</v>
      </c>
      <c r="G1430">
        <v>202005</v>
      </c>
      <c r="H1430" t="s">
        <v>75</v>
      </c>
      <c r="I1430" t="s">
        <v>76</v>
      </c>
      <c r="J1430" t="s">
        <v>77</v>
      </c>
      <c r="K1430" t="s">
        <v>78</v>
      </c>
      <c r="L1430" t="s">
        <v>124</v>
      </c>
      <c r="M1430" t="s">
        <v>125</v>
      </c>
      <c r="N1430" t="s">
        <v>1928</v>
      </c>
      <c r="O1430" t="s">
        <v>82</v>
      </c>
      <c r="P1430" t="str">
        <f>"2170709485                    "</f>
        <v xml:space="preserve">2170709485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6.71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 s="4">
        <v>39.42</v>
      </c>
      <c r="BM1430" s="4">
        <v>5.91</v>
      </c>
      <c r="BN1430" s="4">
        <v>45.33</v>
      </c>
      <c r="BO1430" s="4">
        <v>45.33</v>
      </c>
      <c r="BQ1430" t="s">
        <v>1929</v>
      </c>
      <c r="BR1430" t="s">
        <v>84</v>
      </c>
      <c r="BS1430" s="3">
        <v>43783</v>
      </c>
      <c r="BT1430" s="5">
        <v>0.38958333333333334</v>
      </c>
      <c r="BU1430" t="s">
        <v>1930</v>
      </c>
      <c r="BV1430" t="s">
        <v>86</v>
      </c>
      <c r="BY1430">
        <v>1200</v>
      </c>
      <c r="CC1430" t="s">
        <v>125</v>
      </c>
      <c r="CD1430">
        <v>2091</v>
      </c>
      <c r="CE1430" t="s">
        <v>147</v>
      </c>
      <c r="CF1430" s="3">
        <v>43784</v>
      </c>
      <c r="CI1430">
        <v>1</v>
      </c>
      <c r="CJ1430">
        <v>1</v>
      </c>
      <c r="CK1430">
        <v>22</v>
      </c>
      <c r="CL1430" t="s">
        <v>89</v>
      </c>
    </row>
    <row r="1431" spans="1:90">
      <c r="A1431" t="s">
        <v>72</v>
      </c>
      <c r="B1431" t="s">
        <v>73</v>
      </c>
      <c r="C1431" t="s">
        <v>74</v>
      </c>
      <c r="E1431" t="str">
        <f>"FES1162722777"</f>
        <v>FES1162722777</v>
      </c>
      <c r="F1431" s="3">
        <v>43782</v>
      </c>
      <c r="G1431">
        <v>202005</v>
      </c>
      <c r="H1431" t="s">
        <v>75</v>
      </c>
      <c r="I1431" t="s">
        <v>76</v>
      </c>
      <c r="J1431" t="s">
        <v>77</v>
      </c>
      <c r="K1431" t="s">
        <v>78</v>
      </c>
      <c r="L1431" t="s">
        <v>344</v>
      </c>
      <c r="M1431" t="s">
        <v>345</v>
      </c>
      <c r="N1431" t="s">
        <v>346</v>
      </c>
      <c r="O1431" t="s">
        <v>82</v>
      </c>
      <c r="P1431" t="str">
        <f>"2170716676                    "</f>
        <v xml:space="preserve">2170716676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6.71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 s="4">
        <v>39.42</v>
      </c>
      <c r="BM1431" s="4">
        <v>5.91</v>
      </c>
      <c r="BN1431" s="4">
        <v>45.33</v>
      </c>
      <c r="BO1431" s="4">
        <v>45.33</v>
      </c>
      <c r="BQ1431" t="s">
        <v>1931</v>
      </c>
      <c r="BR1431" t="s">
        <v>84</v>
      </c>
      <c r="BS1431" s="3">
        <v>43783</v>
      </c>
      <c r="BT1431" s="5">
        <v>0.43263888888888885</v>
      </c>
      <c r="BU1431" t="s">
        <v>1932</v>
      </c>
      <c r="BV1431" t="s">
        <v>86</v>
      </c>
      <c r="BY1431">
        <v>1200</v>
      </c>
      <c r="CA1431" t="s">
        <v>348</v>
      </c>
      <c r="CC1431" t="s">
        <v>345</v>
      </c>
      <c r="CD1431">
        <v>2163</v>
      </c>
      <c r="CE1431" t="s">
        <v>147</v>
      </c>
      <c r="CF1431" s="3">
        <v>43784</v>
      </c>
      <c r="CI1431">
        <v>1</v>
      </c>
      <c r="CJ1431">
        <v>1</v>
      </c>
      <c r="CK1431">
        <v>22</v>
      </c>
      <c r="CL1431" t="s">
        <v>89</v>
      </c>
    </row>
    <row r="1432" spans="1:90">
      <c r="A1432" t="s">
        <v>72</v>
      </c>
      <c r="B1432" t="s">
        <v>73</v>
      </c>
      <c r="C1432" t="s">
        <v>74</v>
      </c>
      <c r="E1432" t="str">
        <f>"FES1162722730"</f>
        <v>FES1162722730</v>
      </c>
      <c r="F1432" s="3">
        <v>43782</v>
      </c>
      <c r="G1432">
        <v>202005</v>
      </c>
      <c r="H1432" t="s">
        <v>75</v>
      </c>
      <c r="I1432" t="s">
        <v>76</v>
      </c>
      <c r="J1432" t="s">
        <v>77</v>
      </c>
      <c r="K1432" t="s">
        <v>78</v>
      </c>
      <c r="L1432" t="s">
        <v>214</v>
      </c>
      <c r="M1432" t="s">
        <v>214</v>
      </c>
      <c r="N1432" t="s">
        <v>705</v>
      </c>
      <c r="O1432" t="s">
        <v>82</v>
      </c>
      <c r="P1432" t="str">
        <f>"2170714660                    "</f>
        <v xml:space="preserve">2170714660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16.63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 s="4">
        <v>97.75</v>
      </c>
      <c r="BM1432" s="4">
        <v>14.66</v>
      </c>
      <c r="BN1432" s="4">
        <v>112.41</v>
      </c>
      <c r="BO1432" s="4">
        <v>112.41</v>
      </c>
      <c r="BQ1432" t="s">
        <v>142</v>
      </c>
      <c r="BR1432" t="s">
        <v>84</v>
      </c>
      <c r="BS1432" s="3">
        <v>43783</v>
      </c>
      <c r="BT1432" s="5">
        <v>0.49722222222222223</v>
      </c>
      <c r="BU1432" t="s">
        <v>706</v>
      </c>
      <c r="BV1432" t="s">
        <v>86</v>
      </c>
      <c r="BY1432">
        <v>1200</v>
      </c>
      <c r="CA1432" t="s">
        <v>217</v>
      </c>
      <c r="CC1432" t="s">
        <v>214</v>
      </c>
      <c r="CD1432">
        <v>7620</v>
      </c>
      <c r="CE1432" t="s">
        <v>147</v>
      </c>
      <c r="CF1432" s="3">
        <v>43784</v>
      </c>
      <c r="CI1432">
        <v>1</v>
      </c>
      <c r="CJ1432">
        <v>1</v>
      </c>
      <c r="CK1432">
        <v>23</v>
      </c>
      <c r="CL1432" t="s">
        <v>89</v>
      </c>
    </row>
    <row r="1433" spans="1:90">
      <c r="A1433" t="s">
        <v>72</v>
      </c>
      <c r="B1433" t="s">
        <v>73</v>
      </c>
      <c r="C1433" t="s">
        <v>74</v>
      </c>
      <c r="E1433" t="str">
        <f>"FES1162722822"</f>
        <v>FES1162722822</v>
      </c>
      <c r="F1433" s="3">
        <v>43782</v>
      </c>
      <c r="G1433">
        <v>202005</v>
      </c>
      <c r="H1433" t="s">
        <v>75</v>
      </c>
      <c r="I1433" t="s">
        <v>76</v>
      </c>
      <c r="J1433" t="s">
        <v>77</v>
      </c>
      <c r="K1433" t="s">
        <v>78</v>
      </c>
      <c r="L1433" t="s">
        <v>500</v>
      </c>
      <c r="M1433" t="s">
        <v>501</v>
      </c>
      <c r="N1433" t="s">
        <v>1933</v>
      </c>
      <c r="O1433" t="s">
        <v>82</v>
      </c>
      <c r="P1433" t="str">
        <f>"2170714764                    "</f>
        <v xml:space="preserve">2170714764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16.63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 s="4">
        <v>97.75</v>
      </c>
      <c r="BM1433" s="4">
        <v>14.66</v>
      </c>
      <c r="BN1433" s="4">
        <v>112.41</v>
      </c>
      <c r="BO1433" s="4">
        <v>112.41</v>
      </c>
      <c r="BQ1433" t="s">
        <v>1934</v>
      </c>
      <c r="BR1433" t="s">
        <v>84</v>
      </c>
      <c r="BS1433" s="3">
        <v>43784</v>
      </c>
      <c r="BT1433" s="5">
        <v>0.54791666666666672</v>
      </c>
      <c r="BU1433" t="s">
        <v>1935</v>
      </c>
      <c r="BV1433" t="s">
        <v>89</v>
      </c>
      <c r="BW1433" t="s">
        <v>596</v>
      </c>
      <c r="BX1433" t="s">
        <v>591</v>
      </c>
      <c r="BY1433">
        <v>1200</v>
      </c>
      <c r="CA1433" t="s">
        <v>504</v>
      </c>
      <c r="CC1433" t="s">
        <v>501</v>
      </c>
      <c r="CD1433">
        <v>7349</v>
      </c>
      <c r="CE1433" t="s">
        <v>147</v>
      </c>
      <c r="CF1433" s="3">
        <v>43787</v>
      </c>
      <c r="CI1433">
        <v>1</v>
      </c>
      <c r="CJ1433">
        <v>2</v>
      </c>
      <c r="CK1433">
        <v>23</v>
      </c>
      <c r="CL1433" t="s">
        <v>89</v>
      </c>
    </row>
    <row r="1434" spans="1:90">
      <c r="A1434" t="s">
        <v>72</v>
      </c>
      <c r="B1434" t="s">
        <v>73</v>
      </c>
      <c r="C1434" t="s">
        <v>74</v>
      </c>
      <c r="E1434" t="str">
        <f>"FES1162722771"</f>
        <v>FES1162722771</v>
      </c>
      <c r="F1434" s="3">
        <v>43782</v>
      </c>
      <c r="G1434">
        <v>202005</v>
      </c>
      <c r="H1434" t="s">
        <v>75</v>
      </c>
      <c r="I1434" t="s">
        <v>76</v>
      </c>
      <c r="J1434" t="s">
        <v>77</v>
      </c>
      <c r="K1434" t="s">
        <v>78</v>
      </c>
      <c r="L1434" t="s">
        <v>214</v>
      </c>
      <c r="M1434" t="s">
        <v>214</v>
      </c>
      <c r="N1434" t="s">
        <v>314</v>
      </c>
      <c r="O1434" t="s">
        <v>82</v>
      </c>
      <c r="P1434" t="str">
        <f>"2170716112                    "</f>
        <v xml:space="preserve">2170716112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16.63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 s="4">
        <v>97.75</v>
      </c>
      <c r="BM1434" s="4">
        <v>14.66</v>
      </c>
      <c r="BN1434" s="4">
        <v>112.41</v>
      </c>
      <c r="BO1434" s="4">
        <v>112.41</v>
      </c>
      <c r="BQ1434" t="s">
        <v>109</v>
      </c>
      <c r="BR1434" t="s">
        <v>84</v>
      </c>
      <c r="BS1434" s="3">
        <v>43783</v>
      </c>
      <c r="BT1434" s="5">
        <v>0.49027777777777781</v>
      </c>
      <c r="BU1434" t="s">
        <v>1343</v>
      </c>
      <c r="BV1434" t="s">
        <v>86</v>
      </c>
      <c r="BY1434">
        <v>1200</v>
      </c>
      <c r="CA1434" t="s">
        <v>217</v>
      </c>
      <c r="CC1434" t="s">
        <v>214</v>
      </c>
      <c r="CD1434">
        <v>7646</v>
      </c>
      <c r="CE1434" t="s">
        <v>147</v>
      </c>
      <c r="CF1434" s="3">
        <v>43784</v>
      </c>
      <c r="CI1434">
        <v>1</v>
      </c>
      <c r="CJ1434">
        <v>1</v>
      </c>
      <c r="CK1434">
        <v>23</v>
      </c>
      <c r="CL1434" t="s">
        <v>89</v>
      </c>
    </row>
    <row r="1435" spans="1:90">
      <c r="A1435" t="s">
        <v>72</v>
      </c>
      <c r="B1435" t="s">
        <v>73</v>
      </c>
      <c r="C1435" t="s">
        <v>74</v>
      </c>
      <c r="E1435" t="str">
        <f>"FES1162722752"</f>
        <v>FES1162722752</v>
      </c>
      <c r="F1435" s="3">
        <v>43782</v>
      </c>
      <c r="G1435">
        <v>202005</v>
      </c>
      <c r="H1435" t="s">
        <v>75</v>
      </c>
      <c r="I1435" t="s">
        <v>76</v>
      </c>
      <c r="J1435" t="s">
        <v>77</v>
      </c>
      <c r="K1435" t="s">
        <v>78</v>
      </c>
      <c r="L1435" t="s">
        <v>90</v>
      </c>
      <c r="M1435" t="s">
        <v>91</v>
      </c>
      <c r="N1435" t="s">
        <v>326</v>
      </c>
      <c r="O1435" t="s">
        <v>82</v>
      </c>
      <c r="P1435" t="str">
        <f>"2170714941                    "</f>
        <v xml:space="preserve">2170714941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8.58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 s="4">
        <v>50.45</v>
      </c>
      <c r="BM1435" s="4">
        <v>7.57</v>
      </c>
      <c r="BN1435" s="4">
        <v>58.02</v>
      </c>
      <c r="BO1435" s="4">
        <v>58.02</v>
      </c>
      <c r="BQ1435" t="s">
        <v>327</v>
      </c>
      <c r="BR1435" t="s">
        <v>84</v>
      </c>
      <c r="BS1435" s="3">
        <v>43783</v>
      </c>
      <c r="BT1435" s="5">
        <v>0.41319444444444442</v>
      </c>
      <c r="BU1435" t="s">
        <v>328</v>
      </c>
      <c r="BV1435" t="s">
        <v>86</v>
      </c>
      <c r="BY1435">
        <v>1200</v>
      </c>
      <c r="CA1435" t="s">
        <v>329</v>
      </c>
      <c r="CC1435" t="s">
        <v>91</v>
      </c>
      <c r="CD1435">
        <v>7405</v>
      </c>
      <c r="CE1435" t="s">
        <v>147</v>
      </c>
      <c r="CF1435" s="3">
        <v>43784</v>
      </c>
      <c r="CI1435">
        <v>1</v>
      </c>
      <c r="CJ1435">
        <v>1</v>
      </c>
      <c r="CK1435">
        <v>21</v>
      </c>
      <c r="CL1435" t="s">
        <v>89</v>
      </c>
    </row>
    <row r="1436" spans="1:90">
      <c r="A1436" t="s">
        <v>72</v>
      </c>
      <c r="B1436" t="s">
        <v>73</v>
      </c>
      <c r="C1436" t="s">
        <v>74</v>
      </c>
      <c r="E1436" t="str">
        <f>"FES1162722754"</f>
        <v>FES1162722754</v>
      </c>
      <c r="F1436" s="3">
        <v>43782</v>
      </c>
      <c r="G1436">
        <v>202005</v>
      </c>
      <c r="H1436" t="s">
        <v>75</v>
      </c>
      <c r="I1436" t="s">
        <v>76</v>
      </c>
      <c r="J1436" t="s">
        <v>77</v>
      </c>
      <c r="K1436" t="s">
        <v>78</v>
      </c>
      <c r="L1436" t="s">
        <v>891</v>
      </c>
      <c r="M1436" t="s">
        <v>892</v>
      </c>
      <c r="N1436" t="s">
        <v>893</v>
      </c>
      <c r="O1436" t="s">
        <v>82</v>
      </c>
      <c r="P1436" t="str">
        <f>"2170714947                    "</f>
        <v xml:space="preserve">2170714947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16.63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 s="4">
        <v>97.75</v>
      </c>
      <c r="BM1436" s="4">
        <v>14.66</v>
      </c>
      <c r="BN1436" s="4">
        <v>112.41</v>
      </c>
      <c r="BO1436" s="4">
        <v>112.41</v>
      </c>
      <c r="BR1436" t="s">
        <v>84</v>
      </c>
      <c r="BS1436" s="3">
        <v>43783</v>
      </c>
      <c r="BT1436" s="5">
        <v>0.53194444444444444</v>
      </c>
      <c r="BU1436" t="s">
        <v>593</v>
      </c>
      <c r="BV1436" t="s">
        <v>86</v>
      </c>
      <c r="BY1436">
        <v>1200</v>
      </c>
      <c r="CA1436" t="s">
        <v>217</v>
      </c>
      <c r="CC1436" t="s">
        <v>892</v>
      </c>
      <c r="CD1436">
        <v>7654</v>
      </c>
      <c r="CE1436" t="s">
        <v>147</v>
      </c>
      <c r="CF1436" s="3">
        <v>43784</v>
      </c>
      <c r="CI1436">
        <v>1</v>
      </c>
      <c r="CJ1436">
        <v>1</v>
      </c>
      <c r="CK1436">
        <v>23</v>
      </c>
      <c r="CL1436" t="s">
        <v>89</v>
      </c>
    </row>
    <row r="1437" spans="1:90">
      <c r="A1437" t="s">
        <v>72</v>
      </c>
      <c r="B1437" t="s">
        <v>73</v>
      </c>
      <c r="C1437" t="s">
        <v>74</v>
      </c>
      <c r="E1437" t="str">
        <f>"FES1162722811"</f>
        <v>FES1162722811</v>
      </c>
      <c r="F1437" s="3">
        <v>43782</v>
      </c>
      <c r="G1437">
        <v>202005</v>
      </c>
      <c r="H1437" t="s">
        <v>75</v>
      </c>
      <c r="I1437" t="s">
        <v>76</v>
      </c>
      <c r="J1437" t="s">
        <v>77</v>
      </c>
      <c r="K1437" t="s">
        <v>78</v>
      </c>
      <c r="L1437" t="s">
        <v>192</v>
      </c>
      <c r="M1437" t="s">
        <v>193</v>
      </c>
      <c r="N1437" t="s">
        <v>194</v>
      </c>
      <c r="O1437" t="s">
        <v>82</v>
      </c>
      <c r="P1437" t="str">
        <f>"2170714296                    "</f>
        <v xml:space="preserve">2170714296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16.63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 s="4">
        <v>97.75</v>
      </c>
      <c r="BM1437" s="4">
        <v>14.66</v>
      </c>
      <c r="BN1437" s="4">
        <v>112.41</v>
      </c>
      <c r="BO1437" s="4">
        <v>112.41</v>
      </c>
      <c r="BQ1437" t="s">
        <v>109</v>
      </c>
      <c r="BR1437" t="s">
        <v>84</v>
      </c>
      <c r="BS1437" s="3">
        <v>43783</v>
      </c>
      <c r="BT1437" s="5">
        <v>0.50138888888888888</v>
      </c>
      <c r="BU1437" t="s">
        <v>1936</v>
      </c>
      <c r="BV1437" t="s">
        <v>86</v>
      </c>
      <c r="BY1437">
        <v>1200</v>
      </c>
      <c r="CA1437" t="s">
        <v>1937</v>
      </c>
      <c r="CC1437" t="s">
        <v>193</v>
      </c>
      <c r="CD1437">
        <v>7130</v>
      </c>
      <c r="CE1437" t="s">
        <v>147</v>
      </c>
      <c r="CF1437" s="3">
        <v>43784</v>
      </c>
      <c r="CI1437">
        <v>1</v>
      </c>
      <c r="CJ1437">
        <v>1</v>
      </c>
      <c r="CK1437">
        <v>23</v>
      </c>
      <c r="CL1437" t="s">
        <v>89</v>
      </c>
    </row>
    <row r="1438" spans="1:90">
      <c r="A1438" t="s">
        <v>72</v>
      </c>
      <c r="B1438" t="s">
        <v>73</v>
      </c>
      <c r="C1438" t="s">
        <v>74</v>
      </c>
      <c r="E1438" t="str">
        <f>"FES1162722823"</f>
        <v>FES1162722823</v>
      </c>
      <c r="F1438" s="3">
        <v>43782</v>
      </c>
      <c r="G1438">
        <v>202005</v>
      </c>
      <c r="H1438" t="s">
        <v>75</v>
      </c>
      <c r="I1438" t="s">
        <v>76</v>
      </c>
      <c r="J1438" t="s">
        <v>77</v>
      </c>
      <c r="K1438" t="s">
        <v>78</v>
      </c>
      <c r="L1438" t="s">
        <v>214</v>
      </c>
      <c r="M1438" t="s">
        <v>214</v>
      </c>
      <c r="N1438" t="s">
        <v>312</v>
      </c>
      <c r="O1438" t="s">
        <v>82</v>
      </c>
      <c r="P1438" t="str">
        <f>"2170714766                    "</f>
        <v xml:space="preserve">2170714766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16.63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 s="4">
        <v>97.75</v>
      </c>
      <c r="BM1438" s="4">
        <v>14.66</v>
      </c>
      <c r="BN1438" s="4">
        <v>112.41</v>
      </c>
      <c r="BO1438" s="4">
        <v>112.41</v>
      </c>
      <c r="BQ1438" t="s">
        <v>121</v>
      </c>
      <c r="BR1438" t="s">
        <v>84</v>
      </c>
      <c r="BS1438" s="3">
        <v>43783</v>
      </c>
      <c r="BT1438" s="5">
        <v>0.50138888888888888</v>
      </c>
      <c r="BU1438" t="s">
        <v>313</v>
      </c>
      <c r="BV1438" t="s">
        <v>86</v>
      </c>
      <c r="BY1438">
        <v>1200</v>
      </c>
      <c r="CA1438" t="s">
        <v>217</v>
      </c>
      <c r="CC1438" t="s">
        <v>214</v>
      </c>
      <c r="CD1438">
        <v>7646</v>
      </c>
      <c r="CE1438" t="s">
        <v>147</v>
      </c>
      <c r="CF1438" s="3">
        <v>43784</v>
      </c>
      <c r="CI1438">
        <v>1</v>
      </c>
      <c r="CJ1438">
        <v>1</v>
      </c>
      <c r="CK1438">
        <v>23</v>
      </c>
      <c r="CL1438" t="s">
        <v>89</v>
      </c>
    </row>
    <row r="1439" spans="1:90">
      <c r="A1439" t="s">
        <v>72</v>
      </c>
      <c r="B1439" t="s">
        <v>73</v>
      </c>
      <c r="C1439" t="s">
        <v>74</v>
      </c>
      <c r="E1439" t="str">
        <f>"FES1162722666"</f>
        <v>FES1162722666</v>
      </c>
      <c r="F1439" s="3">
        <v>43782</v>
      </c>
      <c r="G1439">
        <v>202005</v>
      </c>
      <c r="H1439" t="s">
        <v>75</v>
      </c>
      <c r="I1439" t="s">
        <v>76</v>
      </c>
      <c r="J1439" t="s">
        <v>77</v>
      </c>
      <c r="K1439" t="s">
        <v>78</v>
      </c>
      <c r="L1439" t="s">
        <v>653</v>
      </c>
      <c r="M1439" t="s">
        <v>654</v>
      </c>
      <c r="N1439" t="s">
        <v>1938</v>
      </c>
      <c r="O1439" t="s">
        <v>82</v>
      </c>
      <c r="P1439" t="str">
        <f>"2170713615                    "</f>
        <v xml:space="preserve">2170713615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8.58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 s="4">
        <v>50.45</v>
      </c>
      <c r="BM1439" s="4">
        <v>7.57</v>
      </c>
      <c r="BN1439" s="4">
        <v>58.02</v>
      </c>
      <c r="BO1439" s="4">
        <v>58.02</v>
      </c>
      <c r="BQ1439" t="s">
        <v>1939</v>
      </c>
      <c r="BR1439" t="s">
        <v>84</v>
      </c>
      <c r="BS1439" s="3">
        <v>43783</v>
      </c>
      <c r="BT1439" s="5">
        <v>0.32708333333333334</v>
      </c>
      <c r="BU1439" t="s">
        <v>1940</v>
      </c>
      <c r="BV1439" t="s">
        <v>86</v>
      </c>
      <c r="BY1439">
        <v>1200</v>
      </c>
      <c r="CA1439" t="s">
        <v>448</v>
      </c>
      <c r="CC1439" t="s">
        <v>654</v>
      </c>
      <c r="CD1439">
        <v>4300</v>
      </c>
      <c r="CE1439" t="s">
        <v>147</v>
      </c>
      <c r="CF1439" s="3">
        <v>43784</v>
      </c>
      <c r="CI1439">
        <v>1</v>
      </c>
      <c r="CJ1439">
        <v>1</v>
      </c>
      <c r="CK1439">
        <v>21</v>
      </c>
      <c r="CL1439" t="s">
        <v>89</v>
      </c>
    </row>
    <row r="1440" spans="1:90">
      <c r="A1440" t="s">
        <v>72</v>
      </c>
      <c r="B1440" t="s">
        <v>73</v>
      </c>
      <c r="C1440" t="s">
        <v>74</v>
      </c>
      <c r="E1440" t="str">
        <f>"FES1162722690"</f>
        <v>FES1162722690</v>
      </c>
      <c r="F1440" s="3">
        <v>43782</v>
      </c>
      <c r="G1440">
        <v>202005</v>
      </c>
      <c r="H1440" t="s">
        <v>75</v>
      </c>
      <c r="I1440" t="s">
        <v>76</v>
      </c>
      <c r="J1440" t="s">
        <v>77</v>
      </c>
      <c r="K1440" t="s">
        <v>78</v>
      </c>
      <c r="L1440" t="s">
        <v>90</v>
      </c>
      <c r="M1440" t="s">
        <v>91</v>
      </c>
      <c r="N1440" t="s">
        <v>401</v>
      </c>
      <c r="O1440" t="s">
        <v>82</v>
      </c>
      <c r="P1440" t="str">
        <f>"2170714267                    "</f>
        <v xml:space="preserve">2170714267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8.58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 s="4">
        <v>50.45</v>
      </c>
      <c r="BM1440" s="4">
        <v>7.57</v>
      </c>
      <c r="BN1440" s="4">
        <v>58.02</v>
      </c>
      <c r="BO1440" s="4">
        <v>58.02</v>
      </c>
      <c r="BQ1440" t="s">
        <v>109</v>
      </c>
      <c r="BR1440" t="s">
        <v>84</v>
      </c>
      <c r="BS1440" s="3">
        <v>43783</v>
      </c>
      <c r="BT1440" s="5">
        <v>0.3520833333333333</v>
      </c>
      <c r="BU1440" t="s">
        <v>1941</v>
      </c>
      <c r="BV1440" t="s">
        <v>86</v>
      </c>
      <c r="BY1440">
        <v>1200</v>
      </c>
      <c r="CA1440" t="s">
        <v>1942</v>
      </c>
      <c r="CC1440" t="s">
        <v>91</v>
      </c>
      <c r="CD1440">
        <v>7441</v>
      </c>
      <c r="CE1440" t="s">
        <v>147</v>
      </c>
      <c r="CF1440" s="3">
        <v>43784</v>
      </c>
      <c r="CI1440">
        <v>1</v>
      </c>
      <c r="CJ1440">
        <v>1</v>
      </c>
      <c r="CK1440">
        <v>21</v>
      </c>
      <c r="CL1440" t="s">
        <v>89</v>
      </c>
    </row>
    <row r="1441" spans="1:90">
      <c r="A1441" t="s">
        <v>72</v>
      </c>
      <c r="B1441" t="s">
        <v>73</v>
      </c>
      <c r="C1441" t="s">
        <v>74</v>
      </c>
      <c r="E1441" t="str">
        <f>"FES1162722760"</f>
        <v>FES1162722760</v>
      </c>
      <c r="F1441" s="3">
        <v>43782</v>
      </c>
      <c r="G1441">
        <v>202005</v>
      </c>
      <c r="H1441" t="s">
        <v>75</v>
      </c>
      <c r="I1441" t="s">
        <v>76</v>
      </c>
      <c r="J1441" t="s">
        <v>77</v>
      </c>
      <c r="K1441" t="s">
        <v>78</v>
      </c>
      <c r="L1441" t="s">
        <v>112</v>
      </c>
      <c r="M1441" t="s">
        <v>113</v>
      </c>
      <c r="N1441" t="s">
        <v>373</v>
      </c>
      <c r="O1441" t="s">
        <v>82</v>
      </c>
      <c r="P1441" t="str">
        <f>"2170714998                    "</f>
        <v xml:space="preserve">2170714998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8.58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 s="4">
        <v>50.45</v>
      </c>
      <c r="BM1441" s="4">
        <v>7.57</v>
      </c>
      <c r="BN1441" s="4">
        <v>58.02</v>
      </c>
      <c r="BO1441" s="4">
        <v>58.02</v>
      </c>
      <c r="BQ1441" t="s">
        <v>121</v>
      </c>
      <c r="BR1441" t="s">
        <v>84</v>
      </c>
      <c r="BS1441" s="3">
        <v>43783</v>
      </c>
      <c r="BT1441" s="5">
        <v>0.36944444444444446</v>
      </c>
      <c r="BU1441" t="s">
        <v>1943</v>
      </c>
      <c r="BV1441" t="s">
        <v>86</v>
      </c>
      <c r="BY1441">
        <v>1200</v>
      </c>
      <c r="CA1441" t="s">
        <v>448</v>
      </c>
      <c r="CC1441" t="s">
        <v>113</v>
      </c>
      <c r="CD1441">
        <v>4052</v>
      </c>
      <c r="CE1441" t="s">
        <v>147</v>
      </c>
      <c r="CF1441" s="3">
        <v>43784</v>
      </c>
      <c r="CI1441">
        <v>1</v>
      </c>
      <c r="CJ1441">
        <v>1</v>
      </c>
      <c r="CK1441">
        <v>21</v>
      </c>
      <c r="CL1441" t="s">
        <v>89</v>
      </c>
    </row>
    <row r="1442" spans="1:90">
      <c r="A1442" t="s">
        <v>72</v>
      </c>
      <c r="B1442" t="s">
        <v>73</v>
      </c>
      <c r="C1442" t="s">
        <v>74</v>
      </c>
      <c r="E1442" t="str">
        <f>"FES1162722680"</f>
        <v>FES1162722680</v>
      </c>
      <c r="F1442" s="3">
        <v>43782</v>
      </c>
      <c r="G1442">
        <v>202005</v>
      </c>
      <c r="H1442" t="s">
        <v>75</v>
      </c>
      <c r="I1442" t="s">
        <v>76</v>
      </c>
      <c r="J1442" t="s">
        <v>77</v>
      </c>
      <c r="K1442" t="s">
        <v>78</v>
      </c>
      <c r="L1442" t="s">
        <v>176</v>
      </c>
      <c r="M1442" t="s">
        <v>177</v>
      </c>
      <c r="N1442" t="s">
        <v>1136</v>
      </c>
      <c r="O1442" t="s">
        <v>82</v>
      </c>
      <c r="P1442" t="str">
        <f>"2170714189                    "</f>
        <v xml:space="preserve">2170714189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8.58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 s="4">
        <v>50.45</v>
      </c>
      <c r="BM1442" s="4">
        <v>7.57</v>
      </c>
      <c r="BN1442" s="4">
        <v>58.02</v>
      </c>
      <c r="BO1442" s="4">
        <v>58.02</v>
      </c>
      <c r="BQ1442" t="s">
        <v>121</v>
      </c>
      <c r="BR1442" t="s">
        <v>84</v>
      </c>
      <c r="BS1442" s="3">
        <v>43783</v>
      </c>
      <c r="BT1442" s="5">
        <v>0.4201388888888889</v>
      </c>
      <c r="BU1442" t="s">
        <v>1944</v>
      </c>
      <c r="BV1442" t="s">
        <v>86</v>
      </c>
      <c r="BY1442">
        <v>1200</v>
      </c>
      <c r="CA1442" t="s">
        <v>1945</v>
      </c>
      <c r="CC1442" t="s">
        <v>177</v>
      </c>
      <c r="CD1442">
        <v>3610</v>
      </c>
      <c r="CE1442" t="s">
        <v>147</v>
      </c>
      <c r="CF1442" s="3">
        <v>43784</v>
      </c>
      <c r="CI1442">
        <v>1</v>
      </c>
      <c r="CJ1442">
        <v>1</v>
      </c>
      <c r="CK1442">
        <v>21</v>
      </c>
      <c r="CL1442" t="s">
        <v>89</v>
      </c>
    </row>
    <row r="1443" spans="1:90">
      <c r="A1443" t="s">
        <v>72</v>
      </c>
      <c r="B1443" t="s">
        <v>73</v>
      </c>
      <c r="C1443" t="s">
        <v>74</v>
      </c>
      <c r="E1443" t="str">
        <f>"FES1162722778"</f>
        <v>FES1162722778</v>
      </c>
      <c r="F1443" s="3">
        <v>43782</v>
      </c>
      <c r="G1443">
        <v>202005</v>
      </c>
      <c r="H1443" t="s">
        <v>75</v>
      </c>
      <c r="I1443" t="s">
        <v>76</v>
      </c>
      <c r="J1443" t="s">
        <v>77</v>
      </c>
      <c r="K1443" t="s">
        <v>78</v>
      </c>
      <c r="L1443" t="s">
        <v>112</v>
      </c>
      <c r="M1443" t="s">
        <v>113</v>
      </c>
      <c r="N1443" t="s">
        <v>423</v>
      </c>
      <c r="O1443" t="s">
        <v>82</v>
      </c>
      <c r="P1443" t="str">
        <f>"2170716887                    "</f>
        <v xml:space="preserve">2170716887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8.58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 s="4">
        <v>50.45</v>
      </c>
      <c r="BM1443" s="4">
        <v>7.57</v>
      </c>
      <c r="BN1443" s="4">
        <v>58.02</v>
      </c>
      <c r="BO1443" s="4">
        <v>58.02</v>
      </c>
      <c r="BQ1443" t="s">
        <v>424</v>
      </c>
      <c r="BR1443" t="s">
        <v>84</v>
      </c>
      <c r="BS1443" s="3">
        <v>43783</v>
      </c>
      <c r="BT1443" s="5">
        <v>0.29375000000000001</v>
      </c>
      <c r="BU1443" t="s">
        <v>1946</v>
      </c>
      <c r="BV1443" t="s">
        <v>86</v>
      </c>
      <c r="BY1443">
        <v>1200</v>
      </c>
      <c r="CA1443" t="s">
        <v>426</v>
      </c>
      <c r="CC1443" t="s">
        <v>113</v>
      </c>
      <c r="CD1443">
        <v>4001</v>
      </c>
      <c r="CE1443" t="s">
        <v>147</v>
      </c>
      <c r="CF1443" s="3">
        <v>43784</v>
      </c>
      <c r="CI1443">
        <v>1</v>
      </c>
      <c r="CJ1443">
        <v>1</v>
      </c>
      <c r="CK1443">
        <v>21</v>
      </c>
      <c r="CL1443" t="s">
        <v>89</v>
      </c>
    </row>
    <row r="1444" spans="1:90">
      <c r="A1444" t="s">
        <v>72</v>
      </c>
      <c r="B1444" t="s">
        <v>73</v>
      </c>
      <c r="C1444" t="s">
        <v>74</v>
      </c>
      <c r="E1444" t="str">
        <f>"FES1162722759"</f>
        <v>FES1162722759</v>
      </c>
      <c r="F1444" s="3">
        <v>43782</v>
      </c>
      <c r="G1444">
        <v>202005</v>
      </c>
      <c r="H1444" t="s">
        <v>75</v>
      </c>
      <c r="I1444" t="s">
        <v>76</v>
      </c>
      <c r="J1444" t="s">
        <v>77</v>
      </c>
      <c r="K1444" t="s">
        <v>78</v>
      </c>
      <c r="L1444" t="s">
        <v>1680</v>
      </c>
      <c r="M1444" t="s">
        <v>1681</v>
      </c>
      <c r="N1444" t="s">
        <v>369</v>
      </c>
      <c r="O1444" t="s">
        <v>82</v>
      </c>
      <c r="P1444" t="str">
        <f>"2170714994                    "</f>
        <v xml:space="preserve">2170714994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16.63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 s="4">
        <v>97.75</v>
      </c>
      <c r="BM1444" s="4">
        <v>14.66</v>
      </c>
      <c r="BN1444" s="4">
        <v>112.41</v>
      </c>
      <c r="BO1444" s="4">
        <v>112.41</v>
      </c>
      <c r="BQ1444" t="s">
        <v>246</v>
      </c>
      <c r="BR1444" t="s">
        <v>84</v>
      </c>
      <c r="BS1444" s="3">
        <v>43783</v>
      </c>
      <c r="BT1444" s="5">
        <v>0.44722222222222219</v>
      </c>
      <c r="BU1444" t="s">
        <v>1947</v>
      </c>
      <c r="BV1444" t="s">
        <v>86</v>
      </c>
      <c r="BY1444">
        <v>1200</v>
      </c>
      <c r="CA1444" t="s">
        <v>1683</v>
      </c>
      <c r="CC1444" t="s">
        <v>1681</v>
      </c>
      <c r="CD1444">
        <v>4449</v>
      </c>
      <c r="CE1444" t="s">
        <v>147</v>
      </c>
      <c r="CF1444" s="3">
        <v>43784</v>
      </c>
      <c r="CI1444">
        <v>1</v>
      </c>
      <c r="CJ1444">
        <v>1</v>
      </c>
      <c r="CK1444">
        <v>23</v>
      </c>
      <c r="CL1444" t="s">
        <v>89</v>
      </c>
    </row>
    <row r="1445" spans="1:90">
      <c r="A1445" t="s">
        <v>72</v>
      </c>
      <c r="B1445" t="s">
        <v>73</v>
      </c>
      <c r="C1445" t="s">
        <v>74</v>
      </c>
      <c r="E1445" t="str">
        <f>"FES1162722726"</f>
        <v>FES1162722726</v>
      </c>
      <c r="F1445" s="3">
        <v>43782</v>
      </c>
      <c r="G1445">
        <v>202005</v>
      </c>
      <c r="H1445" t="s">
        <v>75</v>
      </c>
      <c r="I1445" t="s">
        <v>76</v>
      </c>
      <c r="J1445" t="s">
        <v>77</v>
      </c>
      <c r="K1445" t="s">
        <v>78</v>
      </c>
      <c r="L1445" t="s">
        <v>925</v>
      </c>
      <c r="M1445" t="s">
        <v>926</v>
      </c>
      <c r="N1445" t="s">
        <v>927</v>
      </c>
      <c r="O1445" t="s">
        <v>82</v>
      </c>
      <c r="P1445" t="str">
        <f>"2170714353                    "</f>
        <v xml:space="preserve">2170714353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12.07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 s="4">
        <v>70.95</v>
      </c>
      <c r="BM1445" s="4">
        <v>10.64</v>
      </c>
      <c r="BN1445" s="4">
        <v>81.59</v>
      </c>
      <c r="BO1445" s="4">
        <v>81.59</v>
      </c>
      <c r="BQ1445" t="s">
        <v>109</v>
      </c>
      <c r="BR1445" t="s">
        <v>84</v>
      </c>
      <c r="BS1445" s="3">
        <v>43783</v>
      </c>
      <c r="BT1445" s="5">
        <v>0.625</v>
      </c>
      <c r="BU1445" t="s">
        <v>1948</v>
      </c>
      <c r="BV1445" t="s">
        <v>86</v>
      </c>
      <c r="BY1445">
        <v>1200</v>
      </c>
      <c r="CA1445" t="s">
        <v>929</v>
      </c>
      <c r="CC1445" t="s">
        <v>926</v>
      </c>
      <c r="CD1445">
        <v>1028</v>
      </c>
      <c r="CE1445" t="s">
        <v>147</v>
      </c>
      <c r="CF1445" s="3">
        <v>43787</v>
      </c>
      <c r="CI1445">
        <v>1</v>
      </c>
      <c r="CJ1445">
        <v>1</v>
      </c>
      <c r="CK1445">
        <v>24</v>
      </c>
      <c r="CL1445" t="s">
        <v>89</v>
      </c>
    </row>
    <row r="1446" spans="1:90">
      <c r="A1446" t="s">
        <v>72</v>
      </c>
      <c r="B1446" t="s">
        <v>73</v>
      </c>
      <c r="C1446" t="s">
        <v>74</v>
      </c>
      <c r="E1446" t="str">
        <f>"FES1162722758"</f>
        <v>FES1162722758</v>
      </c>
      <c r="F1446" s="3">
        <v>43782</v>
      </c>
      <c r="G1446">
        <v>202005</v>
      </c>
      <c r="H1446" t="s">
        <v>75</v>
      </c>
      <c r="I1446" t="s">
        <v>76</v>
      </c>
      <c r="J1446" t="s">
        <v>77</v>
      </c>
      <c r="K1446" t="s">
        <v>78</v>
      </c>
      <c r="L1446" t="s">
        <v>90</v>
      </c>
      <c r="M1446" t="s">
        <v>91</v>
      </c>
      <c r="N1446" t="s">
        <v>674</v>
      </c>
      <c r="O1446" t="s">
        <v>82</v>
      </c>
      <c r="P1446" t="str">
        <f>"2170714992                    "</f>
        <v xml:space="preserve">2170714992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8.58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 s="4">
        <v>50.45</v>
      </c>
      <c r="BM1446" s="4">
        <v>7.57</v>
      </c>
      <c r="BN1446" s="4">
        <v>58.02</v>
      </c>
      <c r="BO1446" s="4">
        <v>58.02</v>
      </c>
      <c r="BQ1446" t="s">
        <v>109</v>
      </c>
      <c r="BR1446" t="s">
        <v>84</v>
      </c>
      <c r="BS1446" s="3">
        <v>43783</v>
      </c>
      <c r="BT1446" s="5">
        <v>0.35833333333333334</v>
      </c>
      <c r="BU1446" t="s">
        <v>1949</v>
      </c>
      <c r="BV1446" t="s">
        <v>86</v>
      </c>
      <c r="BY1446">
        <v>1200</v>
      </c>
      <c r="CA1446" t="s">
        <v>1121</v>
      </c>
      <c r="CC1446" t="s">
        <v>91</v>
      </c>
      <c r="CD1446">
        <v>7764</v>
      </c>
      <c r="CE1446" t="s">
        <v>147</v>
      </c>
      <c r="CF1446" s="3">
        <v>43784</v>
      </c>
      <c r="CI1446">
        <v>1</v>
      </c>
      <c r="CJ1446">
        <v>1</v>
      </c>
      <c r="CK1446">
        <v>21</v>
      </c>
      <c r="CL1446" t="s">
        <v>89</v>
      </c>
    </row>
    <row r="1447" spans="1:90">
      <c r="A1447" t="s">
        <v>72</v>
      </c>
      <c r="B1447" t="s">
        <v>73</v>
      </c>
      <c r="C1447" t="s">
        <v>74</v>
      </c>
      <c r="E1447" t="str">
        <f>"FES1162722705"</f>
        <v>FES1162722705</v>
      </c>
      <c r="F1447" s="3">
        <v>43782</v>
      </c>
      <c r="G1447">
        <v>202005</v>
      </c>
      <c r="H1447" t="s">
        <v>75</v>
      </c>
      <c r="I1447" t="s">
        <v>76</v>
      </c>
      <c r="J1447" t="s">
        <v>77</v>
      </c>
      <c r="K1447" t="s">
        <v>78</v>
      </c>
      <c r="L1447" t="s">
        <v>101</v>
      </c>
      <c r="M1447" t="s">
        <v>102</v>
      </c>
      <c r="N1447" t="s">
        <v>330</v>
      </c>
      <c r="O1447" t="s">
        <v>82</v>
      </c>
      <c r="P1447" t="str">
        <f>"2170714377                    "</f>
        <v xml:space="preserve">2170714377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8.58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 s="4">
        <v>50.45</v>
      </c>
      <c r="BM1447" s="4">
        <v>7.57</v>
      </c>
      <c r="BN1447" s="4">
        <v>58.02</v>
      </c>
      <c r="BO1447" s="4">
        <v>58.02</v>
      </c>
      <c r="BQ1447" t="s">
        <v>109</v>
      </c>
      <c r="BR1447" t="s">
        <v>84</v>
      </c>
      <c r="BS1447" s="3">
        <v>43783</v>
      </c>
      <c r="BT1447" s="5">
        <v>0.42708333333333331</v>
      </c>
      <c r="BU1447" t="s">
        <v>1950</v>
      </c>
      <c r="BV1447" t="s">
        <v>86</v>
      </c>
      <c r="BY1447">
        <v>1200</v>
      </c>
      <c r="CA1447" t="s">
        <v>183</v>
      </c>
      <c r="CC1447" t="s">
        <v>102</v>
      </c>
      <c r="CD1447">
        <v>200</v>
      </c>
      <c r="CE1447" t="s">
        <v>147</v>
      </c>
      <c r="CF1447" s="3">
        <v>43784</v>
      </c>
      <c r="CI1447">
        <v>1</v>
      </c>
      <c r="CJ1447">
        <v>1</v>
      </c>
      <c r="CK1447">
        <v>21</v>
      </c>
      <c r="CL1447" t="s">
        <v>89</v>
      </c>
    </row>
    <row r="1448" spans="1:90">
      <c r="A1448" t="s">
        <v>72</v>
      </c>
      <c r="B1448" t="s">
        <v>73</v>
      </c>
      <c r="C1448" t="s">
        <v>74</v>
      </c>
      <c r="E1448" t="str">
        <f>"FES1162722765"</f>
        <v>FES1162722765</v>
      </c>
      <c r="F1448" s="3">
        <v>43782</v>
      </c>
      <c r="G1448">
        <v>202005</v>
      </c>
      <c r="H1448" t="s">
        <v>75</v>
      </c>
      <c r="I1448" t="s">
        <v>76</v>
      </c>
      <c r="J1448" t="s">
        <v>77</v>
      </c>
      <c r="K1448" t="s">
        <v>78</v>
      </c>
      <c r="L1448" t="s">
        <v>90</v>
      </c>
      <c r="M1448" t="s">
        <v>91</v>
      </c>
      <c r="N1448" t="s">
        <v>527</v>
      </c>
      <c r="O1448" t="s">
        <v>82</v>
      </c>
      <c r="P1448" t="str">
        <f>"2170715050                    "</f>
        <v xml:space="preserve">2170715050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8.58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 s="4">
        <v>50.45</v>
      </c>
      <c r="BM1448" s="4">
        <v>7.57</v>
      </c>
      <c r="BN1448" s="4">
        <v>58.02</v>
      </c>
      <c r="BO1448" s="4">
        <v>58.02</v>
      </c>
      <c r="BQ1448" t="s">
        <v>109</v>
      </c>
      <c r="BR1448" t="s">
        <v>84</v>
      </c>
      <c r="BS1448" s="3">
        <v>43783</v>
      </c>
      <c r="BT1448" s="5">
        <v>0.31944444444444448</v>
      </c>
      <c r="BU1448" t="s">
        <v>1951</v>
      </c>
      <c r="BV1448" t="s">
        <v>86</v>
      </c>
      <c r="BY1448">
        <v>1200</v>
      </c>
      <c r="CA1448" t="s">
        <v>221</v>
      </c>
      <c r="CC1448" t="s">
        <v>91</v>
      </c>
      <c r="CD1448">
        <v>7405</v>
      </c>
      <c r="CE1448" t="s">
        <v>147</v>
      </c>
      <c r="CF1448" s="3">
        <v>43784</v>
      </c>
      <c r="CI1448">
        <v>1</v>
      </c>
      <c r="CJ1448">
        <v>1</v>
      </c>
      <c r="CK1448">
        <v>21</v>
      </c>
      <c r="CL1448" t="s">
        <v>89</v>
      </c>
    </row>
    <row r="1449" spans="1:90">
      <c r="A1449" t="s">
        <v>72</v>
      </c>
      <c r="B1449" t="s">
        <v>73</v>
      </c>
      <c r="C1449" t="s">
        <v>74</v>
      </c>
      <c r="E1449" t="str">
        <f>"FES1162722769"</f>
        <v>FES1162722769</v>
      </c>
      <c r="F1449" s="3">
        <v>43782</v>
      </c>
      <c r="G1449">
        <v>202005</v>
      </c>
      <c r="H1449" t="s">
        <v>75</v>
      </c>
      <c r="I1449" t="s">
        <v>76</v>
      </c>
      <c r="J1449" t="s">
        <v>77</v>
      </c>
      <c r="K1449" t="s">
        <v>78</v>
      </c>
      <c r="L1449" t="s">
        <v>90</v>
      </c>
      <c r="M1449" t="s">
        <v>91</v>
      </c>
      <c r="N1449" t="s">
        <v>1952</v>
      </c>
      <c r="O1449" t="s">
        <v>82</v>
      </c>
      <c r="P1449" t="str">
        <f>"2170715514                    "</f>
        <v xml:space="preserve">2170715514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8.58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 s="4">
        <v>50.45</v>
      </c>
      <c r="BM1449" s="4">
        <v>7.57</v>
      </c>
      <c r="BN1449" s="4">
        <v>58.02</v>
      </c>
      <c r="BO1449" s="4">
        <v>58.02</v>
      </c>
      <c r="BQ1449" t="s">
        <v>142</v>
      </c>
      <c r="BR1449" t="s">
        <v>84</v>
      </c>
      <c r="BS1449" s="3">
        <v>43783</v>
      </c>
      <c r="BT1449" s="5">
        <v>0.4201388888888889</v>
      </c>
      <c r="BU1449" t="s">
        <v>1953</v>
      </c>
      <c r="BV1449" t="s">
        <v>86</v>
      </c>
      <c r="BY1449">
        <v>1200</v>
      </c>
      <c r="CA1449" t="s">
        <v>680</v>
      </c>
      <c r="CC1449" t="s">
        <v>91</v>
      </c>
      <c r="CD1449">
        <v>7500</v>
      </c>
      <c r="CE1449" t="s">
        <v>147</v>
      </c>
      <c r="CF1449" s="3">
        <v>43784</v>
      </c>
      <c r="CI1449">
        <v>1</v>
      </c>
      <c r="CJ1449">
        <v>1</v>
      </c>
      <c r="CK1449">
        <v>21</v>
      </c>
      <c r="CL1449" t="s">
        <v>89</v>
      </c>
    </row>
    <row r="1450" spans="1:90">
      <c r="A1450" t="s">
        <v>72</v>
      </c>
      <c r="B1450" t="s">
        <v>73</v>
      </c>
      <c r="C1450" t="s">
        <v>74</v>
      </c>
      <c r="E1450" t="str">
        <f>"FES1162722819"</f>
        <v>FES1162722819</v>
      </c>
      <c r="F1450" s="3">
        <v>43782</v>
      </c>
      <c r="G1450">
        <v>202005</v>
      </c>
      <c r="H1450" t="s">
        <v>75</v>
      </c>
      <c r="I1450" t="s">
        <v>76</v>
      </c>
      <c r="J1450" t="s">
        <v>77</v>
      </c>
      <c r="K1450" t="s">
        <v>78</v>
      </c>
      <c r="L1450" t="s">
        <v>75</v>
      </c>
      <c r="M1450" t="s">
        <v>76</v>
      </c>
      <c r="N1450" t="s">
        <v>1423</v>
      </c>
      <c r="O1450" t="s">
        <v>82</v>
      </c>
      <c r="P1450" t="str">
        <f>"2170714716                    "</f>
        <v xml:space="preserve">2170714716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6.71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 s="4">
        <v>39.42</v>
      </c>
      <c r="BM1450" s="4">
        <v>5.91</v>
      </c>
      <c r="BN1450" s="4">
        <v>45.33</v>
      </c>
      <c r="BO1450" s="4">
        <v>45.33</v>
      </c>
      <c r="BQ1450" t="s">
        <v>1424</v>
      </c>
      <c r="BR1450" t="s">
        <v>84</v>
      </c>
      <c r="BS1450" s="3">
        <v>43783</v>
      </c>
      <c r="BT1450" s="5">
        <v>0.36805555555555558</v>
      </c>
      <c r="BU1450" t="s">
        <v>1425</v>
      </c>
      <c r="BV1450" t="s">
        <v>86</v>
      </c>
      <c r="BY1450">
        <v>1200</v>
      </c>
      <c r="CA1450" t="s">
        <v>198</v>
      </c>
      <c r="CC1450" t="s">
        <v>76</v>
      </c>
      <c r="CD1450">
        <v>1601</v>
      </c>
      <c r="CE1450" t="s">
        <v>147</v>
      </c>
      <c r="CF1450" s="3">
        <v>43784</v>
      </c>
      <c r="CI1450">
        <v>1</v>
      </c>
      <c r="CJ1450">
        <v>1</v>
      </c>
      <c r="CK1450">
        <v>22</v>
      </c>
      <c r="CL1450" t="s">
        <v>89</v>
      </c>
    </row>
    <row r="1451" spans="1:90">
      <c r="A1451" t="s">
        <v>72</v>
      </c>
      <c r="B1451" t="s">
        <v>73</v>
      </c>
      <c r="C1451" t="s">
        <v>74</v>
      </c>
      <c r="E1451" t="str">
        <f>"FES1162722716"</f>
        <v>FES1162722716</v>
      </c>
      <c r="F1451" s="3">
        <v>43782</v>
      </c>
      <c r="G1451">
        <v>202005</v>
      </c>
      <c r="H1451" t="s">
        <v>75</v>
      </c>
      <c r="I1451" t="s">
        <v>76</v>
      </c>
      <c r="J1451" t="s">
        <v>77</v>
      </c>
      <c r="K1451" t="s">
        <v>78</v>
      </c>
      <c r="L1451" t="s">
        <v>344</v>
      </c>
      <c r="M1451" t="s">
        <v>345</v>
      </c>
      <c r="N1451" t="s">
        <v>550</v>
      </c>
      <c r="O1451" t="s">
        <v>82</v>
      </c>
      <c r="P1451" t="str">
        <f>"2170714464                    "</f>
        <v xml:space="preserve">2170714464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6.71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 s="4">
        <v>39.42</v>
      </c>
      <c r="BM1451" s="4">
        <v>5.91</v>
      </c>
      <c r="BN1451" s="4">
        <v>45.33</v>
      </c>
      <c r="BO1451" s="4">
        <v>45.33</v>
      </c>
      <c r="BQ1451" t="s">
        <v>109</v>
      </c>
      <c r="BR1451" t="s">
        <v>84</v>
      </c>
      <c r="BS1451" s="3">
        <v>43783</v>
      </c>
      <c r="BT1451" s="5">
        <v>0.38263888888888892</v>
      </c>
      <c r="BU1451" t="s">
        <v>1163</v>
      </c>
      <c r="BV1451" t="s">
        <v>86</v>
      </c>
      <c r="BY1451">
        <v>1200</v>
      </c>
      <c r="CA1451" t="s">
        <v>348</v>
      </c>
      <c r="CC1451" t="s">
        <v>345</v>
      </c>
      <c r="CD1451">
        <v>2163</v>
      </c>
      <c r="CE1451" t="s">
        <v>147</v>
      </c>
      <c r="CF1451" s="3">
        <v>43784</v>
      </c>
      <c r="CI1451">
        <v>1</v>
      </c>
      <c r="CJ1451">
        <v>1</v>
      </c>
      <c r="CK1451">
        <v>22</v>
      </c>
      <c r="CL1451" t="s">
        <v>89</v>
      </c>
    </row>
    <row r="1452" spans="1:90">
      <c r="A1452" t="s">
        <v>72</v>
      </c>
      <c r="B1452" t="s">
        <v>73</v>
      </c>
      <c r="C1452" t="s">
        <v>74</v>
      </c>
      <c r="E1452" t="str">
        <f>"FES1162722881"</f>
        <v>FES1162722881</v>
      </c>
      <c r="F1452" s="3">
        <v>43782</v>
      </c>
      <c r="G1452">
        <v>202005</v>
      </c>
      <c r="H1452" t="s">
        <v>75</v>
      </c>
      <c r="I1452" t="s">
        <v>76</v>
      </c>
      <c r="J1452" t="s">
        <v>77</v>
      </c>
      <c r="K1452" t="s">
        <v>78</v>
      </c>
      <c r="L1452" t="s">
        <v>95</v>
      </c>
      <c r="M1452" t="s">
        <v>96</v>
      </c>
      <c r="N1452" t="s">
        <v>330</v>
      </c>
      <c r="O1452" t="s">
        <v>82</v>
      </c>
      <c r="P1452" t="str">
        <f>"217071974                     "</f>
        <v xml:space="preserve">217071974 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6.71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 s="4">
        <v>39.42</v>
      </c>
      <c r="BM1452" s="4">
        <v>5.91</v>
      </c>
      <c r="BN1452" s="4">
        <v>45.33</v>
      </c>
      <c r="BO1452" s="4">
        <v>45.33</v>
      </c>
      <c r="BQ1452" t="s">
        <v>109</v>
      </c>
      <c r="BR1452" t="s">
        <v>84</v>
      </c>
      <c r="BS1452" s="3">
        <v>43783</v>
      </c>
      <c r="BT1452" s="5">
        <v>0.35069444444444442</v>
      </c>
      <c r="BU1452" t="s">
        <v>1954</v>
      </c>
      <c r="BV1452" t="s">
        <v>86</v>
      </c>
      <c r="BY1452">
        <v>1200</v>
      </c>
      <c r="CC1452" t="s">
        <v>96</v>
      </c>
      <c r="CD1452">
        <v>1451</v>
      </c>
      <c r="CE1452" t="s">
        <v>147</v>
      </c>
      <c r="CF1452" s="3">
        <v>43784</v>
      </c>
      <c r="CI1452">
        <v>1</v>
      </c>
      <c r="CJ1452">
        <v>1</v>
      </c>
      <c r="CK1452">
        <v>22</v>
      </c>
      <c r="CL1452" t="s">
        <v>89</v>
      </c>
    </row>
    <row r="1453" spans="1:90">
      <c r="A1453" t="s">
        <v>72</v>
      </c>
      <c r="B1453" t="s">
        <v>73</v>
      </c>
      <c r="C1453" t="s">
        <v>74</v>
      </c>
      <c r="E1453" t="str">
        <f>"FES1162722761"</f>
        <v>FES1162722761</v>
      </c>
      <c r="F1453" s="3">
        <v>43782</v>
      </c>
      <c r="G1453">
        <v>202005</v>
      </c>
      <c r="H1453" t="s">
        <v>75</v>
      </c>
      <c r="I1453" t="s">
        <v>76</v>
      </c>
      <c r="J1453" t="s">
        <v>77</v>
      </c>
      <c r="K1453" t="s">
        <v>78</v>
      </c>
      <c r="L1453" t="s">
        <v>90</v>
      </c>
      <c r="M1453" t="s">
        <v>91</v>
      </c>
      <c r="N1453" t="s">
        <v>538</v>
      </c>
      <c r="O1453" t="s">
        <v>82</v>
      </c>
      <c r="P1453" t="str">
        <f>"2170715008                    "</f>
        <v xml:space="preserve">2170715008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8.58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 s="4">
        <v>50.45</v>
      </c>
      <c r="BM1453" s="4">
        <v>7.57</v>
      </c>
      <c r="BN1453" s="4">
        <v>58.02</v>
      </c>
      <c r="BO1453" s="4">
        <v>58.02</v>
      </c>
      <c r="BQ1453" t="s">
        <v>109</v>
      </c>
      <c r="BR1453" t="s">
        <v>84</v>
      </c>
      <c r="BS1453" s="3">
        <v>43783</v>
      </c>
      <c r="BT1453" s="5">
        <v>0.32500000000000001</v>
      </c>
      <c r="BU1453" t="s">
        <v>1955</v>
      </c>
      <c r="BV1453" t="s">
        <v>86</v>
      </c>
      <c r="BY1453">
        <v>1200</v>
      </c>
      <c r="CA1453" t="s">
        <v>140</v>
      </c>
      <c r="CC1453" t="s">
        <v>91</v>
      </c>
      <c r="CD1453">
        <v>7530</v>
      </c>
      <c r="CE1453" t="s">
        <v>147</v>
      </c>
      <c r="CF1453" s="3">
        <v>43784</v>
      </c>
      <c r="CI1453">
        <v>1</v>
      </c>
      <c r="CJ1453">
        <v>1</v>
      </c>
      <c r="CK1453">
        <v>21</v>
      </c>
      <c r="CL1453" t="s">
        <v>89</v>
      </c>
    </row>
    <row r="1454" spans="1:90">
      <c r="A1454" t="s">
        <v>72</v>
      </c>
      <c r="B1454" t="s">
        <v>73</v>
      </c>
      <c r="C1454" t="s">
        <v>74</v>
      </c>
      <c r="E1454" t="str">
        <f>"FES1162722770"</f>
        <v>FES1162722770</v>
      </c>
      <c r="F1454" s="3">
        <v>43782</v>
      </c>
      <c r="G1454">
        <v>202005</v>
      </c>
      <c r="H1454" t="s">
        <v>75</v>
      </c>
      <c r="I1454" t="s">
        <v>76</v>
      </c>
      <c r="J1454" t="s">
        <v>77</v>
      </c>
      <c r="K1454" t="s">
        <v>78</v>
      </c>
      <c r="L1454" t="s">
        <v>176</v>
      </c>
      <c r="M1454" t="s">
        <v>177</v>
      </c>
      <c r="N1454" t="s">
        <v>602</v>
      </c>
      <c r="O1454" t="s">
        <v>82</v>
      </c>
      <c r="P1454" t="str">
        <f>"217071913                     "</f>
        <v xml:space="preserve">217071913 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8.58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 s="4">
        <v>50.45</v>
      </c>
      <c r="BM1454" s="4">
        <v>7.57</v>
      </c>
      <c r="BN1454" s="4">
        <v>58.02</v>
      </c>
      <c r="BO1454" s="4">
        <v>58.02</v>
      </c>
      <c r="BQ1454" t="s">
        <v>142</v>
      </c>
      <c r="BR1454" t="s">
        <v>84</v>
      </c>
      <c r="BS1454" s="3">
        <v>43783</v>
      </c>
      <c r="BT1454" s="5">
        <v>0.41805555555555557</v>
      </c>
      <c r="BU1454" t="s">
        <v>1956</v>
      </c>
      <c r="BV1454" t="s">
        <v>86</v>
      </c>
      <c r="BY1454">
        <v>1200</v>
      </c>
      <c r="CA1454" t="s">
        <v>1945</v>
      </c>
      <c r="CC1454" t="s">
        <v>177</v>
      </c>
      <c r="CD1454">
        <v>3600</v>
      </c>
      <c r="CE1454" t="s">
        <v>147</v>
      </c>
      <c r="CF1454" s="3">
        <v>43784</v>
      </c>
      <c r="CI1454">
        <v>1</v>
      </c>
      <c r="CJ1454">
        <v>1</v>
      </c>
      <c r="CK1454">
        <v>21</v>
      </c>
      <c r="CL1454" t="s">
        <v>89</v>
      </c>
    </row>
    <row r="1455" spans="1:90">
      <c r="A1455" t="s">
        <v>72</v>
      </c>
      <c r="B1455" t="s">
        <v>73</v>
      </c>
      <c r="C1455" t="s">
        <v>74</v>
      </c>
      <c r="E1455" t="str">
        <f>"FES1162722682"</f>
        <v>FES1162722682</v>
      </c>
      <c r="F1455" s="3">
        <v>43782</v>
      </c>
      <c r="G1455">
        <v>202005</v>
      </c>
      <c r="H1455" t="s">
        <v>75</v>
      </c>
      <c r="I1455" t="s">
        <v>76</v>
      </c>
      <c r="J1455" t="s">
        <v>77</v>
      </c>
      <c r="K1455" t="s">
        <v>78</v>
      </c>
      <c r="L1455" t="s">
        <v>90</v>
      </c>
      <c r="M1455" t="s">
        <v>91</v>
      </c>
      <c r="N1455" t="s">
        <v>675</v>
      </c>
      <c r="O1455" t="s">
        <v>82</v>
      </c>
      <c r="P1455" t="str">
        <f>"2170714200                    "</f>
        <v xml:space="preserve">2170714200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8.58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 s="4">
        <v>50.45</v>
      </c>
      <c r="BM1455" s="4">
        <v>7.57</v>
      </c>
      <c r="BN1455" s="4">
        <v>58.02</v>
      </c>
      <c r="BO1455" s="4">
        <v>58.02</v>
      </c>
      <c r="BQ1455" t="s">
        <v>109</v>
      </c>
      <c r="BR1455" t="s">
        <v>84</v>
      </c>
      <c r="BS1455" s="3">
        <v>43783</v>
      </c>
      <c r="BT1455" s="5">
        <v>0.34166666666666662</v>
      </c>
      <c r="BU1455" t="s">
        <v>1957</v>
      </c>
      <c r="BV1455" t="s">
        <v>86</v>
      </c>
      <c r="BY1455">
        <v>1200</v>
      </c>
      <c r="CA1455" t="s">
        <v>1281</v>
      </c>
      <c r="CC1455" t="s">
        <v>91</v>
      </c>
      <c r="CD1455">
        <v>7945</v>
      </c>
      <c r="CE1455" t="s">
        <v>147</v>
      </c>
      <c r="CF1455" s="3">
        <v>43784</v>
      </c>
      <c r="CI1455">
        <v>1</v>
      </c>
      <c r="CJ1455">
        <v>1</v>
      </c>
      <c r="CK1455">
        <v>21</v>
      </c>
      <c r="CL1455" t="s">
        <v>89</v>
      </c>
    </row>
    <row r="1456" spans="1:90">
      <c r="A1456" t="s">
        <v>72</v>
      </c>
      <c r="B1456" t="s">
        <v>73</v>
      </c>
      <c r="C1456" t="s">
        <v>74</v>
      </c>
      <c r="E1456" t="str">
        <f>"FES1162722747"</f>
        <v>FES1162722747</v>
      </c>
      <c r="F1456" s="3">
        <v>43782</v>
      </c>
      <c r="G1456">
        <v>202005</v>
      </c>
      <c r="H1456" t="s">
        <v>75</v>
      </c>
      <c r="I1456" t="s">
        <v>76</v>
      </c>
      <c r="J1456" t="s">
        <v>77</v>
      </c>
      <c r="K1456" t="s">
        <v>78</v>
      </c>
      <c r="L1456" t="s">
        <v>79</v>
      </c>
      <c r="M1456" t="s">
        <v>80</v>
      </c>
      <c r="N1456" t="s">
        <v>1958</v>
      </c>
      <c r="O1456" t="s">
        <v>82</v>
      </c>
      <c r="P1456" t="str">
        <f>"2170714863                    "</f>
        <v xml:space="preserve">2170714863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27.88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2</v>
      </c>
      <c r="BI1456">
        <v>6.3</v>
      </c>
      <c r="BJ1456">
        <v>3.7</v>
      </c>
      <c r="BK1456">
        <v>6.5</v>
      </c>
      <c r="BL1456" s="4">
        <v>163.89</v>
      </c>
      <c r="BM1456" s="4">
        <v>24.58</v>
      </c>
      <c r="BN1456" s="4">
        <v>188.47</v>
      </c>
      <c r="BO1456" s="4">
        <v>188.47</v>
      </c>
      <c r="BQ1456" t="s">
        <v>142</v>
      </c>
      <c r="BR1456" t="s">
        <v>84</v>
      </c>
      <c r="BS1456" s="3">
        <v>43783</v>
      </c>
      <c r="BT1456" s="5">
        <v>0.38055555555555554</v>
      </c>
      <c r="BU1456" t="s">
        <v>1959</v>
      </c>
      <c r="BV1456" t="s">
        <v>86</v>
      </c>
      <c r="BY1456">
        <v>18439.169999999998</v>
      </c>
      <c r="CA1456" t="s">
        <v>87</v>
      </c>
      <c r="CC1456" t="s">
        <v>80</v>
      </c>
      <c r="CD1456">
        <v>6229</v>
      </c>
      <c r="CE1456" t="s">
        <v>88</v>
      </c>
      <c r="CF1456" s="3">
        <v>43784</v>
      </c>
      <c r="CI1456">
        <v>1</v>
      </c>
      <c r="CJ1456">
        <v>1</v>
      </c>
      <c r="CK1456">
        <v>21</v>
      </c>
      <c r="CL1456" t="s">
        <v>89</v>
      </c>
    </row>
    <row r="1457" spans="1:90">
      <c r="A1457" t="s">
        <v>72</v>
      </c>
      <c r="B1457" t="s">
        <v>73</v>
      </c>
      <c r="C1457" t="s">
        <v>74</v>
      </c>
      <c r="E1457" t="str">
        <f>"FES1162722757"</f>
        <v>FES1162722757</v>
      </c>
      <c r="F1457" s="3">
        <v>43782</v>
      </c>
      <c r="G1457">
        <v>202005</v>
      </c>
      <c r="H1457" t="s">
        <v>75</v>
      </c>
      <c r="I1457" t="s">
        <v>76</v>
      </c>
      <c r="J1457" t="s">
        <v>77</v>
      </c>
      <c r="K1457" t="s">
        <v>78</v>
      </c>
      <c r="L1457" t="s">
        <v>90</v>
      </c>
      <c r="M1457" t="s">
        <v>91</v>
      </c>
      <c r="N1457" t="s">
        <v>823</v>
      </c>
      <c r="O1457" t="s">
        <v>82</v>
      </c>
      <c r="P1457" t="str">
        <f>"2170714987                    "</f>
        <v xml:space="preserve">2170714987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32.17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6</v>
      </c>
      <c r="BJ1457">
        <v>7.3</v>
      </c>
      <c r="BK1457">
        <v>7.5</v>
      </c>
      <c r="BL1457" s="4">
        <v>189.1</v>
      </c>
      <c r="BM1457" s="4">
        <v>28.37</v>
      </c>
      <c r="BN1457" s="4">
        <v>217.47</v>
      </c>
      <c r="BO1457" s="4">
        <v>217.47</v>
      </c>
      <c r="BQ1457" t="s">
        <v>142</v>
      </c>
      <c r="BR1457" t="s">
        <v>84</v>
      </c>
      <c r="BS1457" s="3">
        <v>43783</v>
      </c>
      <c r="BT1457" s="5">
        <v>0.35555555555555557</v>
      </c>
      <c r="BU1457" t="s">
        <v>1960</v>
      </c>
      <c r="BV1457" t="s">
        <v>86</v>
      </c>
      <c r="BY1457">
        <v>36379.56</v>
      </c>
      <c r="CA1457" t="s">
        <v>1902</v>
      </c>
      <c r="CC1457" t="s">
        <v>91</v>
      </c>
      <c r="CD1457">
        <v>7441</v>
      </c>
      <c r="CE1457" t="s">
        <v>88</v>
      </c>
      <c r="CF1457" s="3">
        <v>43784</v>
      </c>
      <c r="CI1457">
        <v>1</v>
      </c>
      <c r="CJ1457">
        <v>1</v>
      </c>
      <c r="CK1457">
        <v>21</v>
      </c>
      <c r="CL1457" t="s">
        <v>89</v>
      </c>
    </row>
    <row r="1458" spans="1:90">
      <c r="A1458" t="s">
        <v>72</v>
      </c>
      <c r="B1458" t="s">
        <v>73</v>
      </c>
      <c r="C1458" t="s">
        <v>74</v>
      </c>
      <c r="E1458" t="str">
        <f>"FES1162722698"</f>
        <v>FES1162722698</v>
      </c>
      <c r="F1458" s="3">
        <v>43782</v>
      </c>
      <c r="G1458">
        <v>202005</v>
      </c>
      <c r="H1458" t="s">
        <v>75</v>
      </c>
      <c r="I1458" t="s">
        <v>76</v>
      </c>
      <c r="J1458" t="s">
        <v>77</v>
      </c>
      <c r="K1458" t="s">
        <v>78</v>
      </c>
      <c r="L1458" t="s">
        <v>106</v>
      </c>
      <c r="M1458" t="s">
        <v>107</v>
      </c>
      <c r="N1458" t="s">
        <v>324</v>
      </c>
      <c r="O1458" t="s">
        <v>82</v>
      </c>
      <c r="P1458" t="str">
        <f>"2170714316                    "</f>
        <v xml:space="preserve">2170714316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30.03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6.6</v>
      </c>
      <c r="BJ1458">
        <v>2.9</v>
      </c>
      <c r="BK1458">
        <v>7</v>
      </c>
      <c r="BL1458" s="4">
        <v>176.5</v>
      </c>
      <c r="BM1458" s="4">
        <v>26.48</v>
      </c>
      <c r="BN1458" s="4">
        <v>202.98</v>
      </c>
      <c r="BO1458" s="4">
        <v>202.98</v>
      </c>
      <c r="BQ1458" t="s">
        <v>121</v>
      </c>
      <c r="BR1458" t="s">
        <v>84</v>
      </c>
      <c r="BS1458" s="3">
        <v>43783</v>
      </c>
      <c r="BT1458" s="5">
        <v>0.3888888888888889</v>
      </c>
      <c r="BU1458" t="s">
        <v>1961</v>
      </c>
      <c r="BV1458" t="s">
        <v>86</v>
      </c>
      <c r="BY1458">
        <v>14642.16</v>
      </c>
      <c r="CA1458" t="s">
        <v>111</v>
      </c>
      <c r="CC1458" t="s">
        <v>107</v>
      </c>
      <c r="CD1458">
        <v>6001</v>
      </c>
      <c r="CE1458" t="s">
        <v>88</v>
      </c>
      <c r="CF1458" s="3">
        <v>43784</v>
      </c>
      <c r="CI1458">
        <v>1</v>
      </c>
      <c r="CJ1458">
        <v>1</v>
      </c>
      <c r="CK1458">
        <v>21</v>
      </c>
      <c r="CL1458" t="s">
        <v>89</v>
      </c>
    </row>
    <row r="1459" spans="1:90">
      <c r="A1459" t="s">
        <v>72</v>
      </c>
      <c r="B1459" t="s">
        <v>73</v>
      </c>
      <c r="C1459" t="s">
        <v>74</v>
      </c>
      <c r="E1459" t="str">
        <f>"FES1162722909"</f>
        <v>FES1162722909</v>
      </c>
      <c r="F1459" s="3">
        <v>43782</v>
      </c>
      <c r="G1459">
        <v>202005</v>
      </c>
      <c r="H1459" t="s">
        <v>75</v>
      </c>
      <c r="I1459" t="s">
        <v>76</v>
      </c>
      <c r="J1459" t="s">
        <v>77</v>
      </c>
      <c r="K1459" t="s">
        <v>78</v>
      </c>
      <c r="L1459" t="s">
        <v>482</v>
      </c>
      <c r="M1459" t="s">
        <v>483</v>
      </c>
      <c r="N1459" t="s">
        <v>1734</v>
      </c>
      <c r="O1459" t="s">
        <v>82</v>
      </c>
      <c r="P1459" t="str">
        <f>"2170716510                    "</f>
        <v xml:space="preserve">2170716510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6.71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1.4</v>
      </c>
      <c r="BJ1459">
        <v>1</v>
      </c>
      <c r="BK1459">
        <v>1.5</v>
      </c>
      <c r="BL1459" s="4">
        <v>39.42</v>
      </c>
      <c r="BM1459" s="4">
        <v>5.91</v>
      </c>
      <c r="BN1459" s="4">
        <v>45.33</v>
      </c>
      <c r="BO1459" s="4">
        <v>45.33</v>
      </c>
      <c r="BQ1459" t="s">
        <v>121</v>
      </c>
      <c r="BR1459" t="s">
        <v>84</v>
      </c>
      <c r="BS1459" s="3">
        <v>43783</v>
      </c>
      <c r="BT1459" s="5">
        <v>0.31736111111111115</v>
      </c>
      <c r="BU1459" t="s">
        <v>1962</v>
      </c>
      <c r="BV1459" t="s">
        <v>86</v>
      </c>
      <c r="BY1459">
        <v>5129.28</v>
      </c>
      <c r="CA1459" t="s">
        <v>486</v>
      </c>
      <c r="CC1459" t="s">
        <v>483</v>
      </c>
      <c r="CD1459">
        <v>1459</v>
      </c>
      <c r="CE1459" t="s">
        <v>88</v>
      </c>
      <c r="CF1459" s="3">
        <v>43784</v>
      </c>
      <c r="CI1459">
        <v>1</v>
      </c>
      <c r="CJ1459">
        <v>1</v>
      </c>
      <c r="CK1459">
        <v>22</v>
      </c>
      <c r="CL1459" t="s">
        <v>89</v>
      </c>
    </row>
    <row r="1460" spans="1:90">
      <c r="A1460" t="s">
        <v>72</v>
      </c>
      <c r="B1460" t="s">
        <v>73</v>
      </c>
      <c r="C1460" t="s">
        <v>74</v>
      </c>
      <c r="E1460" t="str">
        <f>"FES1162722736"</f>
        <v>FES1162722736</v>
      </c>
      <c r="F1460" s="3">
        <v>43782</v>
      </c>
      <c r="G1460">
        <v>202005</v>
      </c>
      <c r="H1460" t="s">
        <v>75</v>
      </c>
      <c r="I1460" t="s">
        <v>76</v>
      </c>
      <c r="J1460" t="s">
        <v>77</v>
      </c>
      <c r="K1460" t="s">
        <v>78</v>
      </c>
      <c r="L1460" t="s">
        <v>75</v>
      </c>
      <c r="M1460" t="s">
        <v>76</v>
      </c>
      <c r="N1460" t="s">
        <v>240</v>
      </c>
      <c r="O1460" t="s">
        <v>82</v>
      </c>
      <c r="P1460" t="str">
        <f>"2170714713                    "</f>
        <v xml:space="preserve">2170714713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9.92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3.7</v>
      </c>
      <c r="BJ1460">
        <v>1.4</v>
      </c>
      <c r="BK1460">
        <v>4</v>
      </c>
      <c r="BL1460" s="4">
        <v>58.31</v>
      </c>
      <c r="BM1460" s="4">
        <v>8.75</v>
      </c>
      <c r="BN1460" s="4">
        <v>67.06</v>
      </c>
      <c r="BO1460" s="4">
        <v>67.06</v>
      </c>
      <c r="BQ1460" t="s">
        <v>109</v>
      </c>
      <c r="BR1460" t="s">
        <v>84</v>
      </c>
      <c r="BS1460" s="3">
        <v>43783</v>
      </c>
      <c r="BT1460" s="5">
        <v>0.3611111111111111</v>
      </c>
      <c r="BU1460" t="s">
        <v>1079</v>
      </c>
      <c r="BV1460" t="s">
        <v>86</v>
      </c>
      <c r="BY1460">
        <v>6958.55</v>
      </c>
      <c r="CA1460" t="s">
        <v>198</v>
      </c>
      <c r="CC1460" t="s">
        <v>76</v>
      </c>
      <c r="CD1460">
        <v>1601</v>
      </c>
      <c r="CE1460" t="s">
        <v>88</v>
      </c>
      <c r="CF1460" s="3">
        <v>43784</v>
      </c>
      <c r="CI1460">
        <v>1</v>
      </c>
      <c r="CJ1460">
        <v>1</v>
      </c>
      <c r="CK1460">
        <v>22</v>
      </c>
      <c r="CL1460" t="s">
        <v>89</v>
      </c>
    </row>
    <row r="1461" spans="1:90">
      <c r="A1461" t="s">
        <v>72</v>
      </c>
      <c r="B1461" t="s">
        <v>73</v>
      </c>
      <c r="C1461" t="s">
        <v>74</v>
      </c>
      <c r="E1461" t="str">
        <f>"FES1162722788"</f>
        <v>FES1162722788</v>
      </c>
      <c r="F1461" s="3">
        <v>43782</v>
      </c>
      <c r="G1461">
        <v>202005</v>
      </c>
      <c r="H1461" t="s">
        <v>75</v>
      </c>
      <c r="I1461" t="s">
        <v>76</v>
      </c>
      <c r="J1461" t="s">
        <v>77</v>
      </c>
      <c r="K1461" t="s">
        <v>78</v>
      </c>
      <c r="L1461" t="s">
        <v>75</v>
      </c>
      <c r="M1461" t="s">
        <v>76</v>
      </c>
      <c r="N1461" t="s">
        <v>1963</v>
      </c>
      <c r="O1461" t="s">
        <v>82</v>
      </c>
      <c r="P1461" t="str">
        <f>"2170714702                    "</f>
        <v xml:space="preserve">2170714702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6.71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 s="4">
        <v>39.42</v>
      </c>
      <c r="BM1461" s="4">
        <v>5.91</v>
      </c>
      <c r="BN1461" s="4">
        <v>45.33</v>
      </c>
      <c r="BO1461" s="4">
        <v>45.33</v>
      </c>
      <c r="BQ1461" t="s">
        <v>1964</v>
      </c>
      <c r="BR1461" t="s">
        <v>84</v>
      </c>
      <c r="BS1461" s="3">
        <v>43783</v>
      </c>
      <c r="BT1461" s="5">
        <v>0.33680555555555558</v>
      </c>
      <c r="BU1461" t="s">
        <v>1965</v>
      </c>
      <c r="BV1461" t="s">
        <v>86</v>
      </c>
      <c r="BY1461">
        <v>1200</v>
      </c>
      <c r="CC1461" t="s">
        <v>76</v>
      </c>
      <c r="CD1461">
        <v>1666</v>
      </c>
      <c r="CE1461" t="s">
        <v>147</v>
      </c>
      <c r="CF1461" s="3">
        <v>43784</v>
      </c>
      <c r="CI1461">
        <v>1</v>
      </c>
      <c r="CJ1461">
        <v>1</v>
      </c>
      <c r="CK1461">
        <v>22</v>
      </c>
      <c r="CL1461" t="s">
        <v>89</v>
      </c>
    </row>
    <row r="1462" spans="1:90">
      <c r="A1462" t="s">
        <v>72</v>
      </c>
      <c r="B1462" t="s">
        <v>73</v>
      </c>
      <c r="C1462" t="s">
        <v>74</v>
      </c>
      <c r="E1462" t="str">
        <f>"FES1162722755"</f>
        <v>FES1162722755</v>
      </c>
      <c r="F1462" s="3">
        <v>43782</v>
      </c>
      <c r="G1462">
        <v>202005</v>
      </c>
      <c r="H1462" t="s">
        <v>75</v>
      </c>
      <c r="I1462" t="s">
        <v>76</v>
      </c>
      <c r="J1462" t="s">
        <v>77</v>
      </c>
      <c r="K1462" t="s">
        <v>78</v>
      </c>
      <c r="L1462" t="s">
        <v>90</v>
      </c>
      <c r="M1462" t="s">
        <v>91</v>
      </c>
      <c r="N1462" t="s">
        <v>401</v>
      </c>
      <c r="O1462" t="s">
        <v>82</v>
      </c>
      <c r="P1462" t="str">
        <f>"2170714963                    "</f>
        <v xml:space="preserve">2170714963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8.58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 s="4">
        <v>50.45</v>
      </c>
      <c r="BM1462" s="4">
        <v>7.57</v>
      </c>
      <c r="BN1462" s="4">
        <v>58.02</v>
      </c>
      <c r="BO1462" s="4">
        <v>58.02</v>
      </c>
      <c r="BQ1462" t="s">
        <v>109</v>
      </c>
      <c r="BR1462" t="s">
        <v>84</v>
      </c>
      <c r="BS1462" s="3">
        <v>43783</v>
      </c>
      <c r="BT1462" s="5">
        <v>0.3520833333333333</v>
      </c>
      <c r="BU1462" t="s">
        <v>1941</v>
      </c>
      <c r="BV1462" t="s">
        <v>86</v>
      </c>
      <c r="BY1462">
        <v>1200</v>
      </c>
      <c r="CA1462" t="s">
        <v>1942</v>
      </c>
      <c r="CC1462" t="s">
        <v>91</v>
      </c>
      <c r="CD1462">
        <v>7441</v>
      </c>
      <c r="CE1462" t="s">
        <v>147</v>
      </c>
      <c r="CF1462" s="3">
        <v>43784</v>
      </c>
      <c r="CI1462">
        <v>1</v>
      </c>
      <c r="CJ1462">
        <v>1</v>
      </c>
      <c r="CK1462">
        <v>21</v>
      </c>
      <c r="CL1462" t="s">
        <v>89</v>
      </c>
    </row>
    <row r="1463" spans="1:90">
      <c r="A1463" t="s">
        <v>72</v>
      </c>
      <c r="B1463" t="s">
        <v>73</v>
      </c>
      <c r="C1463" t="s">
        <v>74</v>
      </c>
      <c r="E1463" t="str">
        <f>"FES1162722719"</f>
        <v>FES1162722719</v>
      </c>
      <c r="F1463" s="3">
        <v>43782</v>
      </c>
      <c r="G1463">
        <v>202005</v>
      </c>
      <c r="H1463" t="s">
        <v>75</v>
      </c>
      <c r="I1463" t="s">
        <v>76</v>
      </c>
      <c r="J1463" t="s">
        <v>77</v>
      </c>
      <c r="K1463" t="s">
        <v>78</v>
      </c>
      <c r="L1463" t="s">
        <v>691</v>
      </c>
      <c r="M1463" t="s">
        <v>692</v>
      </c>
      <c r="N1463" t="s">
        <v>816</v>
      </c>
      <c r="O1463" t="s">
        <v>82</v>
      </c>
      <c r="P1463" t="str">
        <f>"2170714499                    "</f>
        <v xml:space="preserve">2170714499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6.71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 s="4">
        <v>39.42</v>
      </c>
      <c r="BM1463" s="4">
        <v>5.91</v>
      </c>
      <c r="BN1463" s="4">
        <v>45.33</v>
      </c>
      <c r="BO1463" s="4">
        <v>45.33</v>
      </c>
      <c r="BQ1463" t="s">
        <v>817</v>
      </c>
      <c r="BR1463" t="s">
        <v>84</v>
      </c>
      <c r="BS1463" s="3">
        <v>43783</v>
      </c>
      <c r="BT1463" s="5">
        <v>0.35000000000000003</v>
      </c>
      <c r="BU1463" t="s">
        <v>231</v>
      </c>
      <c r="BV1463" t="s">
        <v>86</v>
      </c>
      <c r="BY1463">
        <v>1200</v>
      </c>
      <c r="CC1463" t="s">
        <v>692</v>
      </c>
      <c r="CD1463">
        <v>1559</v>
      </c>
      <c r="CE1463" t="s">
        <v>147</v>
      </c>
      <c r="CF1463" s="3">
        <v>43784</v>
      </c>
      <c r="CI1463">
        <v>1</v>
      </c>
      <c r="CJ1463">
        <v>1</v>
      </c>
      <c r="CK1463">
        <v>22</v>
      </c>
      <c r="CL1463" t="s">
        <v>89</v>
      </c>
    </row>
    <row r="1464" spans="1:90">
      <c r="A1464" t="s">
        <v>72</v>
      </c>
      <c r="B1464" t="s">
        <v>73</v>
      </c>
      <c r="C1464" t="s">
        <v>74</v>
      </c>
      <c r="E1464" t="str">
        <f>"FES1162722697"</f>
        <v>FES1162722697</v>
      </c>
      <c r="F1464" s="3">
        <v>43782</v>
      </c>
      <c r="G1464">
        <v>202005</v>
      </c>
      <c r="H1464" t="s">
        <v>75</v>
      </c>
      <c r="I1464" t="s">
        <v>76</v>
      </c>
      <c r="J1464" t="s">
        <v>77</v>
      </c>
      <c r="K1464" t="s">
        <v>78</v>
      </c>
      <c r="L1464" t="s">
        <v>90</v>
      </c>
      <c r="M1464" t="s">
        <v>91</v>
      </c>
      <c r="N1464" t="s">
        <v>945</v>
      </c>
      <c r="O1464" t="s">
        <v>82</v>
      </c>
      <c r="P1464" t="str">
        <f>"2170714311                    "</f>
        <v xml:space="preserve">2170714311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8.58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 s="4">
        <v>50.45</v>
      </c>
      <c r="BM1464" s="4">
        <v>7.57</v>
      </c>
      <c r="BN1464" s="4">
        <v>58.02</v>
      </c>
      <c r="BO1464" s="4">
        <v>58.02</v>
      </c>
      <c r="BQ1464" t="s">
        <v>121</v>
      </c>
      <c r="BR1464" t="s">
        <v>84</v>
      </c>
      <c r="BS1464" s="3">
        <v>43783</v>
      </c>
      <c r="BT1464" s="5">
        <v>0.34513888888888888</v>
      </c>
      <c r="BU1464" t="s">
        <v>1298</v>
      </c>
      <c r="BV1464" t="s">
        <v>86</v>
      </c>
      <c r="BY1464">
        <v>1200</v>
      </c>
      <c r="CA1464" t="s">
        <v>323</v>
      </c>
      <c r="CC1464" t="s">
        <v>91</v>
      </c>
      <c r="CD1464">
        <v>7460</v>
      </c>
      <c r="CE1464" t="s">
        <v>147</v>
      </c>
      <c r="CF1464" s="3">
        <v>43783</v>
      </c>
      <c r="CI1464">
        <v>1</v>
      </c>
      <c r="CJ1464">
        <v>1</v>
      </c>
      <c r="CK1464">
        <v>21</v>
      </c>
      <c r="CL1464" t="s">
        <v>89</v>
      </c>
    </row>
    <row r="1465" spans="1:90">
      <c r="A1465" t="s">
        <v>72</v>
      </c>
      <c r="B1465" t="s">
        <v>73</v>
      </c>
      <c r="C1465" t="s">
        <v>74</v>
      </c>
      <c r="E1465" t="str">
        <f>"FES1162722886"</f>
        <v>FES1162722886</v>
      </c>
      <c r="F1465" s="3">
        <v>43782</v>
      </c>
      <c r="G1465">
        <v>202005</v>
      </c>
      <c r="H1465" t="s">
        <v>75</v>
      </c>
      <c r="I1465" t="s">
        <v>76</v>
      </c>
      <c r="J1465" t="s">
        <v>77</v>
      </c>
      <c r="K1465" t="s">
        <v>78</v>
      </c>
      <c r="L1465" t="s">
        <v>112</v>
      </c>
      <c r="M1465" t="s">
        <v>113</v>
      </c>
      <c r="N1465" t="s">
        <v>160</v>
      </c>
      <c r="O1465" t="s">
        <v>82</v>
      </c>
      <c r="P1465" t="str">
        <f>"2170713713                    "</f>
        <v xml:space="preserve">2170713713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21.45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4.8</v>
      </c>
      <c r="BJ1465">
        <v>2.2000000000000002</v>
      </c>
      <c r="BK1465">
        <v>5</v>
      </c>
      <c r="BL1465" s="4">
        <v>126.08</v>
      </c>
      <c r="BM1465" s="4">
        <v>18.91</v>
      </c>
      <c r="BN1465" s="4">
        <v>144.99</v>
      </c>
      <c r="BO1465" s="4">
        <v>144.99</v>
      </c>
      <c r="BQ1465" t="s">
        <v>161</v>
      </c>
      <c r="BR1465" t="s">
        <v>84</v>
      </c>
      <c r="BS1465" s="3">
        <v>43783</v>
      </c>
      <c r="BT1465" s="5">
        <v>0.35833333333333334</v>
      </c>
      <c r="BU1465" t="s">
        <v>162</v>
      </c>
      <c r="BV1465" t="s">
        <v>86</v>
      </c>
      <c r="BY1465">
        <v>11175.95</v>
      </c>
      <c r="CA1465" t="s">
        <v>163</v>
      </c>
      <c r="CC1465" t="s">
        <v>113</v>
      </c>
      <c r="CD1465">
        <v>4000</v>
      </c>
      <c r="CE1465" t="s">
        <v>88</v>
      </c>
      <c r="CF1465" s="3">
        <v>43784</v>
      </c>
      <c r="CI1465">
        <v>1</v>
      </c>
      <c r="CJ1465">
        <v>1</v>
      </c>
      <c r="CK1465">
        <v>21</v>
      </c>
      <c r="CL1465" t="s">
        <v>89</v>
      </c>
    </row>
    <row r="1466" spans="1:90">
      <c r="A1466" t="s">
        <v>72</v>
      </c>
      <c r="B1466" t="s">
        <v>73</v>
      </c>
      <c r="C1466" t="s">
        <v>74</v>
      </c>
      <c r="E1466" t="str">
        <f>"FES1162722735"</f>
        <v>FES1162722735</v>
      </c>
      <c r="F1466" s="3">
        <v>43782</v>
      </c>
      <c r="G1466">
        <v>202005</v>
      </c>
      <c r="H1466" t="s">
        <v>75</v>
      </c>
      <c r="I1466" t="s">
        <v>76</v>
      </c>
      <c r="J1466" t="s">
        <v>77</v>
      </c>
      <c r="K1466" t="s">
        <v>78</v>
      </c>
      <c r="L1466" t="s">
        <v>75</v>
      </c>
      <c r="M1466" t="s">
        <v>76</v>
      </c>
      <c r="N1466" t="s">
        <v>518</v>
      </c>
      <c r="O1466" t="s">
        <v>82</v>
      </c>
      <c r="P1466" t="str">
        <f>"2170714712                    "</f>
        <v xml:space="preserve">2170714712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6.71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 s="4">
        <v>39.42</v>
      </c>
      <c r="BM1466" s="4">
        <v>5.91</v>
      </c>
      <c r="BN1466" s="4">
        <v>45.33</v>
      </c>
      <c r="BO1466" s="4">
        <v>45.33</v>
      </c>
      <c r="BQ1466" t="s">
        <v>519</v>
      </c>
      <c r="BR1466" t="s">
        <v>84</v>
      </c>
      <c r="BS1466" s="3">
        <v>43783</v>
      </c>
      <c r="BT1466" s="5">
        <v>0.40972222222222227</v>
      </c>
      <c r="BU1466" t="s">
        <v>520</v>
      </c>
      <c r="BV1466" t="s">
        <v>86</v>
      </c>
      <c r="BY1466">
        <v>1200</v>
      </c>
      <c r="CA1466" t="s">
        <v>198</v>
      </c>
      <c r="CC1466" t="s">
        <v>76</v>
      </c>
      <c r="CD1466">
        <v>1601</v>
      </c>
      <c r="CE1466" t="s">
        <v>147</v>
      </c>
      <c r="CF1466" s="3">
        <v>43784</v>
      </c>
      <c r="CI1466">
        <v>1</v>
      </c>
      <c r="CJ1466">
        <v>1</v>
      </c>
      <c r="CK1466">
        <v>22</v>
      </c>
      <c r="CL1466" t="s">
        <v>89</v>
      </c>
    </row>
    <row r="1467" spans="1:90">
      <c r="A1467" t="s">
        <v>72</v>
      </c>
      <c r="B1467" t="s">
        <v>73</v>
      </c>
      <c r="C1467" t="s">
        <v>74</v>
      </c>
      <c r="E1467" t="str">
        <f>"FES1162722751"</f>
        <v>FES1162722751</v>
      </c>
      <c r="F1467" s="3">
        <v>43782</v>
      </c>
      <c r="G1467">
        <v>202005</v>
      </c>
      <c r="H1467" t="s">
        <v>75</v>
      </c>
      <c r="I1467" t="s">
        <v>76</v>
      </c>
      <c r="J1467" t="s">
        <v>77</v>
      </c>
      <c r="K1467" t="s">
        <v>78</v>
      </c>
      <c r="L1467" t="s">
        <v>176</v>
      </c>
      <c r="M1467" t="s">
        <v>177</v>
      </c>
      <c r="N1467" t="s">
        <v>419</v>
      </c>
      <c r="O1467" t="s">
        <v>82</v>
      </c>
      <c r="P1467" t="str">
        <f>"2170714932                    "</f>
        <v xml:space="preserve">2170714932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19.3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4.4000000000000004</v>
      </c>
      <c r="BJ1467">
        <v>3.1</v>
      </c>
      <c r="BK1467">
        <v>4.5</v>
      </c>
      <c r="BL1467" s="4">
        <v>113.47</v>
      </c>
      <c r="BM1467" s="4">
        <v>17.02</v>
      </c>
      <c r="BN1467" s="4">
        <v>130.49</v>
      </c>
      <c r="BO1467" s="4">
        <v>130.49</v>
      </c>
      <c r="BQ1467" t="s">
        <v>109</v>
      </c>
      <c r="BR1467" t="s">
        <v>84</v>
      </c>
      <c r="BS1467" s="3">
        <v>43783</v>
      </c>
      <c r="BT1467" s="5">
        <v>0.4284722222222222</v>
      </c>
      <c r="BU1467" t="s">
        <v>1641</v>
      </c>
      <c r="BV1467" t="s">
        <v>86</v>
      </c>
      <c r="BY1467">
        <v>15397.14</v>
      </c>
      <c r="CA1467" t="s">
        <v>224</v>
      </c>
      <c r="CC1467" t="s">
        <v>177</v>
      </c>
      <c r="CD1467">
        <v>3620</v>
      </c>
      <c r="CE1467" t="s">
        <v>88</v>
      </c>
      <c r="CF1467" s="3">
        <v>43784</v>
      </c>
      <c r="CI1467">
        <v>1</v>
      </c>
      <c r="CJ1467">
        <v>1</v>
      </c>
      <c r="CK1467">
        <v>21</v>
      </c>
      <c r="CL1467" t="s">
        <v>89</v>
      </c>
    </row>
    <row r="1468" spans="1:90">
      <c r="A1468" t="s">
        <v>72</v>
      </c>
      <c r="B1468" t="s">
        <v>73</v>
      </c>
      <c r="C1468" t="s">
        <v>74</v>
      </c>
      <c r="E1468" t="str">
        <f>"FES1162722683"</f>
        <v>FES1162722683</v>
      </c>
      <c r="F1468" s="3">
        <v>43782</v>
      </c>
      <c r="G1468">
        <v>202005</v>
      </c>
      <c r="H1468" t="s">
        <v>75</v>
      </c>
      <c r="I1468" t="s">
        <v>76</v>
      </c>
      <c r="J1468" t="s">
        <v>77</v>
      </c>
      <c r="K1468" t="s">
        <v>78</v>
      </c>
      <c r="L1468" t="s">
        <v>112</v>
      </c>
      <c r="M1468" t="s">
        <v>113</v>
      </c>
      <c r="N1468" t="s">
        <v>1966</v>
      </c>
      <c r="O1468" t="s">
        <v>82</v>
      </c>
      <c r="P1468" t="str">
        <f>"2170714201                    "</f>
        <v xml:space="preserve">2170714201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8.58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1.3</v>
      </c>
      <c r="BJ1468">
        <v>1.9</v>
      </c>
      <c r="BK1468">
        <v>2</v>
      </c>
      <c r="BL1468" s="4">
        <v>50.45</v>
      </c>
      <c r="BM1468" s="4">
        <v>7.57</v>
      </c>
      <c r="BN1468" s="4">
        <v>58.02</v>
      </c>
      <c r="BO1468" s="4">
        <v>58.02</v>
      </c>
      <c r="BQ1468" t="s">
        <v>121</v>
      </c>
      <c r="BR1468" t="s">
        <v>84</v>
      </c>
      <c r="BS1468" s="3">
        <v>43783</v>
      </c>
      <c r="BT1468" s="5">
        <v>0.4236111111111111</v>
      </c>
      <c r="BU1468" t="s">
        <v>1967</v>
      </c>
      <c r="BV1468" t="s">
        <v>86</v>
      </c>
      <c r="BY1468">
        <v>9404.6</v>
      </c>
      <c r="CA1468" t="s">
        <v>229</v>
      </c>
      <c r="CC1468" t="s">
        <v>113</v>
      </c>
      <c r="CD1468">
        <v>4052</v>
      </c>
      <c r="CE1468" t="s">
        <v>88</v>
      </c>
      <c r="CF1468" s="3">
        <v>43784</v>
      </c>
      <c r="CI1468">
        <v>1</v>
      </c>
      <c r="CJ1468">
        <v>1</v>
      </c>
      <c r="CK1468">
        <v>21</v>
      </c>
      <c r="CL1468" t="s">
        <v>89</v>
      </c>
    </row>
    <row r="1469" spans="1:90">
      <c r="A1469" t="s">
        <v>72</v>
      </c>
      <c r="B1469" t="s">
        <v>73</v>
      </c>
      <c r="C1469" t="s">
        <v>74</v>
      </c>
      <c r="E1469" t="str">
        <f>"FES1162722885"</f>
        <v>FES1162722885</v>
      </c>
      <c r="F1469" s="3">
        <v>43782</v>
      </c>
      <c r="G1469">
        <v>202005</v>
      </c>
      <c r="H1469" t="s">
        <v>75</v>
      </c>
      <c r="I1469" t="s">
        <v>76</v>
      </c>
      <c r="J1469" t="s">
        <v>77</v>
      </c>
      <c r="K1469" t="s">
        <v>78</v>
      </c>
      <c r="L1469" t="s">
        <v>202</v>
      </c>
      <c r="M1469" t="s">
        <v>203</v>
      </c>
      <c r="N1469" t="s">
        <v>389</v>
      </c>
      <c r="O1469" t="s">
        <v>82</v>
      </c>
      <c r="P1469" t="str">
        <f>"2170713451                    "</f>
        <v xml:space="preserve">2170713451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9.1199999999999992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2.7</v>
      </c>
      <c r="BJ1469">
        <v>3.3</v>
      </c>
      <c r="BK1469">
        <v>3.5</v>
      </c>
      <c r="BL1469" s="4">
        <v>53.59</v>
      </c>
      <c r="BM1469" s="4">
        <v>8.0399999999999991</v>
      </c>
      <c r="BN1469" s="4">
        <v>61.63</v>
      </c>
      <c r="BO1469" s="4">
        <v>61.63</v>
      </c>
      <c r="BQ1469" t="s">
        <v>121</v>
      </c>
      <c r="BR1469" t="s">
        <v>84</v>
      </c>
      <c r="BS1469" s="3">
        <v>43783</v>
      </c>
      <c r="BT1469" s="5">
        <v>0.4375</v>
      </c>
      <c r="BU1469" t="s">
        <v>645</v>
      </c>
      <c r="BV1469" t="s">
        <v>86</v>
      </c>
      <c r="BY1469">
        <v>16311.5</v>
      </c>
      <c r="CC1469" t="s">
        <v>203</v>
      </c>
      <c r="CD1469">
        <v>1401</v>
      </c>
      <c r="CE1469" t="s">
        <v>88</v>
      </c>
      <c r="CF1469" s="3">
        <v>43784</v>
      </c>
      <c r="CI1469">
        <v>1</v>
      </c>
      <c r="CJ1469">
        <v>1</v>
      </c>
      <c r="CK1469">
        <v>22</v>
      </c>
      <c r="CL1469" t="s">
        <v>89</v>
      </c>
    </row>
    <row r="1470" spans="1:90">
      <c r="A1470" t="s">
        <v>72</v>
      </c>
      <c r="B1470" t="s">
        <v>73</v>
      </c>
      <c r="C1470" t="s">
        <v>74</v>
      </c>
      <c r="E1470" t="str">
        <f>"FES11627227961"</f>
        <v>FES11627227961</v>
      </c>
      <c r="F1470" s="3">
        <v>43782</v>
      </c>
      <c r="G1470">
        <v>202005</v>
      </c>
      <c r="H1470" t="s">
        <v>75</v>
      </c>
      <c r="I1470" t="s">
        <v>76</v>
      </c>
      <c r="J1470" t="s">
        <v>77</v>
      </c>
      <c r="K1470" t="s">
        <v>78</v>
      </c>
      <c r="L1470" t="s">
        <v>106</v>
      </c>
      <c r="M1470" t="s">
        <v>107</v>
      </c>
      <c r="N1470" t="s">
        <v>242</v>
      </c>
      <c r="O1470" t="s">
        <v>82</v>
      </c>
      <c r="P1470" t="str">
        <f>"2170712015                    "</f>
        <v xml:space="preserve">2170712015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12.87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2.9</v>
      </c>
      <c r="BJ1470">
        <v>1.3</v>
      </c>
      <c r="BK1470">
        <v>3</v>
      </c>
      <c r="BL1470" s="4">
        <v>75.66</v>
      </c>
      <c r="BM1470" s="4">
        <v>11.35</v>
      </c>
      <c r="BN1470" s="4">
        <v>87.01</v>
      </c>
      <c r="BO1470" s="4">
        <v>87.01</v>
      </c>
      <c r="BQ1470" t="s">
        <v>109</v>
      </c>
      <c r="BR1470" t="s">
        <v>84</v>
      </c>
      <c r="BS1470" s="3">
        <v>43783</v>
      </c>
      <c r="BT1470" s="5">
        <v>0.3888888888888889</v>
      </c>
      <c r="BU1470" t="s">
        <v>499</v>
      </c>
      <c r="BV1470" t="s">
        <v>86</v>
      </c>
      <c r="BY1470">
        <v>6593.08</v>
      </c>
      <c r="CA1470" t="s">
        <v>244</v>
      </c>
      <c r="CC1470" t="s">
        <v>107</v>
      </c>
      <c r="CD1470">
        <v>6001</v>
      </c>
      <c r="CE1470" t="s">
        <v>88</v>
      </c>
      <c r="CF1470" s="3">
        <v>43784</v>
      </c>
      <c r="CI1470">
        <v>1</v>
      </c>
      <c r="CJ1470">
        <v>1</v>
      </c>
      <c r="CK1470">
        <v>21</v>
      </c>
      <c r="CL1470" t="s">
        <v>89</v>
      </c>
    </row>
    <row r="1471" spans="1:90">
      <c r="A1471" t="s">
        <v>72</v>
      </c>
      <c r="B1471" t="s">
        <v>73</v>
      </c>
      <c r="C1471" t="s">
        <v>74</v>
      </c>
      <c r="E1471" t="str">
        <f>"FES1162722703"</f>
        <v>FES1162722703</v>
      </c>
      <c r="F1471" s="3">
        <v>43782</v>
      </c>
      <c r="G1471">
        <v>202005</v>
      </c>
      <c r="H1471" t="s">
        <v>75</v>
      </c>
      <c r="I1471" t="s">
        <v>76</v>
      </c>
      <c r="J1471" t="s">
        <v>77</v>
      </c>
      <c r="K1471" t="s">
        <v>78</v>
      </c>
      <c r="L1471" t="s">
        <v>605</v>
      </c>
      <c r="M1471" t="s">
        <v>606</v>
      </c>
      <c r="N1471" t="s">
        <v>785</v>
      </c>
      <c r="O1471" t="s">
        <v>82</v>
      </c>
      <c r="P1471" t="str">
        <f>"2170714369                    "</f>
        <v xml:space="preserve">2170714369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12.07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0.7</v>
      </c>
      <c r="BK1471">
        <v>1</v>
      </c>
      <c r="BL1471" s="4">
        <v>70.95</v>
      </c>
      <c r="BM1471" s="4">
        <v>10.64</v>
      </c>
      <c r="BN1471" s="4">
        <v>81.59</v>
      </c>
      <c r="BO1471" s="4">
        <v>81.59</v>
      </c>
      <c r="BQ1471" t="s">
        <v>109</v>
      </c>
      <c r="BR1471" t="s">
        <v>84</v>
      </c>
      <c r="BS1471" s="3">
        <v>43783</v>
      </c>
      <c r="BT1471" s="5">
        <v>0.55208333333333337</v>
      </c>
      <c r="BU1471" t="s">
        <v>921</v>
      </c>
      <c r="BV1471" t="s">
        <v>86</v>
      </c>
      <c r="BY1471">
        <v>3349.53</v>
      </c>
      <c r="CC1471" t="s">
        <v>606</v>
      </c>
      <c r="CD1471">
        <v>407</v>
      </c>
      <c r="CE1471" t="s">
        <v>88</v>
      </c>
      <c r="CF1471" s="3">
        <v>43784</v>
      </c>
      <c r="CI1471">
        <v>1</v>
      </c>
      <c r="CJ1471">
        <v>1</v>
      </c>
      <c r="CK1471">
        <v>24</v>
      </c>
      <c r="CL1471" t="s">
        <v>89</v>
      </c>
    </row>
    <row r="1472" spans="1:90">
      <c r="A1472" t="s">
        <v>72</v>
      </c>
      <c r="B1472" t="s">
        <v>73</v>
      </c>
      <c r="C1472" t="s">
        <v>74</v>
      </c>
      <c r="E1472" t="str">
        <f>"FES1162722749"</f>
        <v>FES1162722749</v>
      </c>
      <c r="F1472" s="3">
        <v>43782</v>
      </c>
      <c r="G1472">
        <v>202005</v>
      </c>
      <c r="H1472" t="s">
        <v>75</v>
      </c>
      <c r="I1472" t="s">
        <v>76</v>
      </c>
      <c r="J1472" t="s">
        <v>77</v>
      </c>
      <c r="K1472" t="s">
        <v>78</v>
      </c>
      <c r="L1472" t="s">
        <v>546</v>
      </c>
      <c r="M1472" t="s">
        <v>547</v>
      </c>
      <c r="N1472" t="s">
        <v>1968</v>
      </c>
      <c r="O1472" t="s">
        <v>82</v>
      </c>
      <c r="P1472" t="str">
        <f>"2170714924                    "</f>
        <v xml:space="preserve">2170714924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13.94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3.3</v>
      </c>
      <c r="BJ1472">
        <v>6.1</v>
      </c>
      <c r="BK1472">
        <v>6.5</v>
      </c>
      <c r="BL1472" s="4">
        <v>81.93</v>
      </c>
      <c r="BM1472" s="4">
        <v>12.29</v>
      </c>
      <c r="BN1472" s="4">
        <v>94.22</v>
      </c>
      <c r="BO1472" s="4">
        <v>94.22</v>
      </c>
      <c r="BQ1472" t="s">
        <v>121</v>
      </c>
      <c r="BR1472" t="s">
        <v>84</v>
      </c>
      <c r="BS1472" s="3">
        <v>43783</v>
      </c>
      <c r="BT1472" s="5">
        <v>0.35069444444444442</v>
      </c>
      <c r="BU1472" t="s">
        <v>1969</v>
      </c>
      <c r="BV1472" t="s">
        <v>86</v>
      </c>
      <c r="BY1472">
        <v>30257.79</v>
      </c>
      <c r="CC1472" t="s">
        <v>547</v>
      </c>
      <c r="CD1472">
        <v>1724</v>
      </c>
      <c r="CE1472" t="s">
        <v>88</v>
      </c>
      <c r="CF1472" s="3">
        <v>43784</v>
      </c>
      <c r="CI1472">
        <v>1</v>
      </c>
      <c r="CJ1472">
        <v>1</v>
      </c>
      <c r="CK1472">
        <v>22</v>
      </c>
      <c r="CL1472" t="s">
        <v>89</v>
      </c>
    </row>
    <row r="1473" spans="1:90">
      <c r="A1473" t="s">
        <v>72</v>
      </c>
      <c r="B1473" t="s">
        <v>73</v>
      </c>
      <c r="C1473" t="s">
        <v>74</v>
      </c>
      <c r="E1473" t="str">
        <f>"FES1162722700"</f>
        <v>FES1162722700</v>
      </c>
      <c r="F1473" s="3">
        <v>43782</v>
      </c>
      <c r="G1473">
        <v>202005</v>
      </c>
      <c r="H1473" t="s">
        <v>75</v>
      </c>
      <c r="I1473" t="s">
        <v>76</v>
      </c>
      <c r="J1473" t="s">
        <v>77</v>
      </c>
      <c r="K1473" t="s">
        <v>78</v>
      </c>
      <c r="L1473" t="s">
        <v>133</v>
      </c>
      <c r="M1473" t="s">
        <v>134</v>
      </c>
      <c r="N1473" t="s">
        <v>135</v>
      </c>
      <c r="O1473" t="s">
        <v>82</v>
      </c>
      <c r="P1473" t="str">
        <f>"2170714329                    "</f>
        <v xml:space="preserve">2170714329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12.87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1.6</v>
      </c>
      <c r="BJ1473">
        <v>2.7</v>
      </c>
      <c r="BK1473">
        <v>3</v>
      </c>
      <c r="BL1473" s="4">
        <v>75.66</v>
      </c>
      <c r="BM1473" s="4">
        <v>11.35</v>
      </c>
      <c r="BN1473" s="4">
        <v>87.01</v>
      </c>
      <c r="BO1473" s="4">
        <v>87.01</v>
      </c>
      <c r="BQ1473" t="s">
        <v>109</v>
      </c>
      <c r="BR1473" t="s">
        <v>84</v>
      </c>
      <c r="BS1473" s="3">
        <v>43783</v>
      </c>
      <c r="BT1473" s="5">
        <v>0.3576388888888889</v>
      </c>
      <c r="BU1473" t="s">
        <v>1970</v>
      </c>
      <c r="BV1473" t="s">
        <v>86</v>
      </c>
      <c r="BY1473">
        <v>13424.64</v>
      </c>
      <c r="CA1473" t="s">
        <v>912</v>
      </c>
      <c r="CC1473" t="s">
        <v>134</v>
      </c>
      <c r="CD1473">
        <v>5201</v>
      </c>
      <c r="CE1473" t="s">
        <v>88</v>
      </c>
      <c r="CF1473" s="3">
        <v>43784</v>
      </c>
      <c r="CI1473">
        <v>1</v>
      </c>
      <c r="CJ1473">
        <v>1</v>
      </c>
      <c r="CK1473">
        <v>21</v>
      </c>
      <c r="CL1473" t="s">
        <v>89</v>
      </c>
    </row>
    <row r="1474" spans="1:90">
      <c r="A1474" t="s">
        <v>72</v>
      </c>
      <c r="B1474" t="s">
        <v>73</v>
      </c>
      <c r="C1474" t="s">
        <v>74</v>
      </c>
      <c r="E1474" t="str">
        <f>"FES1162722801"</f>
        <v>FES1162722801</v>
      </c>
      <c r="F1474" s="3">
        <v>43782</v>
      </c>
      <c r="G1474">
        <v>202005</v>
      </c>
      <c r="H1474" t="s">
        <v>75</v>
      </c>
      <c r="I1474" t="s">
        <v>76</v>
      </c>
      <c r="J1474" t="s">
        <v>77</v>
      </c>
      <c r="K1474" t="s">
        <v>78</v>
      </c>
      <c r="L1474" t="s">
        <v>106</v>
      </c>
      <c r="M1474" t="s">
        <v>107</v>
      </c>
      <c r="N1474" t="s">
        <v>108</v>
      </c>
      <c r="O1474" t="s">
        <v>82</v>
      </c>
      <c r="P1474" t="str">
        <f>"2170713843                    "</f>
        <v xml:space="preserve">2170713843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36.46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8.1</v>
      </c>
      <c r="BJ1474">
        <v>3.9</v>
      </c>
      <c r="BK1474">
        <v>8.5</v>
      </c>
      <c r="BL1474" s="4">
        <v>214.31</v>
      </c>
      <c r="BM1474" s="4">
        <v>32.15</v>
      </c>
      <c r="BN1474" s="4">
        <v>246.46</v>
      </c>
      <c r="BO1474" s="4">
        <v>246.46</v>
      </c>
      <c r="BQ1474" t="s">
        <v>109</v>
      </c>
      <c r="BR1474" t="s">
        <v>84</v>
      </c>
      <c r="BS1474" s="3">
        <v>43783</v>
      </c>
      <c r="BT1474" s="5">
        <v>0.35972222222222222</v>
      </c>
      <c r="BU1474" t="s">
        <v>1526</v>
      </c>
      <c r="BV1474" t="s">
        <v>86</v>
      </c>
      <c r="BY1474">
        <v>19412.82</v>
      </c>
      <c r="CA1474" t="s">
        <v>111</v>
      </c>
      <c r="CC1474" t="s">
        <v>107</v>
      </c>
      <c r="CD1474">
        <v>6001</v>
      </c>
      <c r="CE1474" t="s">
        <v>88</v>
      </c>
      <c r="CF1474" s="3">
        <v>43784</v>
      </c>
      <c r="CI1474">
        <v>1</v>
      </c>
      <c r="CJ1474">
        <v>1</v>
      </c>
      <c r="CK1474">
        <v>21</v>
      </c>
      <c r="CL1474" t="s">
        <v>89</v>
      </c>
    </row>
    <row r="1475" spans="1:90">
      <c r="A1475" t="s">
        <v>72</v>
      </c>
      <c r="B1475" t="s">
        <v>73</v>
      </c>
      <c r="C1475" t="s">
        <v>74</v>
      </c>
      <c r="E1475" t="str">
        <f>"FES1162722742"</f>
        <v>FES1162722742</v>
      </c>
      <c r="F1475" s="3">
        <v>43782</v>
      </c>
      <c r="G1475">
        <v>202005</v>
      </c>
      <c r="H1475" t="s">
        <v>75</v>
      </c>
      <c r="I1475" t="s">
        <v>76</v>
      </c>
      <c r="J1475" t="s">
        <v>77</v>
      </c>
      <c r="K1475" t="s">
        <v>78</v>
      </c>
      <c r="L1475" t="s">
        <v>214</v>
      </c>
      <c r="M1475" t="s">
        <v>214</v>
      </c>
      <c r="N1475" t="s">
        <v>1523</v>
      </c>
      <c r="O1475" t="s">
        <v>82</v>
      </c>
      <c r="P1475" t="str">
        <f>"2170714833                    "</f>
        <v xml:space="preserve">2170714833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27.9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3.1</v>
      </c>
      <c r="BJ1475">
        <v>2.6</v>
      </c>
      <c r="BK1475">
        <v>3.5</v>
      </c>
      <c r="BL1475" s="4">
        <v>163.98</v>
      </c>
      <c r="BM1475" s="4">
        <v>24.6</v>
      </c>
      <c r="BN1475" s="4">
        <v>188.58</v>
      </c>
      <c r="BO1475" s="4">
        <v>188.58</v>
      </c>
      <c r="BQ1475" t="s">
        <v>121</v>
      </c>
      <c r="BR1475" t="s">
        <v>84</v>
      </c>
      <c r="BS1475" s="3">
        <v>43783</v>
      </c>
      <c r="BT1475" s="5">
        <v>0.49722222222222223</v>
      </c>
      <c r="BU1475" t="s">
        <v>706</v>
      </c>
      <c r="BV1475" t="s">
        <v>86</v>
      </c>
      <c r="BY1475">
        <v>13034</v>
      </c>
      <c r="CA1475" t="s">
        <v>217</v>
      </c>
      <c r="CC1475" t="s">
        <v>214</v>
      </c>
      <c r="CD1475">
        <v>7646</v>
      </c>
      <c r="CE1475" t="s">
        <v>88</v>
      </c>
      <c r="CF1475" s="3">
        <v>43784</v>
      </c>
      <c r="CI1475">
        <v>1</v>
      </c>
      <c r="CJ1475">
        <v>1</v>
      </c>
      <c r="CK1475">
        <v>23</v>
      </c>
      <c r="CL1475" t="s">
        <v>89</v>
      </c>
    </row>
    <row r="1476" spans="1:90">
      <c r="A1476" t="s">
        <v>72</v>
      </c>
      <c r="B1476" t="s">
        <v>73</v>
      </c>
      <c r="C1476" t="s">
        <v>74</v>
      </c>
      <c r="E1476" t="str">
        <f>"FES1162722794"</f>
        <v>FES1162722794</v>
      </c>
      <c r="F1476" s="3">
        <v>43782</v>
      </c>
      <c r="G1476">
        <v>202005</v>
      </c>
      <c r="H1476" t="s">
        <v>75</v>
      </c>
      <c r="I1476" t="s">
        <v>76</v>
      </c>
      <c r="J1476" t="s">
        <v>77</v>
      </c>
      <c r="K1476" t="s">
        <v>78</v>
      </c>
      <c r="L1476" t="s">
        <v>106</v>
      </c>
      <c r="M1476" t="s">
        <v>107</v>
      </c>
      <c r="N1476" t="s">
        <v>850</v>
      </c>
      <c r="O1476" t="s">
        <v>82</v>
      </c>
      <c r="P1476" t="str">
        <f>"217071172                     "</f>
        <v xml:space="preserve">217071172 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8.58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1.2</v>
      </c>
      <c r="BJ1476">
        <v>0.8</v>
      </c>
      <c r="BK1476">
        <v>1.5</v>
      </c>
      <c r="BL1476" s="4">
        <v>50.45</v>
      </c>
      <c r="BM1476" s="4">
        <v>7.57</v>
      </c>
      <c r="BN1476" s="4">
        <v>58.02</v>
      </c>
      <c r="BO1476" s="4">
        <v>58.02</v>
      </c>
      <c r="BQ1476" t="s">
        <v>109</v>
      </c>
      <c r="BR1476" t="s">
        <v>84</v>
      </c>
      <c r="BS1476" s="3">
        <v>43783</v>
      </c>
      <c r="BT1476" s="5">
        <v>0.35000000000000003</v>
      </c>
      <c r="BU1476" t="s">
        <v>418</v>
      </c>
      <c r="BV1476" t="s">
        <v>86</v>
      </c>
      <c r="BY1476">
        <v>3842.1</v>
      </c>
      <c r="CA1476" t="s">
        <v>111</v>
      </c>
      <c r="CC1476" t="s">
        <v>107</v>
      </c>
      <c r="CD1476">
        <v>6001</v>
      </c>
      <c r="CE1476" t="s">
        <v>88</v>
      </c>
      <c r="CF1476" s="3">
        <v>43784</v>
      </c>
      <c r="CI1476">
        <v>1</v>
      </c>
      <c r="CJ1476">
        <v>1</v>
      </c>
      <c r="CK1476">
        <v>21</v>
      </c>
      <c r="CL1476" t="s">
        <v>89</v>
      </c>
    </row>
    <row r="1477" spans="1:90">
      <c r="A1477" t="s">
        <v>72</v>
      </c>
      <c r="B1477" t="s">
        <v>73</v>
      </c>
      <c r="C1477" t="s">
        <v>74</v>
      </c>
      <c r="E1477" t="str">
        <f>"FES1162722795"</f>
        <v>FES1162722795</v>
      </c>
      <c r="F1477" s="3">
        <v>43782</v>
      </c>
      <c r="G1477">
        <v>202005</v>
      </c>
      <c r="H1477" t="s">
        <v>75</v>
      </c>
      <c r="I1477" t="s">
        <v>76</v>
      </c>
      <c r="J1477" t="s">
        <v>77</v>
      </c>
      <c r="K1477" t="s">
        <v>78</v>
      </c>
      <c r="L1477" t="s">
        <v>106</v>
      </c>
      <c r="M1477" t="s">
        <v>107</v>
      </c>
      <c r="N1477" t="s">
        <v>242</v>
      </c>
      <c r="O1477" t="s">
        <v>82</v>
      </c>
      <c r="P1477" t="str">
        <f>"2170712014                    "</f>
        <v xml:space="preserve">2170712014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12.87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2.9</v>
      </c>
      <c r="BJ1477">
        <v>1.5</v>
      </c>
      <c r="BK1477">
        <v>3</v>
      </c>
      <c r="BL1477" s="4">
        <v>75.66</v>
      </c>
      <c r="BM1477" s="4">
        <v>11.35</v>
      </c>
      <c r="BN1477" s="4">
        <v>87.01</v>
      </c>
      <c r="BO1477" s="4">
        <v>87.01</v>
      </c>
      <c r="BQ1477" t="s">
        <v>109</v>
      </c>
      <c r="BR1477" t="s">
        <v>84</v>
      </c>
      <c r="BS1477" s="3">
        <v>43783</v>
      </c>
      <c r="BT1477" s="5">
        <v>0.3888888888888889</v>
      </c>
      <c r="BU1477" t="s">
        <v>499</v>
      </c>
      <c r="BV1477" t="s">
        <v>86</v>
      </c>
      <c r="BY1477">
        <v>7414.71</v>
      </c>
      <c r="CA1477" t="s">
        <v>244</v>
      </c>
      <c r="CC1477" t="s">
        <v>107</v>
      </c>
      <c r="CD1477">
        <v>6001</v>
      </c>
      <c r="CE1477" t="s">
        <v>88</v>
      </c>
      <c r="CF1477" s="3">
        <v>43784</v>
      </c>
      <c r="CI1477">
        <v>1</v>
      </c>
      <c r="CJ1477">
        <v>1</v>
      </c>
      <c r="CK1477">
        <v>21</v>
      </c>
      <c r="CL1477" t="s">
        <v>89</v>
      </c>
    </row>
    <row r="1478" spans="1:90">
      <c r="A1478" t="s">
        <v>72</v>
      </c>
      <c r="B1478" t="s">
        <v>73</v>
      </c>
      <c r="C1478" t="s">
        <v>74</v>
      </c>
      <c r="E1478" t="str">
        <f>"FES1162722658"</f>
        <v>FES1162722658</v>
      </c>
      <c r="F1478" s="3">
        <v>43782</v>
      </c>
      <c r="G1478">
        <v>202005</v>
      </c>
      <c r="H1478" t="s">
        <v>75</v>
      </c>
      <c r="I1478" t="s">
        <v>76</v>
      </c>
      <c r="J1478" t="s">
        <v>77</v>
      </c>
      <c r="K1478" t="s">
        <v>78</v>
      </c>
      <c r="L1478" t="s">
        <v>251</v>
      </c>
      <c r="M1478" t="s">
        <v>252</v>
      </c>
      <c r="N1478" t="s">
        <v>330</v>
      </c>
      <c r="O1478" t="s">
        <v>82</v>
      </c>
      <c r="P1478" t="str">
        <f>"2170711295 1                  "</f>
        <v xml:space="preserve">2170711295 1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8.58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0.5</v>
      </c>
      <c r="BJ1478">
        <v>0.7</v>
      </c>
      <c r="BK1478">
        <v>1</v>
      </c>
      <c r="BL1478" s="4">
        <v>50.45</v>
      </c>
      <c r="BM1478" s="4">
        <v>7.57</v>
      </c>
      <c r="BN1478" s="4">
        <v>58.02</v>
      </c>
      <c r="BO1478" s="4">
        <v>58.02</v>
      </c>
      <c r="BQ1478" t="s">
        <v>109</v>
      </c>
      <c r="BR1478" t="s">
        <v>84</v>
      </c>
      <c r="BS1478" s="3">
        <v>43784</v>
      </c>
      <c r="BT1478" s="5">
        <v>0.43194444444444446</v>
      </c>
      <c r="BU1478" t="s">
        <v>1331</v>
      </c>
      <c r="BV1478" t="s">
        <v>89</v>
      </c>
      <c r="BW1478" t="s">
        <v>144</v>
      </c>
      <c r="BX1478" t="s">
        <v>961</v>
      </c>
      <c r="BY1478">
        <v>3748.08</v>
      </c>
      <c r="CA1478" t="s">
        <v>255</v>
      </c>
      <c r="CC1478" t="s">
        <v>252</v>
      </c>
      <c r="CD1478">
        <v>4133</v>
      </c>
      <c r="CE1478" t="s">
        <v>88</v>
      </c>
      <c r="CF1478" s="3">
        <v>43787</v>
      </c>
      <c r="CI1478">
        <v>1</v>
      </c>
      <c r="CJ1478">
        <v>2</v>
      </c>
      <c r="CK1478">
        <v>21</v>
      </c>
      <c r="CL1478" t="s">
        <v>89</v>
      </c>
    </row>
    <row r="1479" spans="1:90">
      <c r="A1479" t="s">
        <v>72</v>
      </c>
      <c r="B1479" t="s">
        <v>73</v>
      </c>
      <c r="C1479" t="s">
        <v>74</v>
      </c>
      <c r="E1479" t="str">
        <f>"FES1162722799"</f>
        <v>FES1162722799</v>
      </c>
      <c r="F1479" s="3">
        <v>43782</v>
      </c>
      <c r="G1479">
        <v>202005</v>
      </c>
      <c r="H1479" t="s">
        <v>75</v>
      </c>
      <c r="I1479" t="s">
        <v>76</v>
      </c>
      <c r="J1479" t="s">
        <v>77</v>
      </c>
      <c r="K1479" t="s">
        <v>78</v>
      </c>
      <c r="L1479" t="s">
        <v>112</v>
      </c>
      <c r="M1479" t="s">
        <v>113</v>
      </c>
      <c r="N1479" t="s">
        <v>620</v>
      </c>
      <c r="O1479" t="s">
        <v>82</v>
      </c>
      <c r="P1479" t="str">
        <f>"2170713710                    "</f>
        <v xml:space="preserve">2170713710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8.58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0.5</v>
      </c>
      <c r="BJ1479">
        <v>0.8</v>
      </c>
      <c r="BK1479">
        <v>1</v>
      </c>
      <c r="BL1479" s="4">
        <v>50.45</v>
      </c>
      <c r="BM1479" s="4">
        <v>7.57</v>
      </c>
      <c r="BN1479" s="4">
        <v>58.02</v>
      </c>
      <c r="BO1479" s="4">
        <v>58.02</v>
      </c>
      <c r="BQ1479" t="s">
        <v>109</v>
      </c>
      <c r="BR1479" t="s">
        <v>84</v>
      </c>
      <c r="BS1479" s="3">
        <v>43783</v>
      </c>
      <c r="BT1479" s="5">
        <v>0.3354166666666667</v>
      </c>
      <c r="BU1479" t="s">
        <v>1971</v>
      </c>
      <c r="BV1479" t="s">
        <v>86</v>
      </c>
      <c r="BY1479">
        <v>3833.44</v>
      </c>
      <c r="CA1479" t="s">
        <v>448</v>
      </c>
      <c r="CC1479" t="s">
        <v>113</v>
      </c>
      <c r="CD1479">
        <v>4302</v>
      </c>
      <c r="CE1479" t="s">
        <v>88</v>
      </c>
      <c r="CF1479" s="3">
        <v>43784</v>
      </c>
      <c r="CI1479">
        <v>1</v>
      </c>
      <c r="CJ1479">
        <v>1</v>
      </c>
      <c r="CK1479">
        <v>21</v>
      </c>
      <c r="CL1479" t="s">
        <v>89</v>
      </c>
    </row>
    <row r="1480" spans="1:90">
      <c r="A1480" t="s">
        <v>72</v>
      </c>
      <c r="B1480" t="s">
        <v>73</v>
      </c>
      <c r="C1480" t="s">
        <v>74</v>
      </c>
      <c r="E1480" t="str">
        <f>"FES1162722714"</f>
        <v>FES1162722714</v>
      </c>
      <c r="F1480" s="3">
        <v>43782</v>
      </c>
      <c r="G1480">
        <v>202005</v>
      </c>
      <c r="H1480" t="s">
        <v>75</v>
      </c>
      <c r="I1480" t="s">
        <v>76</v>
      </c>
      <c r="J1480" t="s">
        <v>77</v>
      </c>
      <c r="K1480" t="s">
        <v>78</v>
      </c>
      <c r="L1480" t="s">
        <v>75</v>
      </c>
      <c r="M1480" t="s">
        <v>76</v>
      </c>
      <c r="N1480" t="s">
        <v>240</v>
      </c>
      <c r="O1480" t="s">
        <v>82</v>
      </c>
      <c r="P1480" t="str">
        <f>"2170714451                    "</f>
        <v xml:space="preserve">2170714451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9.92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3.7</v>
      </c>
      <c r="BJ1480">
        <v>1.3</v>
      </c>
      <c r="BK1480">
        <v>4</v>
      </c>
      <c r="BL1480" s="4">
        <v>58.31</v>
      </c>
      <c r="BM1480" s="4">
        <v>8.75</v>
      </c>
      <c r="BN1480" s="4">
        <v>67.06</v>
      </c>
      <c r="BO1480" s="4">
        <v>67.06</v>
      </c>
      <c r="BQ1480" t="s">
        <v>109</v>
      </c>
      <c r="BR1480" t="s">
        <v>84</v>
      </c>
      <c r="BS1480" s="3">
        <v>43783</v>
      </c>
      <c r="BT1480" s="5">
        <v>0.3611111111111111</v>
      </c>
      <c r="BU1480" t="s">
        <v>1079</v>
      </c>
      <c r="BV1480" t="s">
        <v>86</v>
      </c>
      <c r="BY1480">
        <v>6477.02</v>
      </c>
      <c r="CA1480" t="s">
        <v>198</v>
      </c>
      <c r="CC1480" t="s">
        <v>76</v>
      </c>
      <c r="CD1480">
        <v>1601</v>
      </c>
      <c r="CE1480" t="s">
        <v>88</v>
      </c>
      <c r="CF1480" s="3">
        <v>43784</v>
      </c>
      <c r="CI1480">
        <v>1</v>
      </c>
      <c r="CJ1480">
        <v>1</v>
      </c>
      <c r="CK1480">
        <v>22</v>
      </c>
      <c r="CL1480" t="s">
        <v>89</v>
      </c>
    </row>
    <row r="1481" spans="1:90">
      <c r="A1481" t="s">
        <v>72</v>
      </c>
      <c r="B1481" t="s">
        <v>73</v>
      </c>
      <c r="C1481" t="s">
        <v>74</v>
      </c>
      <c r="E1481" t="str">
        <f>"FES1162722733"</f>
        <v>FES1162722733</v>
      </c>
      <c r="F1481" s="3">
        <v>43782</v>
      </c>
      <c r="G1481">
        <v>202005</v>
      </c>
      <c r="H1481" t="s">
        <v>75</v>
      </c>
      <c r="I1481" t="s">
        <v>76</v>
      </c>
      <c r="J1481" t="s">
        <v>77</v>
      </c>
      <c r="K1481" t="s">
        <v>78</v>
      </c>
      <c r="L1481" t="s">
        <v>90</v>
      </c>
      <c r="M1481" t="s">
        <v>91</v>
      </c>
      <c r="N1481" t="s">
        <v>576</v>
      </c>
      <c r="O1481" t="s">
        <v>82</v>
      </c>
      <c r="P1481" t="str">
        <f>"2170714689                    "</f>
        <v xml:space="preserve">2170714689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8.58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0.2</v>
      </c>
      <c r="BJ1481">
        <v>0.8</v>
      </c>
      <c r="BK1481">
        <v>1</v>
      </c>
      <c r="BL1481" s="4">
        <v>50.45</v>
      </c>
      <c r="BM1481" s="4">
        <v>7.57</v>
      </c>
      <c r="BN1481" s="4">
        <v>58.02</v>
      </c>
      <c r="BO1481" s="4">
        <v>58.02</v>
      </c>
      <c r="BQ1481" t="s">
        <v>109</v>
      </c>
      <c r="BR1481" t="s">
        <v>84</v>
      </c>
      <c r="BS1481" s="3">
        <v>43783</v>
      </c>
      <c r="BT1481" s="5">
        <v>0.3666666666666667</v>
      </c>
      <c r="BU1481" t="s">
        <v>1145</v>
      </c>
      <c r="BV1481" t="s">
        <v>86</v>
      </c>
      <c r="BY1481">
        <v>3901.7</v>
      </c>
      <c r="CA1481" t="s">
        <v>1146</v>
      </c>
      <c r="CC1481" t="s">
        <v>91</v>
      </c>
      <c r="CD1481">
        <v>7441</v>
      </c>
      <c r="CE1481" t="s">
        <v>88</v>
      </c>
      <c r="CF1481" s="3">
        <v>43784</v>
      </c>
      <c r="CI1481">
        <v>1</v>
      </c>
      <c r="CJ1481">
        <v>1</v>
      </c>
      <c r="CK1481">
        <v>21</v>
      </c>
      <c r="CL1481" t="s">
        <v>89</v>
      </c>
    </row>
    <row r="1482" spans="1:90">
      <c r="A1482" t="s">
        <v>72</v>
      </c>
      <c r="B1482" t="s">
        <v>73</v>
      </c>
      <c r="C1482" t="s">
        <v>74</v>
      </c>
      <c r="E1482" t="str">
        <f>"FES1162722734"</f>
        <v>FES1162722734</v>
      </c>
      <c r="F1482" s="3">
        <v>43782</v>
      </c>
      <c r="G1482">
        <v>202005</v>
      </c>
      <c r="H1482" t="s">
        <v>75</v>
      </c>
      <c r="I1482" t="s">
        <v>76</v>
      </c>
      <c r="J1482" t="s">
        <v>77</v>
      </c>
      <c r="K1482" t="s">
        <v>78</v>
      </c>
      <c r="L1482" t="s">
        <v>112</v>
      </c>
      <c r="M1482" t="s">
        <v>113</v>
      </c>
      <c r="N1482" t="s">
        <v>1972</v>
      </c>
      <c r="O1482" t="s">
        <v>82</v>
      </c>
      <c r="P1482" t="str">
        <f>"2170714695                    "</f>
        <v xml:space="preserve">2170714695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21.45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4.9000000000000004</v>
      </c>
      <c r="BJ1482">
        <v>1.3</v>
      </c>
      <c r="BK1482">
        <v>5</v>
      </c>
      <c r="BL1482" s="4">
        <v>126.08</v>
      </c>
      <c r="BM1482" s="4">
        <v>18.91</v>
      </c>
      <c r="BN1482" s="4">
        <v>144.99</v>
      </c>
      <c r="BO1482" s="4">
        <v>144.99</v>
      </c>
      <c r="BQ1482" t="s">
        <v>121</v>
      </c>
      <c r="BR1482" t="s">
        <v>84</v>
      </c>
      <c r="BS1482" s="3">
        <v>43783</v>
      </c>
      <c r="BT1482" s="5">
        <v>0.4368055555555555</v>
      </c>
      <c r="BU1482" t="s">
        <v>1973</v>
      </c>
      <c r="BV1482" t="s">
        <v>86</v>
      </c>
      <c r="BY1482">
        <v>6381.94</v>
      </c>
      <c r="CA1482" t="s">
        <v>229</v>
      </c>
      <c r="CC1482" t="s">
        <v>113</v>
      </c>
      <c r="CD1482">
        <v>4052</v>
      </c>
      <c r="CE1482" t="s">
        <v>88</v>
      </c>
      <c r="CF1482" s="3">
        <v>43784</v>
      </c>
      <c r="CI1482">
        <v>1</v>
      </c>
      <c r="CJ1482">
        <v>1</v>
      </c>
      <c r="CK1482">
        <v>21</v>
      </c>
      <c r="CL1482" t="s">
        <v>89</v>
      </c>
    </row>
    <row r="1483" spans="1:90">
      <c r="A1483" t="s">
        <v>72</v>
      </c>
      <c r="B1483" t="s">
        <v>73</v>
      </c>
      <c r="C1483" t="s">
        <v>74</v>
      </c>
      <c r="E1483" t="str">
        <f>"FES1162722599"</f>
        <v>FES1162722599</v>
      </c>
      <c r="F1483" s="3">
        <v>43782</v>
      </c>
      <c r="G1483">
        <v>202005</v>
      </c>
      <c r="H1483" t="s">
        <v>75</v>
      </c>
      <c r="I1483" t="s">
        <v>76</v>
      </c>
      <c r="J1483" t="s">
        <v>77</v>
      </c>
      <c r="K1483" t="s">
        <v>78</v>
      </c>
      <c r="L1483" t="s">
        <v>75</v>
      </c>
      <c r="M1483" t="s">
        <v>76</v>
      </c>
      <c r="N1483" t="s">
        <v>466</v>
      </c>
      <c r="O1483" t="s">
        <v>82</v>
      </c>
      <c r="P1483" t="str">
        <f>"2170716847                    "</f>
        <v xml:space="preserve">2170716847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21.17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10.9</v>
      </c>
      <c r="BJ1483">
        <v>7.4</v>
      </c>
      <c r="BK1483">
        <v>11</v>
      </c>
      <c r="BL1483" s="4">
        <v>124.44</v>
      </c>
      <c r="BM1483" s="4">
        <v>18.670000000000002</v>
      </c>
      <c r="BN1483" s="4">
        <v>143.11000000000001</v>
      </c>
      <c r="BO1483" s="4">
        <v>143.11000000000001</v>
      </c>
      <c r="BQ1483" t="s">
        <v>109</v>
      </c>
      <c r="BR1483" t="s">
        <v>84</v>
      </c>
      <c r="BS1483" s="3">
        <v>43783</v>
      </c>
      <c r="BT1483" s="5">
        <v>0.4375</v>
      </c>
      <c r="BU1483" t="s">
        <v>467</v>
      </c>
      <c r="BV1483" t="s">
        <v>86</v>
      </c>
      <c r="BY1483">
        <v>36965.599999999999</v>
      </c>
      <c r="CC1483" t="s">
        <v>76</v>
      </c>
      <c r="CD1483">
        <v>1609</v>
      </c>
      <c r="CE1483" t="s">
        <v>88</v>
      </c>
      <c r="CF1483" s="3">
        <v>43784</v>
      </c>
      <c r="CI1483">
        <v>1</v>
      </c>
      <c r="CJ1483">
        <v>1</v>
      </c>
      <c r="CK1483">
        <v>22</v>
      </c>
      <c r="CL1483" t="s">
        <v>89</v>
      </c>
    </row>
    <row r="1484" spans="1:90">
      <c r="A1484" t="s">
        <v>72</v>
      </c>
      <c r="B1484" t="s">
        <v>73</v>
      </c>
      <c r="C1484" t="s">
        <v>74</v>
      </c>
      <c r="E1484" t="str">
        <f>"FES1162722649"</f>
        <v>FES1162722649</v>
      </c>
      <c r="F1484" s="3">
        <v>43782</v>
      </c>
      <c r="G1484">
        <v>202005</v>
      </c>
      <c r="H1484" t="s">
        <v>75</v>
      </c>
      <c r="I1484" t="s">
        <v>76</v>
      </c>
      <c r="J1484" t="s">
        <v>77</v>
      </c>
      <c r="K1484" t="s">
        <v>78</v>
      </c>
      <c r="L1484" t="s">
        <v>344</v>
      </c>
      <c r="M1484" t="s">
        <v>345</v>
      </c>
      <c r="N1484" t="s">
        <v>1143</v>
      </c>
      <c r="O1484" t="s">
        <v>82</v>
      </c>
      <c r="P1484" t="str">
        <f>"2170716576                    "</f>
        <v xml:space="preserve">2170716576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7.51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2.1</v>
      </c>
      <c r="BJ1484">
        <v>0.9</v>
      </c>
      <c r="BK1484">
        <v>2.5</v>
      </c>
      <c r="BL1484" s="4">
        <v>44.14</v>
      </c>
      <c r="BM1484" s="4">
        <v>6.62</v>
      </c>
      <c r="BN1484" s="4">
        <v>50.76</v>
      </c>
      <c r="BO1484" s="4">
        <v>50.76</v>
      </c>
      <c r="BQ1484" t="s">
        <v>121</v>
      </c>
      <c r="BR1484" t="s">
        <v>84</v>
      </c>
      <c r="BS1484" s="3">
        <v>43783</v>
      </c>
      <c r="BT1484" s="5">
        <v>0.3659722222222222</v>
      </c>
      <c r="BU1484" t="s">
        <v>1904</v>
      </c>
      <c r="BV1484" t="s">
        <v>86</v>
      </c>
      <c r="BY1484">
        <v>4571.42</v>
      </c>
      <c r="CA1484" t="s">
        <v>348</v>
      </c>
      <c r="CC1484" t="s">
        <v>345</v>
      </c>
      <c r="CD1484">
        <v>2163</v>
      </c>
      <c r="CE1484" t="s">
        <v>88</v>
      </c>
      <c r="CF1484" s="3">
        <v>43784</v>
      </c>
      <c r="CI1484">
        <v>1</v>
      </c>
      <c r="CJ1484">
        <v>1</v>
      </c>
      <c r="CK1484">
        <v>22</v>
      </c>
      <c r="CL1484" t="s">
        <v>89</v>
      </c>
    </row>
    <row r="1485" spans="1:90">
      <c r="A1485" t="s">
        <v>72</v>
      </c>
      <c r="B1485" t="s">
        <v>73</v>
      </c>
      <c r="C1485" t="s">
        <v>74</v>
      </c>
      <c r="E1485" t="str">
        <f>"FES1162722912"</f>
        <v>FES1162722912</v>
      </c>
      <c r="F1485" s="3">
        <v>43782</v>
      </c>
      <c r="G1485">
        <v>202005</v>
      </c>
      <c r="H1485" t="s">
        <v>75</v>
      </c>
      <c r="I1485" t="s">
        <v>76</v>
      </c>
      <c r="J1485" t="s">
        <v>77</v>
      </c>
      <c r="K1485" t="s">
        <v>78</v>
      </c>
      <c r="L1485" t="s">
        <v>133</v>
      </c>
      <c r="M1485" t="s">
        <v>134</v>
      </c>
      <c r="N1485" t="s">
        <v>310</v>
      </c>
      <c r="O1485" t="s">
        <v>82</v>
      </c>
      <c r="P1485" t="str">
        <f>"2170714601                    "</f>
        <v xml:space="preserve">2170714601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8.58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 s="4">
        <v>50.45</v>
      </c>
      <c r="BM1485" s="4">
        <v>7.57</v>
      </c>
      <c r="BN1485" s="4">
        <v>58.02</v>
      </c>
      <c r="BO1485" s="4">
        <v>58.02</v>
      </c>
      <c r="BQ1485" t="s">
        <v>121</v>
      </c>
      <c r="BR1485" t="s">
        <v>84</v>
      </c>
      <c r="BS1485" s="3">
        <v>43783</v>
      </c>
      <c r="BT1485" s="5">
        <v>0.34236111111111112</v>
      </c>
      <c r="BU1485" t="s">
        <v>1421</v>
      </c>
      <c r="BV1485" t="s">
        <v>86</v>
      </c>
      <c r="BY1485">
        <v>1200</v>
      </c>
      <c r="CA1485" t="s">
        <v>912</v>
      </c>
      <c r="CC1485" t="s">
        <v>134</v>
      </c>
      <c r="CD1485">
        <v>5201</v>
      </c>
      <c r="CE1485" t="s">
        <v>147</v>
      </c>
      <c r="CF1485" s="3">
        <v>43784</v>
      </c>
      <c r="CI1485">
        <v>1</v>
      </c>
      <c r="CJ1485">
        <v>1</v>
      </c>
      <c r="CK1485">
        <v>21</v>
      </c>
      <c r="CL1485" t="s">
        <v>89</v>
      </c>
    </row>
    <row r="1486" spans="1:90">
      <c r="A1486" t="s">
        <v>72</v>
      </c>
      <c r="B1486" t="s">
        <v>73</v>
      </c>
      <c r="C1486" t="s">
        <v>74</v>
      </c>
      <c r="E1486" t="str">
        <f>"FES1162722854"</f>
        <v>FES1162722854</v>
      </c>
      <c r="F1486" s="3">
        <v>43782</v>
      </c>
      <c r="G1486">
        <v>202005</v>
      </c>
      <c r="H1486" t="s">
        <v>75</v>
      </c>
      <c r="I1486" t="s">
        <v>76</v>
      </c>
      <c r="J1486" t="s">
        <v>77</v>
      </c>
      <c r="K1486" t="s">
        <v>78</v>
      </c>
      <c r="L1486" t="s">
        <v>106</v>
      </c>
      <c r="M1486" t="s">
        <v>107</v>
      </c>
      <c r="N1486" t="s">
        <v>150</v>
      </c>
      <c r="O1486" t="s">
        <v>82</v>
      </c>
      <c r="P1486" t="str">
        <f>"2170716947                    "</f>
        <v xml:space="preserve">2170716947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8.58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 s="4">
        <v>50.45</v>
      </c>
      <c r="BM1486" s="4">
        <v>7.57</v>
      </c>
      <c r="BN1486" s="4">
        <v>58.02</v>
      </c>
      <c r="BO1486" s="4">
        <v>58.02</v>
      </c>
      <c r="BQ1486" t="s">
        <v>109</v>
      </c>
      <c r="BR1486" t="s">
        <v>84</v>
      </c>
      <c r="BS1486" s="3">
        <v>43783</v>
      </c>
      <c r="BT1486" s="5">
        <v>0.3520833333333333</v>
      </c>
      <c r="BU1486" t="s">
        <v>151</v>
      </c>
      <c r="BV1486" t="s">
        <v>86</v>
      </c>
      <c r="BY1486">
        <v>1200</v>
      </c>
      <c r="CA1486" t="s">
        <v>111</v>
      </c>
      <c r="CC1486" t="s">
        <v>107</v>
      </c>
      <c r="CD1486">
        <v>6001</v>
      </c>
      <c r="CE1486" t="s">
        <v>147</v>
      </c>
      <c r="CF1486" s="3">
        <v>43784</v>
      </c>
      <c r="CI1486">
        <v>1</v>
      </c>
      <c r="CJ1486">
        <v>1</v>
      </c>
      <c r="CK1486">
        <v>21</v>
      </c>
      <c r="CL1486" t="s">
        <v>89</v>
      </c>
    </row>
    <row r="1487" spans="1:90">
      <c r="A1487" t="s">
        <v>72</v>
      </c>
      <c r="B1487" t="s">
        <v>73</v>
      </c>
      <c r="C1487" t="s">
        <v>74</v>
      </c>
      <c r="E1487" t="str">
        <f>"FES1162722925"</f>
        <v>FES1162722925</v>
      </c>
      <c r="F1487" s="3">
        <v>43782</v>
      </c>
      <c r="G1487">
        <v>202005</v>
      </c>
      <c r="H1487" t="s">
        <v>75</v>
      </c>
      <c r="I1487" t="s">
        <v>76</v>
      </c>
      <c r="J1487" t="s">
        <v>77</v>
      </c>
      <c r="K1487" t="s">
        <v>78</v>
      </c>
      <c r="L1487" t="s">
        <v>106</v>
      </c>
      <c r="M1487" t="s">
        <v>107</v>
      </c>
      <c r="N1487" t="s">
        <v>1974</v>
      </c>
      <c r="O1487" t="s">
        <v>82</v>
      </c>
      <c r="P1487" t="str">
        <f>"2170717013                    "</f>
        <v xml:space="preserve">2170717013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8.58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 s="4">
        <v>50.45</v>
      </c>
      <c r="BM1487" s="4">
        <v>7.57</v>
      </c>
      <c r="BN1487" s="4">
        <v>58.02</v>
      </c>
      <c r="BO1487" s="4">
        <v>58.02</v>
      </c>
      <c r="BQ1487" t="s">
        <v>1975</v>
      </c>
      <c r="BR1487" t="s">
        <v>84</v>
      </c>
      <c r="BS1487" s="3">
        <v>43783</v>
      </c>
      <c r="BT1487" s="5">
        <v>0.37708333333333338</v>
      </c>
      <c r="BU1487" t="s">
        <v>1976</v>
      </c>
      <c r="BV1487" t="s">
        <v>86</v>
      </c>
      <c r="BY1487">
        <v>1200</v>
      </c>
      <c r="CA1487">
        <v>80002482078</v>
      </c>
      <c r="CC1487" t="s">
        <v>107</v>
      </c>
      <c r="CD1487">
        <v>6012</v>
      </c>
      <c r="CE1487" t="s">
        <v>147</v>
      </c>
      <c r="CF1487" s="3">
        <v>43784</v>
      </c>
      <c r="CI1487">
        <v>1</v>
      </c>
      <c r="CJ1487">
        <v>1</v>
      </c>
      <c r="CK1487">
        <v>21</v>
      </c>
      <c r="CL1487" t="s">
        <v>89</v>
      </c>
    </row>
    <row r="1488" spans="1:90">
      <c r="A1488" t="s">
        <v>72</v>
      </c>
      <c r="B1488" t="s">
        <v>73</v>
      </c>
      <c r="C1488" t="s">
        <v>74</v>
      </c>
      <c r="E1488" t="str">
        <f>"FES1162722904"</f>
        <v>FES1162722904</v>
      </c>
      <c r="F1488" s="3">
        <v>43782</v>
      </c>
      <c r="G1488">
        <v>202005</v>
      </c>
      <c r="H1488" t="s">
        <v>75</v>
      </c>
      <c r="I1488" t="s">
        <v>76</v>
      </c>
      <c r="J1488" t="s">
        <v>77</v>
      </c>
      <c r="K1488" t="s">
        <v>78</v>
      </c>
      <c r="L1488" t="s">
        <v>225</v>
      </c>
      <c r="M1488" t="s">
        <v>226</v>
      </c>
      <c r="N1488" t="s">
        <v>1977</v>
      </c>
      <c r="O1488" t="s">
        <v>82</v>
      </c>
      <c r="P1488" t="str">
        <f>"2170716993                    "</f>
        <v xml:space="preserve">2170716993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8.58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 s="4">
        <v>50.45</v>
      </c>
      <c r="BM1488" s="4">
        <v>7.57</v>
      </c>
      <c r="BN1488" s="4">
        <v>58.02</v>
      </c>
      <c r="BO1488" s="4">
        <v>58.02</v>
      </c>
      <c r="BQ1488" t="s">
        <v>337</v>
      </c>
      <c r="BR1488" t="s">
        <v>84</v>
      </c>
      <c r="BS1488" s="3">
        <v>43783</v>
      </c>
      <c r="BT1488" s="5">
        <v>0.3840277777777778</v>
      </c>
      <c r="BU1488" t="s">
        <v>1978</v>
      </c>
      <c r="BV1488" t="s">
        <v>86</v>
      </c>
      <c r="BY1488">
        <v>1200</v>
      </c>
      <c r="CA1488" t="s">
        <v>448</v>
      </c>
      <c r="CC1488" t="s">
        <v>226</v>
      </c>
      <c r="CD1488">
        <v>4026</v>
      </c>
      <c r="CE1488" t="s">
        <v>147</v>
      </c>
      <c r="CF1488" s="3">
        <v>43784</v>
      </c>
      <c r="CI1488">
        <v>1</v>
      </c>
      <c r="CJ1488">
        <v>1</v>
      </c>
      <c r="CK1488">
        <v>21</v>
      </c>
      <c r="CL1488" t="s">
        <v>89</v>
      </c>
    </row>
    <row r="1489" spans="1:90">
      <c r="A1489" t="s">
        <v>72</v>
      </c>
      <c r="B1489" t="s">
        <v>73</v>
      </c>
      <c r="C1489" t="s">
        <v>74</v>
      </c>
      <c r="E1489" t="str">
        <f>"FES1162722927"</f>
        <v>FES1162722927</v>
      </c>
      <c r="F1489" s="3">
        <v>43782</v>
      </c>
      <c r="G1489">
        <v>202005</v>
      </c>
      <c r="H1489" t="s">
        <v>75</v>
      </c>
      <c r="I1489" t="s">
        <v>76</v>
      </c>
      <c r="J1489" t="s">
        <v>77</v>
      </c>
      <c r="K1489" t="s">
        <v>78</v>
      </c>
      <c r="L1489" t="s">
        <v>106</v>
      </c>
      <c r="M1489" t="s">
        <v>107</v>
      </c>
      <c r="N1489" t="s">
        <v>242</v>
      </c>
      <c r="O1489" t="s">
        <v>82</v>
      </c>
      <c r="P1489" t="str">
        <f>"2170717019                    "</f>
        <v xml:space="preserve">2170717019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8.58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 s="4">
        <v>50.45</v>
      </c>
      <c r="BM1489" s="4">
        <v>7.57</v>
      </c>
      <c r="BN1489" s="4">
        <v>58.02</v>
      </c>
      <c r="BO1489" s="4">
        <v>58.02</v>
      </c>
      <c r="BQ1489" t="s">
        <v>109</v>
      </c>
      <c r="BR1489" t="s">
        <v>84</v>
      </c>
      <c r="BS1489" s="3">
        <v>43783</v>
      </c>
      <c r="BT1489" s="5">
        <v>0.3888888888888889</v>
      </c>
      <c r="BU1489" t="s">
        <v>499</v>
      </c>
      <c r="BV1489" t="s">
        <v>86</v>
      </c>
      <c r="BY1489">
        <v>1200</v>
      </c>
      <c r="CA1489" t="s">
        <v>244</v>
      </c>
      <c r="CC1489" t="s">
        <v>107</v>
      </c>
      <c r="CD1489">
        <v>6001</v>
      </c>
      <c r="CE1489" t="s">
        <v>147</v>
      </c>
      <c r="CF1489" s="3">
        <v>43784</v>
      </c>
      <c r="CI1489">
        <v>1</v>
      </c>
      <c r="CJ1489">
        <v>1</v>
      </c>
      <c r="CK1489">
        <v>21</v>
      </c>
      <c r="CL1489" t="s">
        <v>89</v>
      </c>
    </row>
    <row r="1490" spans="1:90">
      <c r="A1490" t="s">
        <v>72</v>
      </c>
      <c r="B1490" t="s">
        <v>73</v>
      </c>
      <c r="C1490" t="s">
        <v>74</v>
      </c>
      <c r="E1490" t="str">
        <f>"FES1162722815"</f>
        <v>FES1162722815</v>
      </c>
      <c r="F1490" s="3">
        <v>43782</v>
      </c>
      <c r="G1490">
        <v>202005</v>
      </c>
      <c r="H1490" t="s">
        <v>75</v>
      </c>
      <c r="I1490" t="s">
        <v>76</v>
      </c>
      <c r="J1490" t="s">
        <v>77</v>
      </c>
      <c r="K1490" t="s">
        <v>78</v>
      </c>
      <c r="L1490" t="s">
        <v>605</v>
      </c>
      <c r="M1490" t="s">
        <v>606</v>
      </c>
      <c r="N1490" t="s">
        <v>785</v>
      </c>
      <c r="O1490" t="s">
        <v>82</v>
      </c>
      <c r="P1490" t="str">
        <f>"2170714369                    "</f>
        <v xml:space="preserve">2170714369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12.07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 s="4">
        <v>70.95</v>
      </c>
      <c r="BM1490" s="4">
        <v>10.64</v>
      </c>
      <c r="BN1490" s="4">
        <v>81.59</v>
      </c>
      <c r="BO1490" s="4">
        <v>81.59</v>
      </c>
      <c r="BQ1490" t="s">
        <v>109</v>
      </c>
      <c r="BR1490" t="s">
        <v>84</v>
      </c>
      <c r="BS1490" s="3">
        <v>43783</v>
      </c>
      <c r="BT1490" s="5">
        <v>0.55208333333333337</v>
      </c>
      <c r="BU1490" t="s">
        <v>921</v>
      </c>
      <c r="BV1490" t="s">
        <v>86</v>
      </c>
      <c r="BY1490">
        <v>1200</v>
      </c>
      <c r="CC1490" t="s">
        <v>606</v>
      </c>
      <c r="CD1490">
        <v>407</v>
      </c>
      <c r="CE1490" t="s">
        <v>147</v>
      </c>
      <c r="CF1490" s="3">
        <v>43784</v>
      </c>
      <c r="CI1490">
        <v>1</v>
      </c>
      <c r="CJ1490">
        <v>1</v>
      </c>
      <c r="CK1490">
        <v>24</v>
      </c>
      <c r="CL1490" t="s">
        <v>89</v>
      </c>
    </row>
    <row r="1491" spans="1:90">
      <c r="A1491" t="s">
        <v>72</v>
      </c>
      <c r="B1491" t="s">
        <v>73</v>
      </c>
      <c r="C1491" t="s">
        <v>74</v>
      </c>
      <c r="E1491" t="str">
        <f>"FES1162722692"</f>
        <v>FES1162722692</v>
      </c>
      <c r="F1491" s="3">
        <v>43782</v>
      </c>
      <c r="G1491">
        <v>202005</v>
      </c>
      <c r="H1491" t="s">
        <v>75</v>
      </c>
      <c r="I1491" t="s">
        <v>76</v>
      </c>
      <c r="J1491" t="s">
        <v>77</v>
      </c>
      <c r="K1491" t="s">
        <v>78</v>
      </c>
      <c r="L1491" t="s">
        <v>405</v>
      </c>
      <c r="M1491" t="s">
        <v>406</v>
      </c>
      <c r="N1491" t="s">
        <v>407</v>
      </c>
      <c r="O1491" t="s">
        <v>82</v>
      </c>
      <c r="P1491" t="str">
        <f>"2170714270                    "</f>
        <v xml:space="preserve">2170714270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12.07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 s="4">
        <v>70.95</v>
      </c>
      <c r="BM1491" s="4">
        <v>10.64</v>
      </c>
      <c r="BN1491" s="4">
        <v>81.59</v>
      </c>
      <c r="BO1491" s="4">
        <v>81.59</v>
      </c>
      <c r="BQ1491" t="s">
        <v>121</v>
      </c>
      <c r="BR1491" t="s">
        <v>84</v>
      </c>
      <c r="BS1491" s="3">
        <v>43783</v>
      </c>
      <c r="BT1491" s="5">
        <v>0.42499999999999999</v>
      </c>
      <c r="BU1491" t="s">
        <v>1979</v>
      </c>
      <c r="BV1491" t="s">
        <v>86</v>
      </c>
      <c r="BY1491">
        <v>1200</v>
      </c>
      <c r="CA1491" t="s">
        <v>1501</v>
      </c>
      <c r="CC1491" t="s">
        <v>406</v>
      </c>
      <c r="CD1491">
        <v>250</v>
      </c>
      <c r="CE1491" t="s">
        <v>147</v>
      </c>
      <c r="CF1491" s="3">
        <v>43787</v>
      </c>
      <c r="CI1491">
        <v>1</v>
      </c>
      <c r="CJ1491">
        <v>1</v>
      </c>
      <c r="CK1491">
        <v>24</v>
      </c>
      <c r="CL1491" t="s">
        <v>89</v>
      </c>
    </row>
    <row r="1492" spans="1:90">
      <c r="A1492" t="s">
        <v>72</v>
      </c>
      <c r="B1492" t="s">
        <v>73</v>
      </c>
      <c r="C1492" t="s">
        <v>74</v>
      </c>
      <c r="E1492" t="str">
        <f>"FES1162722693"</f>
        <v>FES1162722693</v>
      </c>
      <c r="F1492" s="3">
        <v>43782</v>
      </c>
      <c r="G1492">
        <v>202005</v>
      </c>
      <c r="H1492" t="s">
        <v>75</v>
      </c>
      <c r="I1492" t="s">
        <v>76</v>
      </c>
      <c r="J1492" t="s">
        <v>77</v>
      </c>
      <c r="K1492" t="s">
        <v>78</v>
      </c>
      <c r="L1492" t="s">
        <v>405</v>
      </c>
      <c r="M1492" t="s">
        <v>406</v>
      </c>
      <c r="N1492" t="s">
        <v>407</v>
      </c>
      <c r="O1492" t="s">
        <v>82</v>
      </c>
      <c r="P1492" t="str">
        <f>"2170714271                    "</f>
        <v xml:space="preserve">2170714271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12.07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 s="4">
        <v>70.95</v>
      </c>
      <c r="BM1492" s="4">
        <v>10.64</v>
      </c>
      <c r="BN1492" s="4">
        <v>81.59</v>
      </c>
      <c r="BO1492" s="4">
        <v>81.59</v>
      </c>
      <c r="BQ1492" t="s">
        <v>121</v>
      </c>
      <c r="BR1492" t="s">
        <v>84</v>
      </c>
      <c r="BS1492" s="3">
        <v>43783</v>
      </c>
      <c r="BT1492" s="5">
        <v>0.43055555555555558</v>
      </c>
      <c r="BU1492" t="s">
        <v>1979</v>
      </c>
      <c r="BV1492" t="s">
        <v>86</v>
      </c>
      <c r="BY1492">
        <v>1200</v>
      </c>
      <c r="CA1492" t="s">
        <v>1501</v>
      </c>
      <c r="CC1492" t="s">
        <v>406</v>
      </c>
      <c r="CD1492">
        <v>250</v>
      </c>
      <c r="CE1492" t="s">
        <v>147</v>
      </c>
      <c r="CF1492" s="3">
        <v>43787</v>
      </c>
      <c r="CI1492">
        <v>1</v>
      </c>
      <c r="CJ1492">
        <v>1</v>
      </c>
      <c r="CK1492">
        <v>24</v>
      </c>
      <c r="CL1492" t="s">
        <v>89</v>
      </c>
    </row>
    <row r="1493" spans="1:90">
      <c r="A1493" t="s">
        <v>72</v>
      </c>
      <c r="B1493" t="s">
        <v>73</v>
      </c>
      <c r="C1493" t="s">
        <v>74</v>
      </c>
      <c r="E1493" t="str">
        <f>"FES1162722694"</f>
        <v>FES1162722694</v>
      </c>
      <c r="F1493" s="3">
        <v>43782</v>
      </c>
      <c r="G1493">
        <v>202005</v>
      </c>
      <c r="H1493" t="s">
        <v>75</v>
      </c>
      <c r="I1493" t="s">
        <v>76</v>
      </c>
      <c r="J1493" t="s">
        <v>77</v>
      </c>
      <c r="K1493" t="s">
        <v>78</v>
      </c>
      <c r="L1493" t="s">
        <v>405</v>
      </c>
      <c r="M1493" t="s">
        <v>406</v>
      </c>
      <c r="N1493" t="s">
        <v>407</v>
      </c>
      <c r="O1493" t="s">
        <v>82</v>
      </c>
      <c r="P1493" t="str">
        <f>"2170714279                    "</f>
        <v xml:space="preserve">2170714279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12.07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 s="4">
        <v>70.95</v>
      </c>
      <c r="BM1493" s="4">
        <v>10.64</v>
      </c>
      <c r="BN1493" s="4">
        <v>81.59</v>
      </c>
      <c r="BO1493" s="4">
        <v>81.59</v>
      </c>
      <c r="BQ1493" t="s">
        <v>121</v>
      </c>
      <c r="BR1493" t="s">
        <v>84</v>
      </c>
      <c r="BS1493" s="3">
        <v>43783</v>
      </c>
      <c r="BT1493" s="5">
        <v>0.43055555555555558</v>
      </c>
      <c r="BU1493" t="s">
        <v>1979</v>
      </c>
      <c r="BV1493" t="s">
        <v>86</v>
      </c>
      <c r="BY1493">
        <v>1200</v>
      </c>
      <c r="CA1493" t="s">
        <v>1501</v>
      </c>
      <c r="CC1493" t="s">
        <v>406</v>
      </c>
      <c r="CD1493">
        <v>250</v>
      </c>
      <c r="CE1493" t="s">
        <v>147</v>
      </c>
      <c r="CF1493" s="3">
        <v>43787</v>
      </c>
      <c r="CI1493">
        <v>1</v>
      </c>
      <c r="CJ1493">
        <v>1</v>
      </c>
      <c r="CK1493">
        <v>24</v>
      </c>
      <c r="CL1493" t="s">
        <v>89</v>
      </c>
    </row>
    <row r="1494" spans="1:90">
      <c r="A1494" t="s">
        <v>72</v>
      </c>
      <c r="B1494" t="s">
        <v>73</v>
      </c>
      <c r="C1494" t="s">
        <v>74</v>
      </c>
      <c r="E1494" t="str">
        <f>"FES1162722806"</f>
        <v>FES1162722806</v>
      </c>
      <c r="F1494" s="3">
        <v>43782</v>
      </c>
      <c r="G1494">
        <v>202005</v>
      </c>
      <c r="H1494" t="s">
        <v>75</v>
      </c>
      <c r="I1494" t="s">
        <v>76</v>
      </c>
      <c r="J1494" t="s">
        <v>77</v>
      </c>
      <c r="K1494" t="s">
        <v>78</v>
      </c>
      <c r="L1494" t="s">
        <v>101</v>
      </c>
      <c r="M1494" t="s">
        <v>102</v>
      </c>
      <c r="N1494" t="s">
        <v>181</v>
      </c>
      <c r="O1494" t="s">
        <v>82</v>
      </c>
      <c r="P1494" t="str">
        <f>"2170714408                    "</f>
        <v xml:space="preserve">2170714408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8.58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 s="4">
        <v>50.45</v>
      </c>
      <c r="BM1494" s="4">
        <v>7.57</v>
      </c>
      <c r="BN1494" s="4">
        <v>58.02</v>
      </c>
      <c r="BO1494" s="4">
        <v>58.02</v>
      </c>
      <c r="BQ1494" t="s">
        <v>121</v>
      </c>
      <c r="BR1494" t="s">
        <v>84</v>
      </c>
      <c r="BS1494" s="3">
        <v>43783</v>
      </c>
      <c r="BT1494" s="5">
        <v>0.3611111111111111</v>
      </c>
      <c r="BU1494" t="s">
        <v>1980</v>
      </c>
      <c r="BV1494" t="s">
        <v>86</v>
      </c>
      <c r="BY1494">
        <v>1200</v>
      </c>
      <c r="CA1494" t="s">
        <v>183</v>
      </c>
      <c r="CC1494" t="s">
        <v>102</v>
      </c>
      <c r="CD1494">
        <v>200</v>
      </c>
      <c r="CE1494" t="s">
        <v>147</v>
      </c>
      <c r="CF1494" s="3">
        <v>43784</v>
      </c>
      <c r="CI1494">
        <v>1</v>
      </c>
      <c r="CJ1494">
        <v>1</v>
      </c>
      <c r="CK1494">
        <v>21</v>
      </c>
      <c r="CL1494" t="s">
        <v>89</v>
      </c>
    </row>
    <row r="1495" spans="1:90">
      <c r="A1495" t="s">
        <v>72</v>
      </c>
      <c r="B1495" t="s">
        <v>73</v>
      </c>
      <c r="C1495" t="s">
        <v>74</v>
      </c>
      <c r="E1495" t="str">
        <f>"FES1162722744"</f>
        <v>FES1162722744</v>
      </c>
      <c r="F1495" s="3">
        <v>43782</v>
      </c>
      <c r="G1495">
        <v>202005</v>
      </c>
      <c r="H1495" t="s">
        <v>75</v>
      </c>
      <c r="I1495" t="s">
        <v>76</v>
      </c>
      <c r="J1495" t="s">
        <v>77</v>
      </c>
      <c r="K1495" t="s">
        <v>78</v>
      </c>
      <c r="L1495" t="s">
        <v>339</v>
      </c>
      <c r="M1495" t="s">
        <v>340</v>
      </c>
      <c r="N1495" t="s">
        <v>615</v>
      </c>
      <c r="O1495" t="s">
        <v>82</v>
      </c>
      <c r="P1495" t="str">
        <f>"217074838                     "</f>
        <v xml:space="preserve">217074838 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8.58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 s="4">
        <v>50.45</v>
      </c>
      <c r="BM1495" s="4">
        <v>7.57</v>
      </c>
      <c r="BN1495" s="4">
        <v>58.02</v>
      </c>
      <c r="BO1495" s="4">
        <v>58.02</v>
      </c>
      <c r="BQ1495" t="s">
        <v>109</v>
      </c>
      <c r="BR1495" t="s">
        <v>84</v>
      </c>
      <c r="BS1495" s="3">
        <v>43783</v>
      </c>
      <c r="BT1495" s="5">
        <v>0.42708333333333331</v>
      </c>
      <c r="BU1495" t="s">
        <v>1916</v>
      </c>
      <c r="BV1495" t="s">
        <v>86</v>
      </c>
      <c r="BY1495">
        <v>1200</v>
      </c>
      <c r="CA1495" t="s">
        <v>343</v>
      </c>
      <c r="CC1495" t="s">
        <v>340</v>
      </c>
      <c r="CD1495">
        <v>157</v>
      </c>
      <c r="CE1495" t="s">
        <v>147</v>
      </c>
      <c r="CF1495" s="3">
        <v>43784</v>
      </c>
      <c r="CI1495">
        <v>1</v>
      </c>
      <c r="CJ1495">
        <v>1</v>
      </c>
      <c r="CK1495">
        <v>21</v>
      </c>
      <c r="CL1495" t="s">
        <v>89</v>
      </c>
    </row>
    <row r="1496" spans="1:90">
      <c r="A1496" t="s">
        <v>72</v>
      </c>
      <c r="B1496" t="s">
        <v>73</v>
      </c>
      <c r="C1496" t="s">
        <v>74</v>
      </c>
      <c r="E1496" t="str">
        <f>"FES1162722793"</f>
        <v>FES1162722793</v>
      </c>
      <c r="F1496" s="3">
        <v>43782</v>
      </c>
      <c r="G1496">
        <v>202005</v>
      </c>
      <c r="H1496" t="s">
        <v>75</v>
      </c>
      <c r="I1496" t="s">
        <v>76</v>
      </c>
      <c r="J1496" t="s">
        <v>77</v>
      </c>
      <c r="K1496" t="s">
        <v>78</v>
      </c>
      <c r="L1496" t="s">
        <v>405</v>
      </c>
      <c r="M1496" t="s">
        <v>406</v>
      </c>
      <c r="N1496" t="s">
        <v>934</v>
      </c>
      <c r="O1496" t="s">
        <v>82</v>
      </c>
      <c r="P1496" t="str">
        <f>"217071623                     "</f>
        <v xml:space="preserve">217071623 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12.07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 s="4">
        <v>70.95</v>
      </c>
      <c r="BM1496" s="4">
        <v>10.64</v>
      </c>
      <c r="BN1496" s="4">
        <v>81.59</v>
      </c>
      <c r="BO1496" s="4">
        <v>81.59</v>
      </c>
      <c r="BQ1496" t="s">
        <v>109</v>
      </c>
      <c r="BR1496" t="s">
        <v>84</v>
      </c>
      <c r="BS1496" s="3">
        <v>43783</v>
      </c>
      <c r="BT1496" s="5">
        <v>0.43194444444444446</v>
      </c>
      <c r="BU1496" t="s">
        <v>1981</v>
      </c>
      <c r="BV1496" t="s">
        <v>86</v>
      </c>
      <c r="BY1496">
        <v>1200</v>
      </c>
      <c r="CA1496" t="s">
        <v>1501</v>
      </c>
      <c r="CC1496" t="s">
        <v>406</v>
      </c>
      <c r="CD1496">
        <v>250</v>
      </c>
      <c r="CE1496" t="s">
        <v>147</v>
      </c>
      <c r="CF1496" s="3">
        <v>43787</v>
      </c>
      <c r="CI1496">
        <v>1</v>
      </c>
      <c r="CJ1496">
        <v>1</v>
      </c>
      <c r="CK1496">
        <v>24</v>
      </c>
      <c r="CL1496" t="s">
        <v>89</v>
      </c>
    </row>
    <row r="1497" spans="1:90">
      <c r="A1497" t="s">
        <v>72</v>
      </c>
      <c r="B1497" t="s">
        <v>73</v>
      </c>
      <c r="C1497" t="s">
        <v>74</v>
      </c>
      <c r="E1497" t="str">
        <f>"FES1162722818"</f>
        <v>FES1162722818</v>
      </c>
      <c r="F1497" s="3">
        <v>43782</v>
      </c>
      <c r="G1497">
        <v>202005</v>
      </c>
      <c r="H1497" t="s">
        <v>75</v>
      </c>
      <c r="I1497" t="s">
        <v>76</v>
      </c>
      <c r="J1497" t="s">
        <v>77</v>
      </c>
      <c r="K1497" t="s">
        <v>78</v>
      </c>
      <c r="L1497" t="s">
        <v>101</v>
      </c>
      <c r="M1497" t="s">
        <v>102</v>
      </c>
      <c r="N1497" t="s">
        <v>181</v>
      </c>
      <c r="O1497" t="s">
        <v>82</v>
      </c>
      <c r="P1497" t="str">
        <f>"217074709                     "</f>
        <v xml:space="preserve">217074709 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8.58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 s="4">
        <v>50.45</v>
      </c>
      <c r="BM1497" s="4">
        <v>7.57</v>
      </c>
      <c r="BN1497" s="4">
        <v>58.02</v>
      </c>
      <c r="BO1497" s="4">
        <v>58.02</v>
      </c>
      <c r="BQ1497" t="s">
        <v>121</v>
      </c>
      <c r="BR1497" t="s">
        <v>84</v>
      </c>
      <c r="BS1497" s="3">
        <v>43783</v>
      </c>
      <c r="BT1497" s="5">
        <v>0.3576388888888889</v>
      </c>
      <c r="BU1497" t="s">
        <v>1980</v>
      </c>
      <c r="BV1497" t="s">
        <v>86</v>
      </c>
      <c r="BY1497">
        <v>1200</v>
      </c>
      <c r="CA1497" t="s">
        <v>183</v>
      </c>
      <c r="CC1497" t="s">
        <v>102</v>
      </c>
      <c r="CD1497">
        <v>200</v>
      </c>
      <c r="CE1497" t="s">
        <v>147</v>
      </c>
      <c r="CF1497" s="3">
        <v>43784</v>
      </c>
      <c r="CI1497">
        <v>1</v>
      </c>
      <c r="CJ1497">
        <v>1</v>
      </c>
      <c r="CK1497">
        <v>21</v>
      </c>
      <c r="CL1497" t="s">
        <v>89</v>
      </c>
    </row>
    <row r="1498" spans="1:90">
      <c r="A1498" t="s">
        <v>72</v>
      </c>
      <c r="B1498" t="s">
        <v>73</v>
      </c>
      <c r="C1498" t="s">
        <v>74</v>
      </c>
      <c r="E1498" t="str">
        <f>"FES1162722864"</f>
        <v>FES1162722864</v>
      </c>
      <c r="F1498" s="3">
        <v>43782</v>
      </c>
      <c r="G1498">
        <v>202005</v>
      </c>
      <c r="H1498" t="s">
        <v>75</v>
      </c>
      <c r="I1498" t="s">
        <v>76</v>
      </c>
      <c r="J1498" t="s">
        <v>77</v>
      </c>
      <c r="K1498" t="s">
        <v>78</v>
      </c>
      <c r="L1498" t="s">
        <v>90</v>
      </c>
      <c r="M1498" t="s">
        <v>91</v>
      </c>
      <c r="N1498" t="s">
        <v>527</v>
      </c>
      <c r="O1498" t="s">
        <v>82</v>
      </c>
      <c r="P1498" t="str">
        <f>"2170716957                    "</f>
        <v xml:space="preserve">2170716957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8.58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 s="4">
        <v>50.45</v>
      </c>
      <c r="BM1498" s="4">
        <v>7.57</v>
      </c>
      <c r="BN1498" s="4">
        <v>58.02</v>
      </c>
      <c r="BO1498" s="4">
        <v>58.02</v>
      </c>
      <c r="BQ1498" t="s">
        <v>109</v>
      </c>
      <c r="BR1498" t="s">
        <v>84</v>
      </c>
      <c r="BS1498" s="3">
        <v>43783</v>
      </c>
      <c r="BT1498" s="5">
        <v>0.31944444444444448</v>
      </c>
      <c r="BU1498" t="s">
        <v>1982</v>
      </c>
      <c r="BV1498" t="s">
        <v>86</v>
      </c>
      <c r="BY1498">
        <v>1200</v>
      </c>
      <c r="CA1498" t="s">
        <v>221</v>
      </c>
      <c r="CC1498" t="s">
        <v>91</v>
      </c>
      <c r="CD1498">
        <v>7405</v>
      </c>
      <c r="CE1498" t="s">
        <v>147</v>
      </c>
      <c r="CF1498" s="3">
        <v>43784</v>
      </c>
      <c r="CI1498">
        <v>1</v>
      </c>
      <c r="CJ1498">
        <v>1</v>
      </c>
      <c r="CK1498">
        <v>21</v>
      </c>
      <c r="CL1498" t="s">
        <v>89</v>
      </c>
    </row>
    <row r="1499" spans="1:90">
      <c r="A1499" t="s">
        <v>72</v>
      </c>
      <c r="B1499" t="s">
        <v>73</v>
      </c>
      <c r="C1499" t="s">
        <v>74</v>
      </c>
      <c r="E1499" t="str">
        <f>"FES1162722915"</f>
        <v>FES1162722915</v>
      </c>
      <c r="F1499" s="3">
        <v>43782</v>
      </c>
      <c r="G1499">
        <v>202005</v>
      </c>
      <c r="H1499" t="s">
        <v>75</v>
      </c>
      <c r="I1499" t="s">
        <v>76</v>
      </c>
      <c r="J1499" t="s">
        <v>77</v>
      </c>
      <c r="K1499" t="s">
        <v>78</v>
      </c>
      <c r="L1499" t="s">
        <v>90</v>
      </c>
      <c r="M1499" t="s">
        <v>91</v>
      </c>
      <c r="N1499" t="s">
        <v>401</v>
      </c>
      <c r="O1499" t="s">
        <v>82</v>
      </c>
      <c r="P1499" t="str">
        <f>"2170717007                    "</f>
        <v xml:space="preserve">2170717007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8.58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 s="4">
        <v>50.45</v>
      </c>
      <c r="BM1499" s="4">
        <v>7.57</v>
      </c>
      <c r="BN1499" s="4">
        <v>58.02</v>
      </c>
      <c r="BO1499" s="4">
        <v>58.02</v>
      </c>
      <c r="BQ1499" t="s">
        <v>109</v>
      </c>
      <c r="BR1499" t="s">
        <v>84</v>
      </c>
      <c r="BS1499" s="3">
        <v>43783</v>
      </c>
      <c r="BT1499" s="5">
        <v>0.3520833333333333</v>
      </c>
      <c r="BU1499" t="s">
        <v>1941</v>
      </c>
      <c r="BV1499" t="s">
        <v>86</v>
      </c>
      <c r="BY1499">
        <v>1200</v>
      </c>
      <c r="CA1499" t="s">
        <v>1942</v>
      </c>
      <c r="CC1499" t="s">
        <v>91</v>
      </c>
      <c r="CD1499">
        <v>7441</v>
      </c>
      <c r="CE1499" t="s">
        <v>147</v>
      </c>
      <c r="CF1499" s="3">
        <v>43784</v>
      </c>
      <c r="CI1499">
        <v>1</v>
      </c>
      <c r="CJ1499">
        <v>1</v>
      </c>
      <c r="CK1499">
        <v>21</v>
      </c>
      <c r="CL1499" t="s">
        <v>89</v>
      </c>
    </row>
    <row r="1500" spans="1:90">
      <c r="A1500" t="s">
        <v>72</v>
      </c>
      <c r="B1500" t="s">
        <v>73</v>
      </c>
      <c r="C1500" t="s">
        <v>74</v>
      </c>
      <c r="E1500" t="str">
        <f>"FES1162722866"</f>
        <v>FES1162722866</v>
      </c>
      <c r="F1500" s="3">
        <v>43782</v>
      </c>
      <c r="G1500">
        <v>202005</v>
      </c>
      <c r="H1500" t="s">
        <v>75</v>
      </c>
      <c r="I1500" t="s">
        <v>76</v>
      </c>
      <c r="J1500" t="s">
        <v>77</v>
      </c>
      <c r="K1500" t="s">
        <v>78</v>
      </c>
      <c r="L1500" t="s">
        <v>90</v>
      </c>
      <c r="M1500" t="s">
        <v>91</v>
      </c>
      <c r="N1500" t="s">
        <v>533</v>
      </c>
      <c r="O1500" t="s">
        <v>82</v>
      </c>
      <c r="P1500" t="str">
        <f>"2170714234                    "</f>
        <v xml:space="preserve">2170714234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8.58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 s="4">
        <v>50.45</v>
      </c>
      <c r="BM1500" s="4">
        <v>7.57</v>
      </c>
      <c r="BN1500" s="4">
        <v>58.02</v>
      </c>
      <c r="BO1500" s="4">
        <v>58.02</v>
      </c>
      <c r="BQ1500" t="s">
        <v>161</v>
      </c>
      <c r="BR1500" t="s">
        <v>84</v>
      </c>
      <c r="BS1500" s="3">
        <v>43783</v>
      </c>
      <c r="BT1500" s="5">
        <v>0.37152777777777773</v>
      </c>
      <c r="BU1500" t="s">
        <v>534</v>
      </c>
      <c r="BV1500" t="s">
        <v>86</v>
      </c>
      <c r="BY1500">
        <v>1200</v>
      </c>
      <c r="CA1500" t="s">
        <v>323</v>
      </c>
      <c r="CC1500" t="s">
        <v>91</v>
      </c>
      <c r="CD1500">
        <v>7460</v>
      </c>
      <c r="CE1500" t="s">
        <v>147</v>
      </c>
      <c r="CF1500" s="3">
        <v>43783</v>
      </c>
      <c r="CI1500">
        <v>1</v>
      </c>
      <c r="CJ1500">
        <v>1</v>
      </c>
      <c r="CK1500">
        <v>21</v>
      </c>
      <c r="CL1500" t="s">
        <v>89</v>
      </c>
    </row>
    <row r="1501" spans="1:90">
      <c r="A1501" t="s">
        <v>72</v>
      </c>
      <c r="B1501" t="s">
        <v>73</v>
      </c>
      <c r="C1501" t="s">
        <v>74</v>
      </c>
      <c r="E1501" t="str">
        <f>"FES1162722847"</f>
        <v>FES1162722847</v>
      </c>
      <c r="F1501" s="3">
        <v>43782</v>
      </c>
      <c r="G1501">
        <v>202005</v>
      </c>
      <c r="H1501" t="s">
        <v>75</v>
      </c>
      <c r="I1501" t="s">
        <v>76</v>
      </c>
      <c r="J1501" t="s">
        <v>77</v>
      </c>
      <c r="K1501" t="s">
        <v>78</v>
      </c>
      <c r="L1501" t="s">
        <v>214</v>
      </c>
      <c r="M1501" t="s">
        <v>214</v>
      </c>
      <c r="N1501" t="s">
        <v>312</v>
      </c>
      <c r="O1501" t="s">
        <v>82</v>
      </c>
      <c r="P1501" t="str">
        <f>"2170716940                    "</f>
        <v xml:space="preserve">2170716940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16.63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 s="4">
        <v>97.75</v>
      </c>
      <c r="BM1501" s="4">
        <v>14.66</v>
      </c>
      <c r="BN1501" s="4">
        <v>112.41</v>
      </c>
      <c r="BO1501" s="4">
        <v>112.41</v>
      </c>
      <c r="BQ1501" t="s">
        <v>121</v>
      </c>
      <c r="BR1501" t="s">
        <v>84</v>
      </c>
      <c r="BS1501" s="3">
        <v>43783</v>
      </c>
      <c r="BT1501" s="5">
        <v>0.50138888888888888</v>
      </c>
      <c r="BU1501" t="s">
        <v>313</v>
      </c>
      <c r="BV1501" t="s">
        <v>86</v>
      </c>
      <c r="BY1501">
        <v>1200</v>
      </c>
      <c r="CA1501" t="s">
        <v>217</v>
      </c>
      <c r="CC1501" t="s">
        <v>214</v>
      </c>
      <c r="CD1501">
        <v>7646</v>
      </c>
      <c r="CE1501" t="s">
        <v>147</v>
      </c>
      <c r="CF1501" s="3">
        <v>43784</v>
      </c>
      <c r="CI1501">
        <v>1</v>
      </c>
      <c r="CJ1501">
        <v>1</v>
      </c>
      <c r="CK1501">
        <v>23</v>
      </c>
      <c r="CL1501" t="s">
        <v>89</v>
      </c>
    </row>
    <row r="1502" spans="1:90">
      <c r="A1502" t="s">
        <v>72</v>
      </c>
      <c r="B1502" t="s">
        <v>73</v>
      </c>
      <c r="C1502" t="s">
        <v>74</v>
      </c>
      <c r="E1502" t="str">
        <f>"FES1162722657"</f>
        <v>FES1162722657</v>
      </c>
      <c r="F1502" s="3">
        <v>43782</v>
      </c>
      <c r="G1502">
        <v>202005</v>
      </c>
      <c r="H1502" t="s">
        <v>75</v>
      </c>
      <c r="I1502" t="s">
        <v>76</v>
      </c>
      <c r="J1502" t="s">
        <v>77</v>
      </c>
      <c r="K1502" t="s">
        <v>78</v>
      </c>
      <c r="L1502" t="s">
        <v>339</v>
      </c>
      <c r="M1502" t="s">
        <v>340</v>
      </c>
      <c r="N1502" t="s">
        <v>341</v>
      </c>
      <c r="O1502" t="s">
        <v>82</v>
      </c>
      <c r="P1502" t="str">
        <f>"2170716491                    "</f>
        <v xml:space="preserve">2170716491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8.58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 s="4">
        <v>50.45</v>
      </c>
      <c r="BM1502" s="4">
        <v>7.57</v>
      </c>
      <c r="BN1502" s="4">
        <v>58.02</v>
      </c>
      <c r="BO1502" s="4">
        <v>58.02</v>
      </c>
      <c r="BQ1502" t="s">
        <v>109</v>
      </c>
      <c r="BR1502" t="s">
        <v>84</v>
      </c>
      <c r="BS1502" s="3">
        <v>43783</v>
      </c>
      <c r="BT1502" s="5">
        <v>0.39027777777777778</v>
      </c>
      <c r="BU1502" t="s">
        <v>938</v>
      </c>
      <c r="BV1502" t="s">
        <v>86</v>
      </c>
      <c r="BY1502">
        <v>1200</v>
      </c>
      <c r="CA1502" t="s">
        <v>869</v>
      </c>
      <c r="CC1502" t="s">
        <v>340</v>
      </c>
      <c r="CD1502">
        <v>157</v>
      </c>
      <c r="CE1502" t="s">
        <v>147</v>
      </c>
      <c r="CF1502" s="3">
        <v>43784</v>
      </c>
      <c r="CI1502">
        <v>1</v>
      </c>
      <c r="CJ1502">
        <v>1</v>
      </c>
      <c r="CK1502">
        <v>21</v>
      </c>
      <c r="CL1502" t="s">
        <v>89</v>
      </c>
    </row>
    <row r="1503" spans="1:90">
      <c r="A1503" t="s">
        <v>72</v>
      </c>
      <c r="B1503" t="s">
        <v>73</v>
      </c>
      <c r="C1503" t="s">
        <v>74</v>
      </c>
      <c r="E1503" t="str">
        <f>"FES1162722674"</f>
        <v>FES1162722674</v>
      </c>
      <c r="F1503" s="3">
        <v>43782</v>
      </c>
      <c r="G1503">
        <v>202005</v>
      </c>
      <c r="H1503" t="s">
        <v>75</v>
      </c>
      <c r="I1503" t="s">
        <v>76</v>
      </c>
      <c r="J1503" t="s">
        <v>77</v>
      </c>
      <c r="K1503" t="s">
        <v>78</v>
      </c>
      <c r="L1503" t="s">
        <v>202</v>
      </c>
      <c r="M1503" t="s">
        <v>203</v>
      </c>
      <c r="N1503" t="s">
        <v>1983</v>
      </c>
      <c r="O1503" t="s">
        <v>82</v>
      </c>
      <c r="P1503" t="str">
        <f>"2170714173                    "</f>
        <v xml:space="preserve">2170714173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6.71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 s="4">
        <v>39.42</v>
      </c>
      <c r="BM1503" s="4">
        <v>5.91</v>
      </c>
      <c r="BN1503" s="4">
        <v>45.33</v>
      </c>
      <c r="BO1503" s="4">
        <v>45.33</v>
      </c>
      <c r="BR1503" t="s">
        <v>84</v>
      </c>
      <c r="BS1503" s="3">
        <v>43783</v>
      </c>
      <c r="BT1503" s="5">
        <v>0.3923611111111111</v>
      </c>
      <c r="BU1503" t="s">
        <v>295</v>
      </c>
      <c r="BV1503" t="s">
        <v>86</v>
      </c>
      <c r="BY1503">
        <v>1200</v>
      </c>
      <c r="CC1503" t="s">
        <v>203</v>
      </c>
      <c r="CD1503">
        <v>1422</v>
      </c>
      <c r="CE1503" t="s">
        <v>147</v>
      </c>
      <c r="CF1503" s="3">
        <v>43784</v>
      </c>
      <c r="CI1503">
        <v>1</v>
      </c>
      <c r="CJ1503">
        <v>1</v>
      </c>
      <c r="CK1503">
        <v>22</v>
      </c>
      <c r="CL1503" t="s">
        <v>89</v>
      </c>
    </row>
    <row r="1504" spans="1:90">
      <c r="A1504" t="s">
        <v>72</v>
      </c>
      <c r="B1504" t="s">
        <v>73</v>
      </c>
      <c r="C1504" t="s">
        <v>74</v>
      </c>
      <c r="E1504" t="str">
        <f>"FES1162722704"</f>
        <v>FES1162722704</v>
      </c>
      <c r="F1504" s="3">
        <v>43782</v>
      </c>
      <c r="G1504">
        <v>202005</v>
      </c>
      <c r="H1504" t="s">
        <v>75</v>
      </c>
      <c r="I1504" t="s">
        <v>76</v>
      </c>
      <c r="J1504" t="s">
        <v>77</v>
      </c>
      <c r="K1504" t="s">
        <v>78</v>
      </c>
      <c r="L1504" t="s">
        <v>124</v>
      </c>
      <c r="M1504" t="s">
        <v>125</v>
      </c>
      <c r="N1504" t="s">
        <v>218</v>
      </c>
      <c r="O1504" t="s">
        <v>82</v>
      </c>
      <c r="P1504" t="str">
        <f>"2170714374                    "</f>
        <v xml:space="preserve">2170714374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6.71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 s="4">
        <v>39.42</v>
      </c>
      <c r="BM1504" s="4">
        <v>5.91</v>
      </c>
      <c r="BN1504" s="4">
        <v>45.33</v>
      </c>
      <c r="BO1504" s="4">
        <v>45.33</v>
      </c>
      <c r="BQ1504" t="s">
        <v>121</v>
      </c>
      <c r="BR1504" t="s">
        <v>84</v>
      </c>
      <c r="BS1504" s="3">
        <v>43783</v>
      </c>
      <c r="BT1504" s="5">
        <v>0.41388888888888892</v>
      </c>
      <c r="BU1504" t="s">
        <v>1908</v>
      </c>
      <c r="BV1504" t="s">
        <v>86</v>
      </c>
      <c r="BY1504">
        <v>1200</v>
      </c>
      <c r="CA1504" t="s">
        <v>837</v>
      </c>
      <c r="CC1504" t="s">
        <v>125</v>
      </c>
      <c r="CD1504">
        <v>2094</v>
      </c>
      <c r="CE1504" t="s">
        <v>147</v>
      </c>
      <c r="CF1504" s="3">
        <v>43784</v>
      </c>
      <c r="CI1504">
        <v>1</v>
      </c>
      <c r="CJ1504">
        <v>1</v>
      </c>
      <c r="CK1504">
        <v>22</v>
      </c>
      <c r="CL1504" t="s">
        <v>89</v>
      </c>
    </row>
    <row r="1505" spans="1:90">
      <c r="A1505" t="s">
        <v>72</v>
      </c>
      <c r="B1505" t="s">
        <v>73</v>
      </c>
      <c r="C1505" t="s">
        <v>74</v>
      </c>
      <c r="E1505" t="str">
        <f>"FES1162722867"</f>
        <v>FES1162722867</v>
      </c>
      <c r="F1505" s="3">
        <v>43782</v>
      </c>
      <c r="G1505">
        <v>202005</v>
      </c>
      <c r="H1505" t="s">
        <v>75</v>
      </c>
      <c r="I1505" t="s">
        <v>76</v>
      </c>
      <c r="J1505" t="s">
        <v>77</v>
      </c>
      <c r="K1505" t="s">
        <v>78</v>
      </c>
      <c r="L1505" t="s">
        <v>90</v>
      </c>
      <c r="M1505" t="s">
        <v>91</v>
      </c>
      <c r="N1505" t="s">
        <v>240</v>
      </c>
      <c r="O1505" t="s">
        <v>82</v>
      </c>
      <c r="P1505" t="str">
        <f>"2170714809                    "</f>
        <v xml:space="preserve">2170714809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8.58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 s="4">
        <v>50.45</v>
      </c>
      <c r="BM1505" s="4">
        <v>7.57</v>
      </c>
      <c r="BN1505" s="4">
        <v>58.02</v>
      </c>
      <c r="BO1505" s="4">
        <v>58.02</v>
      </c>
      <c r="BQ1505" t="s">
        <v>142</v>
      </c>
      <c r="BR1505" t="s">
        <v>84</v>
      </c>
      <c r="BS1505" s="3">
        <v>43783</v>
      </c>
      <c r="BT1505" s="5">
        <v>0.37638888888888888</v>
      </c>
      <c r="BU1505" t="s">
        <v>1984</v>
      </c>
      <c r="BV1505" t="s">
        <v>86</v>
      </c>
      <c r="BY1505">
        <v>1200</v>
      </c>
      <c r="CA1505" t="s">
        <v>323</v>
      </c>
      <c r="CC1505" t="s">
        <v>91</v>
      </c>
      <c r="CD1505">
        <v>7460</v>
      </c>
      <c r="CE1505" t="s">
        <v>147</v>
      </c>
      <c r="CF1505" s="3">
        <v>43783</v>
      </c>
      <c r="CI1505">
        <v>1</v>
      </c>
      <c r="CJ1505">
        <v>1</v>
      </c>
      <c r="CK1505">
        <v>21</v>
      </c>
      <c r="CL1505" t="s">
        <v>89</v>
      </c>
    </row>
    <row r="1506" spans="1:90">
      <c r="A1506" t="s">
        <v>72</v>
      </c>
      <c r="B1506" t="s">
        <v>73</v>
      </c>
      <c r="C1506" t="s">
        <v>74</v>
      </c>
      <c r="E1506" t="str">
        <f>"FES1162722834"</f>
        <v>FES1162722834</v>
      </c>
      <c r="F1506" s="3">
        <v>43782</v>
      </c>
      <c r="G1506">
        <v>202005</v>
      </c>
      <c r="H1506" t="s">
        <v>75</v>
      </c>
      <c r="I1506" t="s">
        <v>76</v>
      </c>
      <c r="J1506" t="s">
        <v>77</v>
      </c>
      <c r="K1506" t="s">
        <v>78</v>
      </c>
      <c r="L1506" t="s">
        <v>214</v>
      </c>
      <c r="M1506" t="s">
        <v>214</v>
      </c>
      <c r="N1506" t="s">
        <v>1985</v>
      </c>
      <c r="O1506" t="s">
        <v>82</v>
      </c>
      <c r="P1506" t="str">
        <f>"2170716925                    "</f>
        <v xml:space="preserve">2170716925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16.63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 s="4">
        <v>97.75</v>
      </c>
      <c r="BM1506" s="4">
        <v>14.66</v>
      </c>
      <c r="BN1506" s="4">
        <v>112.41</v>
      </c>
      <c r="BO1506" s="4">
        <v>112.41</v>
      </c>
      <c r="BR1506" t="s">
        <v>84</v>
      </c>
      <c r="BS1506" s="3">
        <v>43783</v>
      </c>
      <c r="BT1506" s="5">
        <v>0.47361111111111115</v>
      </c>
      <c r="BU1506" t="s">
        <v>1986</v>
      </c>
      <c r="BV1506" t="s">
        <v>86</v>
      </c>
      <c r="BY1506">
        <v>1200</v>
      </c>
      <c r="CA1506" t="s">
        <v>217</v>
      </c>
      <c r="CC1506" t="s">
        <v>214</v>
      </c>
      <c r="CD1506">
        <v>7646</v>
      </c>
      <c r="CE1506" t="s">
        <v>147</v>
      </c>
      <c r="CF1506" s="3">
        <v>43784</v>
      </c>
      <c r="CI1506">
        <v>1</v>
      </c>
      <c r="CJ1506">
        <v>1</v>
      </c>
      <c r="CK1506">
        <v>23</v>
      </c>
      <c r="CL1506" t="s">
        <v>89</v>
      </c>
    </row>
    <row r="1507" spans="1:90">
      <c r="A1507" t="s">
        <v>72</v>
      </c>
      <c r="B1507" t="s">
        <v>73</v>
      </c>
      <c r="C1507" t="s">
        <v>74</v>
      </c>
      <c r="E1507" t="str">
        <f>"FES1162722859"</f>
        <v>FES1162722859</v>
      </c>
      <c r="F1507" s="3">
        <v>43782</v>
      </c>
      <c r="G1507">
        <v>202005</v>
      </c>
      <c r="H1507" t="s">
        <v>75</v>
      </c>
      <c r="I1507" t="s">
        <v>76</v>
      </c>
      <c r="J1507" t="s">
        <v>77</v>
      </c>
      <c r="K1507" t="s">
        <v>78</v>
      </c>
      <c r="L1507" t="s">
        <v>90</v>
      </c>
      <c r="M1507" t="s">
        <v>91</v>
      </c>
      <c r="N1507" t="s">
        <v>401</v>
      </c>
      <c r="O1507" t="s">
        <v>82</v>
      </c>
      <c r="P1507" t="str">
        <f>"2170716952                    "</f>
        <v xml:space="preserve">2170716952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8.58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 s="4">
        <v>50.45</v>
      </c>
      <c r="BM1507" s="4">
        <v>7.57</v>
      </c>
      <c r="BN1507" s="4">
        <v>58.02</v>
      </c>
      <c r="BO1507" s="4">
        <v>58.02</v>
      </c>
      <c r="BQ1507" t="s">
        <v>109</v>
      </c>
      <c r="BR1507" t="s">
        <v>84</v>
      </c>
      <c r="BS1507" s="3">
        <v>43783</v>
      </c>
      <c r="BT1507" s="5">
        <v>0.3527777777777778</v>
      </c>
      <c r="BU1507" t="s">
        <v>1941</v>
      </c>
      <c r="BV1507" t="s">
        <v>86</v>
      </c>
      <c r="BY1507">
        <v>1200</v>
      </c>
      <c r="CA1507" t="s">
        <v>1942</v>
      </c>
      <c r="CC1507" t="s">
        <v>91</v>
      </c>
      <c r="CD1507">
        <v>7441</v>
      </c>
      <c r="CE1507" t="s">
        <v>147</v>
      </c>
      <c r="CF1507" s="3">
        <v>43784</v>
      </c>
      <c r="CI1507">
        <v>1</v>
      </c>
      <c r="CJ1507">
        <v>1</v>
      </c>
      <c r="CK1507">
        <v>21</v>
      </c>
      <c r="CL1507" t="s">
        <v>89</v>
      </c>
    </row>
    <row r="1508" spans="1:90">
      <c r="A1508" t="s">
        <v>72</v>
      </c>
      <c r="B1508" t="s">
        <v>73</v>
      </c>
      <c r="C1508" t="s">
        <v>74</v>
      </c>
      <c r="E1508" t="str">
        <f>"FES1162722857"</f>
        <v>FES1162722857</v>
      </c>
      <c r="F1508" s="3">
        <v>43782</v>
      </c>
      <c r="G1508">
        <v>202005</v>
      </c>
      <c r="H1508" t="s">
        <v>75</v>
      </c>
      <c r="I1508" t="s">
        <v>76</v>
      </c>
      <c r="J1508" t="s">
        <v>77</v>
      </c>
      <c r="K1508" t="s">
        <v>78</v>
      </c>
      <c r="L1508" t="s">
        <v>90</v>
      </c>
      <c r="M1508" t="s">
        <v>91</v>
      </c>
      <c r="N1508" t="s">
        <v>1987</v>
      </c>
      <c r="O1508" t="s">
        <v>82</v>
      </c>
      <c r="P1508" t="str">
        <f>"2170714151                    "</f>
        <v xml:space="preserve">2170714151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8.58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 s="4">
        <v>50.45</v>
      </c>
      <c r="BM1508" s="4">
        <v>7.57</v>
      </c>
      <c r="BN1508" s="4">
        <v>58.02</v>
      </c>
      <c r="BO1508" s="4">
        <v>58.02</v>
      </c>
      <c r="BQ1508" t="s">
        <v>109</v>
      </c>
      <c r="BR1508" t="s">
        <v>84</v>
      </c>
      <c r="BS1508" s="3">
        <v>43783</v>
      </c>
      <c r="BT1508" s="5">
        <v>0.34583333333333338</v>
      </c>
      <c r="BU1508" t="s">
        <v>1988</v>
      </c>
      <c r="BV1508" t="s">
        <v>86</v>
      </c>
      <c r="BY1508">
        <v>1200</v>
      </c>
      <c r="CA1508" t="s">
        <v>1942</v>
      </c>
      <c r="CC1508" t="s">
        <v>91</v>
      </c>
      <c r="CD1508">
        <v>7441</v>
      </c>
      <c r="CE1508" t="s">
        <v>147</v>
      </c>
      <c r="CF1508" s="3">
        <v>43784</v>
      </c>
      <c r="CI1508">
        <v>1</v>
      </c>
      <c r="CJ1508">
        <v>1</v>
      </c>
      <c r="CK1508">
        <v>21</v>
      </c>
      <c r="CL1508" t="s">
        <v>89</v>
      </c>
    </row>
    <row r="1509" spans="1:90">
      <c r="A1509" t="s">
        <v>72</v>
      </c>
      <c r="B1509" t="s">
        <v>73</v>
      </c>
      <c r="C1509" t="s">
        <v>74</v>
      </c>
      <c r="E1509" t="str">
        <f>"FES1162722785"</f>
        <v>FES1162722785</v>
      </c>
      <c r="F1509" s="3">
        <v>43782</v>
      </c>
      <c r="G1509">
        <v>202005</v>
      </c>
      <c r="H1509" t="s">
        <v>75</v>
      </c>
      <c r="I1509" t="s">
        <v>76</v>
      </c>
      <c r="J1509" t="s">
        <v>77</v>
      </c>
      <c r="K1509" t="s">
        <v>78</v>
      </c>
      <c r="L1509" t="s">
        <v>202</v>
      </c>
      <c r="M1509" t="s">
        <v>203</v>
      </c>
      <c r="N1509" t="s">
        <v>521</v>
      </c>
      <c r="O1509" t="s">
        <v>82</v>
      </c>
      <c r="P1509" t="str">
        <f>"217071912                     "</f>
        <v xml:space="preserve">217071912 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6.71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 s="4">
        <v>39.42</v>
      </c>
      <c r="BM1509" s="4">
        <v>5.91</v>
      </c>
      <c r="BN1509" s="4">
        <v>45.33</v>
      </c>
      <c r="BO1509" s="4">
        <v>45.33</v>
      </c>
      <c r="BQ1509" t="s">
        <v>109</v>
      </c>
      <c r="BR1509" t="s">
        <v>84</v>
      </c>
      <c r="BS1509" s="3">
        <v>43783</v>
      </c>
      <c r="BT1509" s="5">
        <v>0.3611111111111111</v>
      </c>
      <c r="BU1509" t="s">
        <v>295</v>
      </c>
      <c r="BV1509" t="s">
        <v>86</v>
      </c>
      <c r="BY1509">
        <v>1200</v>
      </c>
      <c r="CC1509" t="s">
        <v>203</v>
      </c>
      <c r="CD1509">
        <v>1428</v>
      </c>
      <c r="CE1509" t="s">
        <v>147</v>
      </c>
      <c r="CF1509" s="3">
        <v>43784</v>
      </c>
      <c r="CI1509">
        <v>1</v>
      </c>
      <c r="CJ1509">
        <v>1</v>
      </c>
      <c r="CK1509">
        <v>22</v>
      </c>
      <c r="CL1509" t="s">
        <v>89</v>
      </c>
    </row>
    <row r="1510" spans="1:90">
      <c r="A1510" t="s">
        <v>72</v>
      </c>
      <c r="B1510" t="s">
        <v>73</v>
      </c>
      <c r="C1510" t="s">
        <v>74</v>
      </c>
      <c r="E1510" t="str">
        <f>"FES1162722872"</f>
        <v>FES1162722872</v>
      </c>
      <c r="F1510" s="3">
        <v>43782</v>
      </c>
      <c r="G1510">
        <v>202005</v>
      </c>
      <c r="H1510" t="s">
        <v>75</v>
      </c>
      <c r="I1510" t="s">
        <v>76</v>
      </c>
      <c r="J1510" t="s">
        <v>77</v>
      </c>
      <c r="K1510" t="s">
        <v>78</v>
      </c>
      <c r="L1510" t="s">
        <v>691</v>
      </c>
      <c r="M1510" t="s">
        <v>692</v>
      </c>
      <c r="N1510" t="s">
        <v>794</v>
      </c>
      <c r="O1510" t="s">
        <v>82</v>
      </c>
      <c r="P1510" t="str">
        <f>"2170716963                    "</f>
        <v xml:space="preserve">2170716963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6.71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 s="4">
        <v>39.42</v>
      </c>
      <c r="BM1510" s="4">
        <v>5.91</v>
      </c>
      <c r="BN1510" s="4">
        <v>45.33</v>
      </c>
      <c r="BO1510" s="4">
        <v>45.33</v>
      </c>
      <c r="BR1510" t="s">
        <v>84</v>
      </c>
      <c r="BS1510" s="3">
        <v>43783</v>
      </c>
      <c r="BT1510" s="5">
        <v>0.4375</v>
      </c>
      <c r="BU1510" t="s">
        <v>1989</v>
      </c>
      <c r="BV1510" t="s">
        <v>86</v>
      </c>
      <c r="BY1510">
        <v>1200</v>
      </c>
      <c r="CC1510" t="s">
        <v>692</v>
      </c>
      <c r="CD1510">
        <v>1559</v>
      </c>
      <c r="CE1510" t="s">
        <v>147</v>
      </c>
      <c r="CF1510" s="3">
        <v>43784</v>
      </c>
      <c r="CI1510">
        <v>1</v>
      </c>
      <c r="CJ1510">
        <v>1</v>
      </c>
      <c r="CK1510">
        <v>22</v>
      </c>
      <c r="CL1510" t="s">
        <v>89</v>
      </c>
    </row>
    <row r="1511" spans="1:90">
      <c r="A1511" t="s">
        <v>72</v>
      </c>
      <c r="B1511" t="s">
        <v>73</v>
      </c>
      <c r="C1511" t="s">
        <v>74</v>
      </c>
      <c r="E1511" t="str">
        <f>"FES1162722843"</f>
        <v>FES1162722843</v>
      </c>
      <c r="F1511" s="3">
        <v>43782</v>
      </c>
      <c r="G1511">
        <v>202005</v>
      </c>
      <c r="H1511" t="s">
        <v>75</v>
      </c>
      <c r="I1511" t="s">
        <v>76</v>
      </c>
      <c r="J1511" t="s">
        <v>77</v>
      </c>
      <c r="K1511" t="s">
        <v>78</v>
      </c>
      <c r="L1511" t="s">
        <v>124</v>
      </c>
      <c r="M1511" t="s">
        <v>125</v>
      </c>
      <c r="N1511" t="s">
        <v>218</v>
      </c>
      <c r="O1511" t="s">
        <v>82</v>
      </c>
      <c r="P1511" t="str">
        <f>"2170716936                    "</f>
        <v xml:space="preserve">2170716936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6.71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 s="4">
        <v>39.42</v>
      </c>
      <c r="BM1511" s="4">
        <v>5.91</v>
      </c>
      <c r="BN1511" s="4">
        <v>45.33</v>
      </c>
      <c r="BO1511" s="4">
        <v>45.33</v>
      </c>
      <c r="BQ1511" t="s">
        <v>121</v>
      </c>
      <c r="BR1511" t="s">
        <v>84</v>
      </c>
      <c r="BS1511" s="3">
        <v>43783</v>
      </c>
      <c r="BT1511" s="5">
        <v>0.41250000000000003</v>
      </c>
      <c r="BU1511" t="s">
        <v>1908</v>
      </c>
      <c r="BV1511" t="s">
        <v>86</v>
      </c>
      <c r="BY1511">
        <v>1200</v>
      </c>
      <c r="CA1511" t="s">
        <v>837</v>
      </c>
      <c r="CC1511" t="s">
        <v>125</v>
      </c>
      <c r="CD1511">
        <v>2094</v>
      </c>
      <c r="CE1511" t="s">
        <v>147</v>
      </c>
      <c r="CF1511" s="3">
        <v>43784</v>
      </c>
      <c r="CI1511">
        <v>1</v>
      </c>
      <c r="CJ1511">
        <v>1</v>
      </c>
      <c r="CK1511">
        <v>22</v>
      </c>
      <c r="CL1511" t="s">
        <v>89</v>
      </c>
    </row>
    <row r="1512" spans="1:90">
      <c r="A1512" t="s">
        <v>72</v>
      </c>
      <c r="B1512" t="s">
        <v>73</v>
      </c>
      <c r="C1512" t="s">
        <v>74</v>
      </c>
      <c r="E1512" t="str">
        <f>"FES1162722729"</f>
        <v>FES1162722729</v>
      </c>
      <c r="F1512" s="3">
        <v>43782</v>
      </c>
      <c r="G1512">
        <v>202005</v>
      </c>
      <c r="H1512" t="s">
        <v>75</v>
      </c>
      <c r="I1512" t="s">
        <v>76</v>
      </c>
      <c r="J1512" t="s">
        <v>77</v>
      </c>
      <c r="K1512" t="s">
        <v>78</v>
      </c>
      <c r="L1512" t="s">
        <v>124</v>
      </c>
      <c r="M1512" t="s">
        <v>125</v>
      </c>
      <c r="N1512" t="s">
        <v>1876</v>
      </c>
      <c r="O1512" t="s">
        <v>82</v>
      </c>
      <c r="P1512" t="str">
        <f>"2170714554                    "</f>
        <v xml:space="preserve">2170714554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6.71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 s="4">
        <v>39.42</v>
      </c>
      <c r="BM1512" s="4">
        <v>5.91</v>
      </c>
      <c r="BN1512" s="4">
        <v>45.33</v>
      </c>
      <c r="BO1512" s="4">
        <v>45.33</v>
      </c>
      <c r="BQ1512" t="s">
        <v>121</v>
      </c>
      <c r="BR1512" t="s">
        <v>84</v>
      </c>
      <c r="BS1512" s="3">
        <v>43783</v>
      </c>
      <c r="BT1512" s="5">
        <v>0.33333333333333331</v>
      </c>
      <c r="BU1512" t="s">
        <v>1990</v>
      </c>
      <c r="BV1512" t="s">
        <v>86</v>
      </c>
      <c r="BY1512">
        <v>1200</v>
      </c>
      <c r="CA1512" t="s">
        <v>1991</v>
      </c>
      <c r="CC1512" t="s">
        <v>125</v>
      </c>
      <c r="CD1512">
        <v>2157</v>
      </c>
      <c r="CE1512" t="s">
        <v>147</v>
      </c>
      <c r="CF1512" s="3">
        <v>43784</v>
      </c>
      <c r="CI1512">
        <v>1</v>
      </c>
      <c r="CJ1512">
        <v>1</v>
      </c>
      <c r="CK1512">
        <v>22</v>
      </c>
      <c r="CL1512" t="s">
        <v>89</v>
      </c>
    </row>
    <row r="1513" spans="1:90">
      <c r="A1513" t="s">
        <v>72</v>
      </c>
      <c r="B1513" t="s">
        <v>73</v>
      </c>
      <c r="C1513" t="s">
        <v>74</v>
      </c>
      <c r="E1513" t="str">
        <f>"FES1162722766"</f>
        <v>FES1162722766</v>
      </c>
      <c r="F1513" s="3">
        <v>43782</v>
      </c>
      <c r="G1513">
        <v>202005</v>
      </c>
      <c r="H1513" t="s">
        <v>75</v>
      </c>
      <c r="I1513" t="s">
        <v>76</v>
      </c>
      <c r="J1513" t="s">
        <v>77</v>
      </c>
      <c r="K1513" t="s">
        <v>78</v>
      </c>
      <c r="L1513" t="s">
        <v>75</v>
      </c>
      <c r="M1513" t="s">
        <v>76</v>
      </c>
      <c r="N1513" t="s">
        <v>391</v>
      </c>
      <c r="O1513" t="s">
        <v>82</v>
      </c>
      <c r="P1513" t="str">
        <f>"217075054                     "</f>
        <v xml:space="preserve">217075054 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6.71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 s="4">
        <v>39.42</v>
      </c>
      <c r="BM1513" s="4">
        <v>5.91</v>
      </c>
      <c r="BN1513" s="4">
        <v>45.33</v>
      </c>
      <c r="BO1513" s="4">
        <v>45.33</v>
      </c>
      <c r="BQ1513" t="s">
        <v>109</v>
      </c>
      <c r="BR1513" t="s">
        <v>84</v>
      </c>
      <c r="BS1513" s="3">
        <v>43783</v>
      </c>
      <c r="BT1513" s="5">
        <v>0.35833333333333334</v>
      </c>
      <c r="BU1513" t="s">
        <v>1122</v>
      </c>
      <c r="BV1513" t="s">
        <v>86</v>
      </c>
      <c r="BY1513">
        <v>1200</v>
      </c>
      <c r="CA1513" t="s">
        <v>368</v>
      </c>
      <c r="CC1513" t="s">
        <v>76</v>
      </c>
      <c r="CD1513">
        <v>1600</v>
      </c>
      <c r="CE1513" t="s">
        <v>147</v>
      </c>
      <c r="CF1513" s="3">
        <v>43784</v>
      </c>
      <c r="CI1513">
        <v>1</v>
      </c>
      <c r="CJ1513">
        <v>1</v>
      </c>
      <c r="CK1513">
        <v>22</v>
      </c>
      <c r="CL1513" t="s">
        <v>89</v>
      </c>
    </row>
    <row r="1514" spans="1:90">
      <c r="A1514" t="s">
        <v>72</v>
      </c>
      <c r="B1514" t="s">
        <v>73</v>
      </c>
      <c r="C1514" t="s">
        <v>74</v>
      </c>
      <c r="E1514" t="str">
        <f>"FES1162722679"</f>
        <v>FES1162722679</v>
      </c>
      <c r="F1514" s="3">
        <v>43782</v>
      </c>
      <c r="G1514">
        <v>202005</v>
      </c>
      <c r="H1514" t="s">
        <v>75</v>
      </c>
      <c r="I1514" t="s">
        <v>76</v>
      </c>
      <c r="J1514" t="s">
        <v>77</v>
      </c>
      <c r="K1514" t="s">
        <v>78</v>
      </c>
      <c r="L1514" t="s">
        <v>202</v>
      </c>
      <c r="M1514" t="s">
        <v>203</v>
      </c>
      <c r="N1514" t="s">
        <v>1170</v>
      </c>
      <c r="O1514" t="s">
        <v>82</v>
      </c>
      <c r="P1514" t="str">
        <f>"217074187                     "</f>
        <v xml:space="preserve">217074187 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6.71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 s="4">
        <v>39.42</v>
      </c>
      <c r="BM1514" s="4">
        <v>5.91</v>
      </c>
      <c r="BN1514" s="4">
        <v>45.33</v>
      </c>
      <c r="BO1514" s="4">
        <v>45.33</v>
      </c>
      <c r="BQ1514" t="s">
        <v>337</v>
      </c>
      <c r="BR1514" t="s">
        <v>84</v>
      </c>
      <c r="BS1514" s="3">
        <v>43783</v>
      </c>
      <c r="BT1514" s="5">
        <v>0.33333333333333331</v>
      </c>
      <c r="BU1514" t="s">
        <v>1992</v>
      </c>
      <c r="BV1514" t="s">
        <v>86</v>
      </c>
      <c r="BY1514">
        <v>1200</v>
      </c>
      <c r="CC1514" t="s">
        <v>203</v>
      </c>
      <c r="CD1514">
        <v>1401</v>
      </c>
      <c r="CE1514" t="s">
        <v>147</v>
      </c>
      <c r="CF1514" s="3">
        <v>43784</v>
      </c>
      <c r="CI1514">
        <v>1</v>
      </c>
      <c r="CJ1514">
        <v>1</v>
      </c>
      <c r="CK1514">
        <v>22</v>
      </c>
      <c r="CL1514" t="s">
        <v>89</v>
      </c>
    </row>
    <row r="1515" spans="1:90">
      <c r="A1515" t="s">
        <v>72</v>
      </c>
      <c r="B1515" t="s">
        <v>73</v>
      </c>
      <c r="C1515" t="s">
        <v>74</v>
      </c>
      <c r="E1515" t="str">
        <f>"FES1162722707"</f>
        <v>FES1162722707</v>
      </c>
      <c r="F1515" s="3">
        <v>43782</v>
      </c>
      <c r="G1515">
        <v>202005</v>
      </c>
      <c r="H1515" t="s">
        <v>75</v>
      </c>
      <c r="I1515" t="s">
        <v>76</v>
      </c>
      <c r="J1515" t="s">
        <v>77</v>
      </c>
      <c r="K1515" t="s">
        <v>78</v>
      </c>
      <c r="L1515" t="s">
        <v>482</v>
      </c>
      <c r="M1515" t="s">
        <v>483</v>
      </c>
      <c r="N1515" t="s">
        <v>449</v>
      </c>
      <c r="O1515" t="s">
        <v>82</v>
      </c>
      <c r="P1515" t="str">
        <f>"2170714401                    "</f>
        <v xml:space="preserve">2170714401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6.71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 s="4">
        <v>39.42</v>
      </c>
      <c r="BM1515" s="4">
        <v>5.91</v>
      </c>
      <c r="BN1515" s="4">
        <v>45.33</v>
      </c>
      <c r="BO1515" s="4">
        <v>45.33</v>
      </c>
      <c r="BQ1515" t="s">
        <v>109</v>
      </c>
      <c r="BR1515" t="s">
        <v>84</v>
      </c>
      <c r="BS1515" s="3">
        <v>43783</v>
      </c>
      <c r="BT1515" s="5">
        <v>0.4375</v>
      </c>
      <c r="BU1515" t="s">
        <v>1271</v>
      </c>
      <c r="BV1515" t="s">
        <v>86</v>
      </c>
      <c r="BY1515">
        <v>1200</v>
      </c>
      <c r="CC1515" t="s">
        <v>483</v>
      </c>
      <c r="CD1515">
        <v>1459</v>
      </c>
      <c r="CE1515" t="s">
        <v>147</v>
      </c>
      <c r="CF1515" s="3">
        <v>43784</v>
      </c>
      <c r="CI1515">
        <v>1</v>
      </c>
      <c r="CJ1515">
        <v>1</v>
      </c>
      <c r="CK1515">
        <v>22</v>
      </c>
      <c r="CL1515" t="s">
        <v>89</v>
      </c>
    </row>
    <row r="1516" spans="1:90">
      <c r="A1516" t="s">
        <v>72</v>
      </c>
      <c r="B1516" t="s">
        <v>73</v>
      </c>
      <c r="C1516" t="s">
        <v>74</v>
      </c>
      <c r="E1516" t="str">
        <f>"FES1162722820"</f>
        <v>FES1162722820</v>
      </c>
      <c r="F1516" s="3">
        <v>43782</v>
      </c>
      <c r="G1516">
        <v>202005</v>
      </c>
      <c r="H1516" t="s">
        <v>75</v>
      </c>
      <c r="I1516" t="s">
        <v>76</v>
      </c>
      <c r="J1516" t="s">
        <v>77</v>
      </c>
      <c r="K1516" t="s">
        <v>78</v>
      </c>
      <c r="L1516" t="s">
        <v>75</v>
      </c>
      <c r="M1516" t="s">
        <v>76</v>
      </c>
      <c r="N1516" t="s">
        <v>148</v>
      </c>
      <c r="O1516" t="s">
        <v>82</v>
      </c>
      <c r="P1516" t="str">
        <f>"2170714742                    "</f>
        <v xml:space="preserve">2170714742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6.71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 s="4">
        <v>39.42</v>
      </c>
      <c r="BM1516" s="4">
        <v>5.91</v>
      </c>
      <c r="BN1516" s="4">
        <v>45.33</v>
      </c>
      <c r="BO1516" s="4">
        <v>45.33</v>
      </c>
      <c r="BR1516" t="s">
        <v>84</v>
      </c>
      <c r="BS1516" s="3">
        <v>43784</v>
      </c>
      <c r="BT1516" s="5">
        <v>0.40972222222222227</v>
      </c>
      <c r="BU1516" t="s">
        <v>1993</v>
      </c>
      <c r="BV1516" t="s">
        <v>89</v>
      </c>
      <c r="BW1516" t="s">
        <v>319</v>
      </c>
      <c r="BX1516" t="s">
        <v>761</v>
      </c>
      <c r="BY1516">
        <v>1200</v>
      </c>
      <c r="CC1516" t="s">
        <v>76</v>
      </c>
      <c r="CD1516">
        <v>1682</v>
      </c>
      <c r="CE1516" t="s">
        <v>147</v>
      </c>
      <c r="CF1516" s="3">
        <v>43787</v>
      </c>
      <c r="CI1516">
        <v>1</v>
      </c>
      <c r="CJ1516">
        <v>2</v>
      </c>
      <c r="CK1516">
        <v>22</v>
      </c>
      <c r="CL1516" t="s">
        <v>89</v>
      </c>
    </row>
    <row r="1517" spans="1:90">
      <c r="A1517" t="s">
        <v>72</v>
      </c>
      <c r="B1517" t="s">
        <v>73</v>
      </c>
      <c r="C1517" t="s">
        <v>74</v>
      </c>
      <c r="E1517" t="str">
        <f>"FES1162722686"</f>
        <v>FES1162722686</v>
      </c>
      <c r="F1517" s="3">
        <v>43782</v>
      </c>
      <c r="G1517">
        <v>202005</v>
      </c>
      <c r="H1517" t="s">
        <v>75</v>
      </c>
      <c r="I1517" t="s">
        <v>76</v>
      </c>
      <c r="J1517" t="s">
        <v>77</v>
      </c>
      <c r="K1517" t="s">
        <v>78</v>
      </c>
      <c r="L1517" t="s">
        <v>124</v>
      </c>
      <c r="M1517" t="s">
        <v>125</v>
      </c>
      <c r="N1517" t="s">
        <v>1492</v>
      </c>
      <c r="O1517" t="s">
        <v>82</v>
      </c>
      <c r="P1517" t="str">
        <f>"2170714227                    "</f>
        <v xml:space="preserve">2170714227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6.71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 s="4">
        <v>39.42</v>
      </c>
      <c r="BM1517" s="4">
        <v>5.91</v>
      </c>
      <c r="BN1517" s="4">
        <v>45.33</v>
      </c>
      <c r="BO1517" s="4">
        <v>45.33</v>
      </c>
      <c r="BQ1517" t="s">
        <v>109</v>
      </c>
      <c r="BR1517" t="s">
        <v>84</v>
      </c>
      <c r="BS1517" s="3">
        <v>43783</v>
      </c>
      <c r="BT1517" s="5">
        <v>0.33333333333333331</v>
      </c>
      <c r="BU1517" t="s">
        <v>1994</v>
      </c>
      <c r="BV1517" t="s">
        <v>86</v>
      </c>
      <c r="BY1517">
        <v>1200</v>
      </c>
      <c r="CA1517" t="s">
        <v>470</v>
      </c>
      <c r="CC1517" t="s">
        <v>125</v>
      </c>
      <c r="CD1517">
        <v>2090</v>
      </c>
      <c r="CE1517" t="s">
        <v>147</v>
      </c>
      <c r="CF1517" s="3">
        <v>43784</v>
      </c>
      <c r="CI1517">
        <v>1</v>
      </c>
      <c r="CJ1517">
        <v>1</v>
      </c>
      <c r="CK1517">
        <v>22</v>
      </c>
      <c r="CL1517" t="s">
        <v>89</v>
      </c>
    </row>
    <row r="1518" spans="1:90">
      <c r="A1518" t="s">
        <v>72</v>
      </c>
      <c r="B1518" t="s">
        <v>73</v>
      </c>
      <c r="C1518" t="s">
        <v>74</v>
      </c>
      <c r="E1518" t="str">
        <f>"FES1162722688"</f>
        <v>FES1162722688</v>
      </c>
      <c r="F1518" s="3">
        <v>43782</v>
      </c>
      <c r="G1518">
        <v>202005</v>
      </c>
      <c r="H1518" t="s">
        <v>75</v>
      </c>
      <c r="I1518" t="s">
        <v>76</v>
      </c>
      <c r="J1518" t="s">
        <v>77</v>
      </c>
      <c r="K1518" t="s">
        <v>78</v>
      </c>
      <c r="L1518" t="s">
        <v>124</v>
      </c>
      <c r="M1518" t="s">
        <v>125</v>
      </c>
      <c r="N1518" t="s">
        <v>218</v>
      </c>
      <c r="O1518" t="s">
        <v>82</v>
      </c>
      <c r="P1518" t="str">
        <f>"2170714242                    "</f>
        <v xml:space="preserve">2170714242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6.71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 s="4">
        <v>39.42</v>
      </c>
      <c r="BM1518" s="4">
        <v>5.91</v>
      </c>
      <c r="BN1518" s="4">
        <v>45.33</v>
      </c>
      <c r="BO1518" s="4">
        <v>45.33</v>
      </c>
      <c r="BQ1518" t="s">
        <v>121</v>
      </c>
      <c r="BR1518" t="s">
        <v>84</v>
      </c>
      <c r="BS1518" s="3">
        <v>43783</v>
      </c>
      <c r="BT1518" s="5">
        <v>0.40902777777777777</v>
      </c>
      <c r="BU1518" t="s">
        <v>1995</v>
      </c>
      <c r="BV1518" t="s">
        <v>86</v>
      </c>
      <c r="BY1518">
        <v>1200</v>
      </c>
      <c r="CA1518" t="s">
        <v>837</v>
      </c>
      <c r="CC1518" t="s">
        <v>125</v>
      </c>
      <c r="CD1518">
        <v>2094</v>
      </c>
      <c r="CE1518" t="s">
        <v>147</v>
      </c>
      <c r="CF1518" s="3">
        <v>43784</v>
      </c>
      <c r="CI1518">
        <v>1</v>
      </c>
      <c r="CJ1518">
        <v>1</v>
      </c>
      <c r="CK1518">
        <v>22</v>
      </c>
      <c r="CL1518" t="s">
        <v>89</v>
      </c>
    </row>
    <row r="1519" spans="1:90">
      <c r="A1519" t="s">
        <v>72</v>
      </c>
      <c r="B1519" t="s">
        <v>73</v>
      </c>
      <c r="C1519" t="s">
        <v>74</v>
      </c>
      <c r="E1519" t="str">
        <f>"FES1162722701"</f>
        <v>FES1162722701</v>
      </c>
      <c r="F1519" s="3">
        <v>43782</v>
      </c>
      <c r="G1519">
        <v>202005</v>
      </c>
      <c r="H1519" t="s">
        <v>75</v>
      </c>
      <c r="I1519" t="s">
        <v>76</v>
      </c>
      <c r="J1519" t="s">
        <v>77</v>
      </c>
      <c r="K1519" t="s">
        <v>78</v>
      </c>
      <c r="L1519" t="s">
        <v>124</v>
      </c>
      <c r="M1519" t="s">
        <v>125</v>
      </c>
      <c r="N1519" t="s">
        <v>487</v>
      </c>
      <c r="O1519" t="s">
        <v>82</v>
      </c>
      <c r="P1519" t="str">
        <f>"2170714351                    "</f>
        <v xml:space="preserve">2170714351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6.71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 s="4">
        <v>39.42</v>
      </c>
      <c r="BM1519" s="4">
        <v>5.91</v>
      </c>
      <c r="BN1519" s="4">
        <v>45.33</v>
      </c>
      <c r="BO1519" s="4">
        <v>45.33</v>
      </c>
      <c r="BQ1519" t="s">
        <v>835</v>
      </c>
      <c r="BR1519" t="s">
        <v>84</v>
      </c>
      <c r="BS1519" s="3">
        <v>43783</v>
      </c>
      <c r="BT1519" s="5">
        <v>0.30277777777777776</v>
      </c>
      <c r="BU1519" t="s">
        <v>1903</v>
      </c>
      <c r="BV1519" t="s">
        <v>86</v>
      </c>
      <c r="BY1519">
        <v>1200</v>
      </c>
      <c r="CA1519" t="s">
        <v>837</v>
      </c>
      <c r="CC1519" t="s">
        <v>125</v>
      </c>
      <c r="CD1519">
        <v>2094</v>
      </c>
      <c r="CE1519" t="s">
        <v>147</v>
      </c>
      <c r="CF1519" s="3">
        <v>43784</v>
      </c>
      <c r="CI1519">
        <v>1</v>
      </c>
      <c r="CJ1519">
        <v>1</v>
      </c>
      <c r="CK1519">
        <v>22</v>
      </c>
      <c r="CL1519" t="s">
        <v>89</v>
      </c>
    </row>
    <row r="1520" spans="1:90">
      <c r="A1520" t="s">
        <v>72</v>
      </c>
      <c r="B1520" t="s">
        <v>73</v>
      </c>
      <c r="C1520" t="s">
        <v>74</v>
      </c>
      <c r="E1520" t="str">
        <f>"FES1162722824"</f>
        <v>FES1162722824</v>
      </c>
      <c r="F1520" s="3">
        <v>43782</v>
      </c>
      <c r="G1520">
        <v>202005</v>
      </c>
      <c r="H1520" t="s">
        <v>75</v>
      </c>
      <c r="I1520" t="s">
        <v>76</v>
      </c>
      <c r="J1520" t="s">
        <v>77</v>
      </c>
      <c r="K1520" t="s">
        <v>78</v>
      </c>
      <c r="L1520" t="s">
        <v>95</v>
      </c>
      <c r="M1520" t="s">
        <v>96</v>
      </c>
      <c r="N1520" t="s">
        <v>557</v>
      </c>
      <c r="O1520" t="s">
        <v>82</v>
      </c>
      <c r="P1520" t="str">
        <f>"2170714821                    "</f>
        <v xml:space="preserve">2170714821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6.71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 s="4">
        <v>39.42</v>
      </c>
      <c r="BM1520" s="4">
        <v>5.91</v>
      </c>
      <c r="BN1520" s="4">
        <v>45.33</v>
      </c>
      <c r="BO1520" s="4">
        <v>45.33</v>
      </c>
      <c r="BQ1520" t="s">
        <v>1819</v>
      </c>
      <c r="BR1520" t="s">
        <v>84</v>
      </c>
      <c r="BS1520" s="3">
        <v>43783</v>
      </c>
      <c r="BT1520" s="5">
        <v>0.37152777777777773</v>
      </c>
      <c r="BU1520" t="s">
        <v>1820</v>
      </c>
      <c r="BV1520" t="s">
        <v>86</v>
      </c>
      <c r="BY1520">
        <v>1200</v>
      </c>
      <c r="CC1520" t="s">
        <v>96</v>
      </c>
      <c r="CD1520">
        <v>1451</v>
      </c>
      <c r="CE1520" t="s">
        <v>147</v>
      </c>
      <c r="CF1520" s="3">
        <v>43784</v>
      </c>
      <c r="CI1520">
        <v>1</v>
      </c>
      <c r="CJ1520">
        <v>1</v>
      </c>
      <c r="CK1520">
        <v>22</v>
      </c>
      <c r="CL1520" t="s">
        <v>89</v>
      </c>
    </row>
    <row r="1521" spans="1:90">
      <c r="A1521" t="s">
        <v>72</v>
      </c>
      <c r="B1521" t="s">
        <v>73</v>
      </c>
      <c r="C1521" t="s">
        <v>74</v>
      </c>
      <c r="E1521" t="str">
        <f>"FES1162722740"</f>
        <v>FES1162722740</v>
      </c>
      <c r="F1521" s="3">
        <v>43782</v>
      </c>
      <c r="G1521">
        <v>202005</v>
      </c>
      <c r="H1521" t="s">
        <v>75</v>
      </c>
      <c r="I1521" t="s">
        <v>76</v>
      </c>
      <c r="J1521" t="s">
        <v>77</v>
      </c>
      <c r="K1521" t="s">
        <v>78</v>
      </c>
      <c r="L1521" t="s">
        <v>95</v>
      </c>
      <c r="M1521" t="s">
        <v>96</v>
      </c>
      <c r="N1521" t="s">
        <v>557</v>
      </c>
      <c r="O1521" t="s">
        <v>82</v>
      </c>
      <c r="P1521" t="str">
        <f>"2170714821                    "</f>
        <v xml:space="preserve">2170714821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6.71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 s="4">
        <v>39.42</v>
      </c>
      <c r="BM1521" s="4">
        <v>5.91</v>
      </c>
      <c r="BN1521" s="4">
        <v>45.33</v>
      </c>
      <c r="BO1521" s="4">
        <v>45.33</v>
      </c>
      <c r="BQ1521" t="s">
        <v>1819</v>
      </c>
      <c r="BR1521" t="s">
        <v>84</v>
      </c>
      <c r="BS1521" s="3">
        <v>43783</v>
      </c>
      <c r="BT1521" s="5">
        <v>0.37152777777777773</v>
      </c>
      <c r="BU1521" t="s">
        <v>1820</v>
      </c>
      <c r="BV1521" t="s">
        <v>86</v>
      </c>
      <c r="BY1521">
        <v>1200</v>
      </c>
      <c r="CC1521" t="s">
        <v>96</v>
      </c>
      <c r="CD1521">
        <v>1451</v>
      </c>
      <c r="CE1521" t="s">
        <v>147</v>
      </c>
      <c r="CF1521" s="3">
        <v>43784</v>
      </c>
      <c r="CI1521">
        <v>1</v>
      </c>
      <c r="CJ1521">
        <v>1</v>
      </c>
      <c r="CK1521">
        <v>22</v>
      </c>
      <c r="CL1521" t="s">
        <v>89</v>
      </c>
    </row>
    <row r="1522" spans="1:90">
      <c r="A1522" t="s">
        <v>72</v>
      </c>
      <c r="B1522" t="s">
        <v>73</v>
      </c>
      <c r="C1522" t="s">
        <v>74</v>
      </c>
      <c r="E1522" t="str">
        <f>"FES1162722717"</f>
        <v>FES1162722717</v>
      </c>
      <c r="F1522" s="3">
        <v>43782</v>
      </c>
      <c r="G1522">
        <v>202005</v>
      </c>
      <c r="H1522" t="s">
        <v>75</v>
      </c>
      <c r="I1522" t="s">
        <v>76</v>
      </c>
      <c r="J1522" t="s">
        <v>77</v>
      </c>
      <c r="K1522" t="s">
        <v>78</v>
      </c>
      <c r="L1522" t="s">
        <v>75</v>
      </c>
      <c r="M1522" t="s">
        <v>76</v>
      </c>
      <c r="N1522" t="s">
        <v>1996</v>
      </c>
      <c r="O1522" t="s">
        <v>82</v>
      </c>
      <c r="P1522" t="str">
        <f>"2170714465                    "</f>
        <v xml:space="preserve">2170714465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6.71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 s="4">
        <v>39.42</v>
      </c>
      <c r="BM1522" s="4">
        <v>5.91</v>
      </c>
      <c r="BN1522" s="4">
        <v>45.33</v>
      </c>
      <c r="BO1522" s="4">
        <v>45.33</v>
      </c>
      <c r="BR1522" t="s">
        <v>84</v>
      </c>
      <c r="BS1522" s="3">
        <v>43783</v>
      </c>
      <c r="BT1522" s="5">
        <v>0.32291666666666669</v>
      </c>
      <c r="BU1522" t="s">
        <v>1997</v>
      </c>
      <c r="BV1522" t="s">
        <v>86</v>
      </c>
      <c r="BY1522">
        <v>1200</v>
      </c>
      <c r="CA1522" t="s">
        <v>1998</v>
      </c>
      <c r="CC1522" t="s">
        <v>76</v>
      </c>
      <c r="CD1522">
        <v>1609</v>
      </c>
      <c r="CE1522" t="s">
        <v>147</v>
      </c>
      <c r="CF1522" s="3">
        <v>43784</v>
      </c>
      <c r="CI1522">
        <v>1</v>
      </c>
      <c r="CJ1522">
        <v>1</v>
      </c>
      <c r="CK1522">
        <v>22</v>
      </c>
      <c r="CL1522" t="s">
        <v>89</v>
      </c>
    </row>
    <row r="1523" spans="1:90">
      <c r="A1523" t="s">
        <v>72</v>
      </c>
      <c r="B1523" t="s">
        <v>73</v>
      </c>
      <c r="C1523" t="s">
        <v>74</v>
      </c>
      <c r="E1523" t="str">
        <f>"FES1162722659"</f>
        <v>FES1162722659</v>
      </c>
      <c r="F1523" s="3">
        <v>43782</v>
      </c>
      <c r="G1523">
        <v>202005</v>
      </c>
      <c r="H1523" t="s">
        <v>75</v>
      </c>
      <c r="I1523" t="s">
        <v>76</v>
      </c>
      <c r="J1523" t="s">
        <v>77</v>
      </c>
      <c r="K1523" t="s">
        <v>78</v>
      </c>
      <c r="L1523" t="s">
        <v>75</v>
      </c>
      <c r="M1523" t="s">
        <v>76</v>
      </c>
      <c r="N1523" t="s">
        <v>647</v>
      </c>
      <c r="O1523" t="s">
        <v>82</v>
      </c>
      <c r="P1523" t="str">
        <f>"2170714490                    "</f>
        <v xml:space="preserve">2170714490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6.71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 s="4">
        <v>39.42</v>
      </c>
      <c r="BM1523" s="4">
        <v>5.91</v>
      </c>
      <c r="BN1523" s="4">
        <v>45.33</v>
      </c>
      <c r="BO1523" s="4">
        <v>45.33</v>
      </c>
      <c r="BQ1523" t="s">
        <v>648</v>
      </c>
      <c r="BR1523" t="s">
        <v>84</v>
      </c>
      <c r="BS1523" s="3">
        <v>43783</v>
      </c>
      <c r="BT1523" s="5">
        <v>0.4375</v>
      </c>
      <c r="BU1523" t="s">
        <v>1999</v>
      </c>
      <c r="BV1523" t="s">
        <v>86</v>
      </c>
      <c r="BY1523">
        <v>1200</v>
      </c>
      <c r="CA1523" t="s">
        <v>797</v>
      </c>
      <c r="CC1523" t="s">
        <v>76</v>
      </c>
      <c r="CD1523">
        <v>1645</v>
      </c>
      <c r="CE1523" t="s">
        <v>147</v>
      </c>
      <c r="CF1523" s="3">
        <v>43784</v>
      </c>
      <c r="CI1523">
        <v>1</v>
      </c>
      <c r="CJ1523">
        <v>1</v>
      </c>
      <c r="CK1523">
        <v>22</v>
      </c>
      <c r="CL1523" t="s">
        <v>89</v>
      </c>
    </row>
    <row r="1524" spans="1:90">
      <c r="A1524" t="s">
        <v>72</v>
      </c>
      <c r="B1524" t="s">
        <v>73</v>
      </c>
      <c r="C1524" t="s">
        <v>74</v>
      </c>
      <c r="E1524" t="str">
        <f>"FES1162722696"</f>
        <v>FES1162722696</v>
      </c>
      <c r="F1524" s="3">
        <v>43782</v>
      </c>
      <c r="G1524">
        <v>202005</v>
      </c>
      <c r="H1524" t="s">
        <v>75</v>
      </c>
      <c r="I1524" t="s">
        <v>76</v>
      </c>
      <c r="J1524" t="s">
        <v>77</v>
      </c>
      <c r="K1524" t="s">
        <v>78</v>
      </c>
      <c r="L1524" t="s">
        <v>75</v>
      </c>
      <c r="M1524" t="s">
        <v>76</v>
      </c>
      <c r="N1524" t="s">
        <v>2000</v>
      </c>
      <c r="O1524" t="s">
        <v>82</v>
      </c>
      <c r="P1524" t="str">
        <f>"2170714293                    "</f>
        <v xml:space="preserve">2170714293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6.71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 s="4">
        <v>39.42</v>
      </c>
      <c r="BM1524" s="4">
        <v>5.91</v>
      </c>
      <c r="BN1524" s="4">
        <v>45.33</v>
      </c>
      <c r="BO1524" s="4">
        <v>45.33</v>
      </c>
      <c r="BQ1524" t="s">
        <v>142</v>
      </c>
      <c r="BR1524" t="s">
        <v>84</v>
      </c>
      <c r="BS1524" s="3">
        <v>43783</v>
      </c>
      <c r="BT1524" s="5">
        <v>0.4375</v>
      </c>
      <c r="BU1524" t="s">
        <v>2001</v>
      </c>
      <c r="BV1524" t="s">
        <v>86</v>
      </c>
      <c r="BY1524">
        <v>1200</v>
      </c>
      <c r="CA1524" t="s">
        <v>797</v>
      </c>
      <c r="CC1524" t="s">
        <v>76</v>
      </c>
      <c r="CD1524">
        <v>1610</v>
      </c>
      <c r="CE1524" t="s">
        <v>147</v>
      </c>
      <c r="CF1524" s="3">
        <v>43784</v>
      </c>
      <c r="CI1524">
        <v>1</v>
      </c>
      <c r="CJ1524">
        <v>1</v>
      </c>
      <c r="CK1524">
        <v>22</v>
      </c>
      <c r="CL1524" t="s">
        <v>89</v>
      </c>
    </row>
    <row r="1525" spans="1:90">
      <c r="A1525" t="s">
        <v>72</v>
      </c>
      <c r="B1525" t="s">
        <v>73</v>
      </c>
      <c r="C1525" t="s">
        <v>74</v>
      </c>
      <c r="E1525" t="str">
        <f>"FES1162722763"</f>
        <v>FES1162722763</v>
      </c>
      <c r="F1525" s="3">
        <v>43782</v>
      </c>
      <c r="G1525">
        <v>202005</v>
      </c>
      <c r="H1525" t="s">
        <v>75</v>
      </c>
      <c r="I1525" t="s">
        <v>76</v>
      </c>
      <c r="J1525" t="s">
        <v>77</v>
      </c>
      <c r="K1525" t="s">
        <v>78</v>
      </c>
      <c r="L1525" t="s">
        <v>482</v>
      </c>
      <c r="M1525" t="s">
        <v>483</v>
      </c>
      <c r="N1525" t="s">
        <v>1054</v>
      </c>
      <c r="O1525" t="s">
        <v>82</v>
      </c>
      <c r="P1525" t="str">
        <f>"2170715018                    "</f>
        <v xml:space="preserve">2170715018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6.71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 s="4">
        <v>39.42</v>
      </c>
      <c r="BM1525" s="4">
        <v>5.91</v>
      </c>
      <c r="BN1525" s="4">
        <v>45.33</v>
      </c>
      <c r="BO1525" s="4">
        <v>45.33</v>
      </c>
      <c r="BQ1525" t="s">
        <v>109</v>
      </c>
      <c r="BR1525" t="s">
        <v>84</v>
      </c>
      <c r="BS1525" s="3">
        <v>43783</v>
      </c>
      <c r="BT1525" s="5">
        <v>0.32916666666666666</v>
      </c>
      <c r="BU1525" t="s">
        <v>2002</v>
      </c>
      <c r="BV1525" t="s">
        <v>86</v>
      </c>
      <c r="BY1525">
        <v>1200</v>
      </c>
      <c r="CA1525" t="s">
        <v>486</v>
      </c>
      <c r="CC1525" t="s">
        <v>483</v>
      </c>
      <c r="CD1525">
        <v>1459</v>
      </c>
      <c r="CE1525" t="s">
        <v>147</v>
      </c>
      <c r="CF1525" s="3">
        <v>43784</v>
      </c>
      <c r="CI1525">
        <v>1</v>
      </c>
      <c r="CJ1525">
        <v>1</v>
      </c>
      <c r="CK1525">
        <v>22</v>
      </c>
      <c r="CL1525" t="s">
        <v>89</v>
      </c>
    </row>
    <row r="1526" spans="1:90">
      <c r="A1526" t="s">
        <v>72</v>
      </c>
      <c r="B1526" t="s">
        <v>73</v>
      </c>
      <c r="C1526" t="s">
        <v>74</v>
      </c>
      <c r="E1526" t="str">
        <f>"FES1162722929"</f>
        <v>FES1162722929</v>
      </c>
      <c r="F1526" s="3">
        <v>43782</v>
      </c>
      <c r="G1526">
        <v>202005</v>
      </c>
      <c r="H1526" t="s">
        <v>75</v>
      </c>
      <c r="I1526" t="s">
        <v>76</v>
      </c>
      <c r="J1526" t="s">
        <v>77</v>
      </c>
      <c r="K1526" t="s">
        <v>78</v>
      </c>
      <c r="L1526" t="s">
        <v>79</v>
      </c>
      <c r="M1526" t="s">
        <v>80</v>
      </c>
      <c r="N1526" t="s">
        <v>458</v>
      </c>
      <c r="O1526" t="s">
        <v>82</v>
      </c>
      <c r="P1526" t="str">
        <f>"2170716384                    "</f>
        <v xml:space="preserve">2170716384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21.45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4.8</v>
      </c>
      <c r="BJ1526">
        <v>2.8</v>
      </c>
      <c r="BK1526">
        <v>5</v>
      </c>
      <c r="BL1526" s="4">
        <v>126.08</v>
      </c>
      <c r="BM1526" s="4">
        <v>18.91</v>
      </c>
      <c r="BN1526" s="4">
        <v>144.99</v>
      </c>
      <c r="BO1526" s="4">
        <v>144.99</v>
      </c>
      <c r="BQ1526" t="s">
        <v>109</v>
      </c>
      <c r="BR1526" t="s">
        <v>84</v>
      </c>
      <c r="BS1526" s="3">
        <v>43783</v>
      </c>
      <c r="BT1526" s="5">
        <v>0.3298611111111111</v>
      </c>
      <c r="BU1526" t="s">
        <v>1318</v>
      </c>
      <c r="BV1526" t="s">
        <v>86</v>
      </c>
      <c r="BY1526">
        <v>14113.76</v>
      </c>
      <c r="CA1526" t="s">
        <v>87</v>
      </c>
      <c r="CC1526" t="s">
        <v>80</v>
      </c>
      <c r="CD1526">
        <v>6230</v>
      </c>
      <c r="CE1526" t="s">
        <v>88</v>
      </c>
      <c r="CF1526" s="3">
        <v>43784</v>
      </c>
      <c r="CI1526">
        <v>1</v>
      </c>
      <c r="CJ1526">
        <v>1</v>
      </c>
      <c r="CK1526">
        <v>21</v>
      </c>
      <c r="CL1526" t="s">
        <v>89</v>
      </c>
    </row>
    <row r="1527" spans="1:90">
      <c r="A1527" t="s">
        <v>72</v>
      </c>
      <c r="B1527" t="s">
        <v>73</v>
      </c>
      <c r="C1527" t="s">
        <v>74</v>
      </c>
      <c r="E1527" t="str">
        <f>"FES1162722792"</f>
        <v>FES1162722792</v>
      </c>
      <c r="F1527" s="3">
        <v>43782</v>
      </c>
      <c r="G1527">
        <v>202005</v>
      </c>
      <c r="H1527" t="s">
        <v>75</v>
      </c>
      <c r="I1527" t="s">
        <v>76</v>
      </c>
      <c r="J1527" t="s">
        <v>77</v>
      </c>
      <c r="K1527" t="s">
        <v>78</v>
      </c>
      <c r="L1527" t="s">
        <v>124</v>
      </c>
      <c r="M1527" t="s">
        <v>125</v>
      </c>
      <c r="N1527" t="s">
        <v>1396</v>
      </c>
      <c r="O1527" t="s">
        <v>82</v>
      </c>
      <c r="P1527" t="str">
        <f>"2170714432                    "</f>
        <v xml:space="preserve">2170714432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6.71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1.5</v>
      </c>
      <c r="BJ1527">
        <v>0.7</v>
      </c>
      <c r="BK1527">
        <v>1.5</v>
      </c>
      <c r="BL1527" s="4">
        <v>39.42</v>
      </c>
      <c r="BM1527" s="4">
        <v>5.91</v>
      </c>
      <c r="BN1527" s="4">
        <v>45.33</v>
      </c>
      <c r="BO1527" s="4">
        <v>45.33</v>
      </c>
      <c r="BQ1527" t="s">
        <v>142</v>
      </c>
      <c r="BR1527" t="s">
        <v>84</v>
      </c>
      <c r="BS1527" s="3">
        <v>43783</v>
      </c>
      <c r="BT1527" s="5">
        <v>0.34722222222222227</v>
      </c>
      <c r="BU1527" t="s">
        <v>2003</v>
      </c>
      <c r="BV1527" t="s">
        <v>86</v>
      </c>
      <c r="BY1527">
        <v>3730.56</v>
      </c>
      <c r="CC1527" t="s">
        <v>125</v>
      </c>
      <c r="CD1527">
        <v>2001</v>
      </c>
      <c r="CE1527" t="s">
        <v>88</v>
      </c>
      <c r="CF1527" s="3">
        <v>43784</v>
      </c>
      <c r="CI1527">
        <v>1</v>
      </c>
      <c r="CJ1527">
        <v>1</v>
      </c>
      <c r="CK1527">
        <v>22</v>
      </c>
      <c r="CL1527" t="s">
        <v>89</v>
      </c>
    </row>
    <row r="1528" spans="1:90">
      <c r="A1528" t="s">
        <v>72</v>
      </c>
      <c r="B1528" t="s">
        <v>73</v>
      </c>
      <c r="C1528" t="s">
        <v>74</v>
      </c>
      <c r="E1528" t="str">
        <f>"FES1162722844"</f>
        <v>FES1162722844</v>
      </c>
      <c r="F1528" s="3">
        <v>43782</v>
      </c>
      <c r="G1528">
        <v>202005</v>
      </c>
      <c r="H1528" t="s">
        <v>75</v>
      </c>
      <c r="I1528" t="s">
        <v>76</v>
      </c>
      <c r="J1528" t="s">
        <v>77</v>
      </c>
      <c r="K1528" t="s">
        <v>78</v>
      </c>
      <c r="L1528" t="s">
        <v>124</v>
      </c>
      <c r="M1528" t="s">
        <v>125</v>
      </c>
      <c r="N1528" t="s">
        <v>218</v>
      </c>
      <c r="O1528" t="s">
        <v>82</v>
      </c>
      <c r="P1528" t="str">
        <f>"2170716937                    "</f>
        <v xml:space="preserve">2170716937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8.31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2.7</v>
      </c>
      <c r="BJ1528">
        <v>1.3</v>
      </c>
      <c r="BK1528">
        <v>3</v>
      </c>
      <c r="BL1528" s="4">
        <v>48.86</v>
      </c>
      <c r="BM1528" s="4">
        <v>7.33</v>
      </c>
      <c r="BN1528" s="4">
        <v>56.19</v>
      </c>
      <c r="BO1528" s="4">
        <v>56.19</v>
      </c>
      <c r="BQ1528" t="s">
        <v>121</v>
      </c>
      <c r="BR1528" t="s">
        <v>84</v>
      </c>
      <c r="BS1528" s="3">
        <v>43783</v>
      </c>
      <c r="BT1528" s="5">
        <v>0.41111111111111115</v>
      </c>
      <c r="BU1528" t="s">
        <v>1908</v>
      </c>
      <c r="BV1528" t="s">
        <v>86</v>
      </c>
      <c r="BY1528">
        <v>6373.89</v>
      </c>
      <c r="CA1528" t="s">
        <v>837</v>
      </c>
      <c r="CC1528" t="s">
        <v>125</v>
      </c>
      <c r="CD1528">
        <v>2094</v>
      </c>
      <c r="CE1528" t="s">
        <v>88</v>
      </c>
      <c r="CF1528" s="3">
        <v>43784</v>
      </c>
      <c r="CI1528">
        <v>1</v>
      </c>
      <c r="CJ1528">
        <v>1</v>
      </c>
      <c r="CK1528">
        <v>22</v>
      </c>
      <c r="CL1528" t="s">
        <v>89</v>
      </c>
    </row>
    <row r="1529" spans="1:90">
      <c r="A1529" t="s">
        <v>72</v>
      </c>
      <c r="B1529" t="s">
        <v>73</v>
      </c>
      <c r="C1529" t="s">
        <v>74</v>
      </c>
      <c r="E1529" t="str">
        <f>"FES1162722805"</f>
        <v>FES1162722805</v>
      </c>
      <c r="F1529" s="3">
        <v>43782</v>
      </c>
      <c r="G1529">
        <v>202005</v>
      </c>
      <c r="H1529" t="s">
        <v>75</v>
      </c>
      <c r="I1529" t="s">
        <v>76</v>
      </c>
      <c r="J1529" t="s">
        <v>77</v>
      </c>
      <c r="K1529" t="s">
        <v>78</v>
      </c>
      <c r="L1529" t="s">
        <v>75</v>
      </c>
      <c r="M1529" t="s">
        <v>76</v>
      </c>
      <c r="N1529" t="s">
        <v>2004</v>
      </c>
      <c r="O1529" t="s">
        <v>82</v>
      </c>
      <c r="P1529" t="str">
        <f>"2170714348                    "</f>
        <v xml:space="preserve">2170714348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13.13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5.8</v>
      </c>
      <c r="BJ1529">
        <v>2.7</v>
      </c>
      <c r="BK1529">
        <v>6</v>
      </c>
      <c r="BL1529" s="4">
        <v>77.2</v>
      </c>
      <c r="BM1529" s="4">
        <v>11.58</v>
      </c>
      <c r="BN1529" s="4">
        <v>88.78</v>
      </c>
      <c r="BO1529" s="4">
        <v>88.78</v>
      </c>
      <c r="BQ1529" t="s">
        <v>121</v>
      </c>
      <c r="BR1529" t="s">
        <v>84</v>
      </c>
      <c r="BS1529" s="3">
        <v>43783</v>
      </c>
      <c r="BT1529" s="5">
        <v>0.40763888888888888</v>
      </c>
      <c r="BU1529" t="s">
        <v>2005</v>
      </c>
      <c r="BV1529" t="s">
        <v>86</v>
      </c>
      <c r="BY1529">
        <v>13442.88</v>
      </c>
      <c r="CA1529" t="s">
        <v>368</v>
      </c>
      <c r="CC1529" t="s">
        <v>76</v>
      </c>
      <c r="CD1529">
        <v>1625</v>
      </c>
      <c r="CE1529" t="s">
        <v>88</v>
      </c>
      <c r="CF1529" s="3">
        <v>43784</v>
      </c>
      <c r="CI1529">
        <v>1</v>
      </c>
      <c r="CJ1529">
        <v>1</v>
      </c>
      <c r="CK1529">
        <v>22</v>
      </c>
      <c r="CL1529" t="s">
        <v>89</v>
      </c>
    </row>
    <row r="1530" spans="1:90">
      <c r="A1530" t="s">
        <v>72</v>
      </c>
      <c r="B1530" t="s">
        <v>73</v>
      </c>
      <c r="C1530" t="s">
        <v>74</v>
      </c>
      <c r="E1530" t="str">
        <f>"FES1162722809"</f>
        <v>FES1162722809</v>
      </c>
      <c r="F1530" s="3">
        <v>43782</v>
      </c>
      <c r="G1530">
        <v>202005</v>
      </c>
      <c r="H1530" t="s">
        <v>75</v>
      </c>
      <c r="I1530" t="s">
        <v>76</v>
      </c>
      <c r="J1530" t="s">
        <v>77</v>
      </c>
      <c r="K1530" t="s">
        <v>78</v>
      </c>
      <c r="L1530" t="s">
        <v>124</v>
      </c>
      <c r="M1530" t="s">
        <v>125</v>
      </c>
      <c r="N1530" t="s">
        <v>1876</v>
      </c>
      <c r="O1530" t="s">
        <v>82</v>
      </c>
      <c r="P1530" t="str">
        <f>"2170714554                    "</f>
        <v xml:space="preserve">2170714554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8.31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2.5</v>
      </c>
      <c r="BJ1530">
        <v>2.7</v>
      </c>
      <c r="BK1530">
        <v>3</v>
      </c>
      <c r="BL1530" s="4">
        <v>48.86</v>
      </c>
      <c r="BM1530" s="4">
        <v>7.33</v>
      </c>
      <c r="BN1530" s="4">
        <v>56.19</v>
      </c>
      <c r="BO1530" s="4">
        <v>56.19</v>
      </c>
      <c r="BQ1530" t="s">
        <v>121</v>
      </c>
      <c r="BR1530" t="s">
        <v>84</v>
      </c>
      <c r="BS1530" s="3">
        <v>43783</v>
      </c>
      <c r="BT1530" s="5">
        <v>0.33333333333333331</v>
      </c>
      <c r="BU1530" t="s">
        <v>1990</v>
      </c>
      <c r="BV1530" t="s">
        <v>86</v>
      </c>
      <c r="BY1530">
        <v>13332.68</v>
      </c>
      <c r="CA1530" t="s">
        <v>1991</v>
      </c>
      <c r="CC1530" t="s">
        <v>125</v>
      </c>
      <c r="CD1530">
        <v>2157</v>
      </c>
      <c r="CE1530" t="s">
        <v>88</v>
      </c>
      <c r="CF1530" s="3">
        <v>43784</v>
      </c>
      <c r="CI1530">
        <v>1</v>
      </c>
      <c r="CJ1530">
        <v>1</v>
      </c>
      <c r="CK1530">
        <v>22</v>
      </c>
      <c r="CL1530" t="s">
        <v>89</v>
      </c>
    </row>
    <row r="1531" spans="1:90">
      <c r="A1531" t="s">
        <v>72</v>
      </c>
      <c r="B1531" t="s">
        <v>73</v>
      </c>
      <c r="C1531" t="s">
        <v>74</v>
      </c>
      <c r="E1531" t="str">
        <f>"FES1162722748"</f>
        <v>FES1162722748</v>
      </c>
      <c r="F1531" s="3">
        <v>43782</v>
      </c>
      <c r="G1531">
        <v>202005</v>
      </c>
      <c r="H1531" t="s">
        <v>75</v>
      </c>
      <c r="I1531" t="s">
        <v>76</v>
      </c>
      <c r="J1531" t="s">
        <v>77</v>
      </c>
      <c r="K1531" t="s">
        <v>78</v>
      </c>
      <c r="L1531" t="s">
        <v>124</v>
      </c>
      <c r="M1531" t="s">
        <v>125</v>
      </c>
      <c r="N1531" t="s">
        <v>218</v>
      </c>
      <c r="O1531" t="s">
        <v>82</v>
      </c>
      <c r="P1531" t="str">
        <f>"2170714883                    "</f>
        <v xml:space="preserve">2170714883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6.71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0.5</v>
      </c>
      <c r="BJ1531">
        <v>1.1000000000000001</v>
      </c>
      <c r="BK1531">
        <v>1.5</v>
      </c>
      <c r="BL1531" s="4">
        <v>39.42</v>
      </c>
      <c r="BM1531" s="4">
        <v>5.91</v>
      </c>
      <c r="BN1531" s="4">
        <v>45.33</v>
      </c>
      <c r="BO1531" s="4">
        <v>45.33</v>
      </c>
      <c r="BQ1531" t="s">
        <v>121</v>
      </c>
      <c r="BR1531" t="s">
        <v>84</v>
      </c>
      <c r="BS1531" s="3">
        <v>43783</v>
      </c>
      <c r="BT1531" s="5">
        <v>0.41180555555555554</v>
      </c>
      <c r="BU1531" t="s">
        <v>1908</v>
      </c>
      <c r="BV1531" t="s">
        <v>86</v>
      </c>
      <c r="BY1531">
        <v>5252.53</v>
      </c>
      <c r="CA1531" t="s">
        <v>837</v>
      </c>
      <c r="CC1531" t="s">
        <v>125</v>
      </c>
      <c r="CD1531">
        <v>2094</v>
      </c>
      <c r="CE1531" t="s">
        <v>88</v>
      </c>
      <c r="CF1531" s="3">
        <v>43784</v>
      </c>
      <c r="CI1531">
        <v>1</v>
      </c>
      <c r="CJ1531">
        <v>1</v>
      </c>
      <c r="CK1531">
        <v>22</v>
      </c>
      <c r="CL1531" t="s">
        <v>89</v>
      </c>
    </row>
    <row r="1532" spans="1:90">
      <c r="A1532" t="s">
        <v>72</v>
      </c>
      <c r="B1532" t="s">
        <v>73</v>
      </c>
      <c r="C1532" t="s">
        <v>74</v>
      </c>
      <c r="E1532" t="str">
        <f>"FES1162722661"</f>
        <v>FES1162722661</v>
      </c>
      <c r="F1532" s="3">
        <v>43782</v>
      </c>
      <c r="G1532">
        <v>202005</v>
      </c>
      <c r="H1532" t="s">
        <v>75</v>
      </c>
      <c r="I1532" t="s">
        <v>76</v>
      </c>
      <c r="J1532" t="s">
        <v>77</v>
      </c>
      <c r="K1532" t="s">
        <v>78</v>
      </c>
      <c r="L1532" t="s">
        <v>214</v>
      </c>
      <c r="M1532" t="s">
        <v>214</v>
      </c>
      <c r="N1532" t="s">
        <v>1523</v>
      </c>
      <c r="O1532" t="s">
        <v>82</v>
      </c>
      <c r="P1532" t="str">
        <f>"2170711685                    "</f>
        <v xml:space="preserve">2170711685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46.67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5.9</v>
      </c>
      <c r="BJ1532">
        <v>1.1000000000000001</v>
      </c>
      <c r="BK1532">
        <v>6</v>
      </c>
      <c r="BL1532" s="4">
        <v>274.35000000000002</v>
      </c>
      <c r="BM1532" s="4">
        <v>41.15</v>
      </c>
      <c r="BN1532" s="4">
        <v>315.5</v>
      </c>
      <c r="BO1532" s="4">
        <v>315.5</v>
      </c>
      <c r="BQ1532" t="s">
        <v>121</v>
      </c>
      <c r="BR1532" t="s">
        <v>84</v>
      </c>
      <c r="BS1532" s="3">
        <v>43783</v>
      </c>
      <c r="BT1532" s="5">
        <v>0.49722222222222223</v>
      </c>
      <c r="BU1532" t="s">
        <v>706</v>
      </c>
      <c r="BV1532" t="s">
        <v>86</v>
      </c>
      <c r="BY1532">
        <v>5578.55</v>
      </c>
      <c r="CA1532" t="s">
        <v>217</v>
      </c>
      <c r="CC1532" t="s">
        <v>214</v>
      </c>
      <c r="CD1532">
        <v>7646</v>
      </c>
      <c r="CE1532" t="s">
        <v>88</v>
      </c>
      <c r="CF1532" s="3">
        <v>43784</v>
      </c>
      <c r="CI1532">
        <v>1</v>
      </c>
      <c r="CJ1532">
        <v>1</v>
      </c>
      <c r="CK1532">
        <v>23</v>
      </c>
      <c r="CL1532" t="s">
        <v>89</v>
      </c>
    </row>
    <row r="1533" spans="1:90">
      <c r="A1533" t="s">
        <v>72</v>
      </c>
      <c r="B1533" t="s">
        <v>73</v>
      </c>
      <c r="C1533" t="s">
        <v>74</v>
      </c>
      <c r="E1533" t="str">
        <f>"FES1162722665"</f>
        <v>FES1162722665</v>
      </c>
      <c r="F1533" s="3">
        <v>43782</v>
      </c>
      <c r="G1533">
        <v>202005</v>
      </c>
      <c r="H1533" t="s">
        <v>75</v>
      </c>
      <c r="I1533" t="s">
        <v>76</v>
      </c>
      <c r="J1533" t="s">
        <v>77</v>
      </c>
      <c r="K1533" t="s">
        <v>78</v>
      </c>
      <c r="L1533" t="s">
        <v>566</v>
      </c>
      <c r="M1533" t="s">
        <v>567</v>
      </c>
      <c r="N1533" t="s">
        <v>568</v>
      </c>
      <c r="O1533" t="s">
        <v>82</v>
      </c>
      <c r="P1533" t="str">
        <f>"2170713322                    "</f>
        <v xml:space="preserve">2170713322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12.07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 s="4">
        <v>70.95</v>
      </c>
      <c r="BM1533" s="4">
        <v>10.64</v>
      </c>
      <c r="BN1533" s="4">
        <v>81.59</v>
      </c>
      <c r="BO1533" s="4">
        <v>81.59</v>
      </c>
      <c r="BQ1533" t="s">
        <v>121</v>
      </c>
      <c r="BR1533" t="s">
        <v>84</v>
      </c>
      <c r="BS1533" s="3">
        <v>43783</v>
      </c>
      <c r="BT1533" s="5">
        <v>0.29583333333333334</v>
      </c>
      <c r="BU1533" t="s">
        <v>2006</v>
      </c>
      <c r="BV1533" t="s">
        <v>86</v>
      </c>
      <c r="BY1533">
        <v>1200</v>
      </c>
      <c r="CA1533" t="s">
        <v>2007</v>
      </c>
      <c r="CC1533" t="s">
        <v>567</v>
      </c>
      <c r="CD1533">
        <v>2410</v>
      </c>
      <c r="CE1533" t="s">
        <v>147</v>
      </c>
      <c r="CF1533" s="3">
        <v>43784</v>
      </c>
      <c r="CI1533">
        <v>1</v>
      </c>
      <c r="CJ1533">
        <v>1</v>
      </c>
      <c r="CK1533">
        <v>24</v>
      </c>
      <c r="CL1533" t="s">
        <v>89</v>
      </c>
    </row>
    <row r="1534" spans="1:90">
      <c r="A1534" t="s">
        <v>72</v>
      </c>
      <c r="B1534" t="s">
        <v>73</v>
      </c>
      <c r="C1534" t="s">
        <v>74</v>
      </c>
      <c r="E1534" t="str">
        <f>"FES1162722724"</f>
        <v>FES1162722724</v>
      </c>
      <c r="F1534" s="3">
        <v>43782</v>
      </c>
      <c r="G1534">
        <v>202005</v>
      </c>
      <c r="H1534" t="s">
        <v>75</v>
      </c>
      <c r="I1534" t="s">
        <v>76</v>
      </c>
      <c r="J1534" t="s">
        <v>77</v>
      </c>
      <c r="K1534" t="s">
        <v>78</v>
      </c>
      <c r="L1534" t="s">
        <v>482</v>
      </c>
      <c r="M1534" t="s">
        <v>483</v>
      </c>
      <c r="N1534" t="s">
        <v>2008</v>
      </c>
      <c r="O1534" t="s">
        <v>82</v>
      </c>
      <c r="P1534" t="str">
        <f>"2170714533                    "</f>
        <v xml:space="preserve">2170714533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6.71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 s="4">
        <v>39.42</v>
      </c>
      <c r="BM1534" s="4">
        <v>5.91</v>
      </c>
      <c r="BN1534" s="4">
        <v>45.33</v>
      </c>
      <c r="BO1534" s="4">
        <v>45.33</v>
      </c>
      <c r="BR1534" t="s">
        <v>84</v>
      </c>
      <c r="BS1534" s="3">
        <v>43784</v>
      </c>
      <c r="BT1534" s="5">
        <v>0.41666666666666669</v>
      </c>
      <c r="BU1534" t="s">
        <v>2009</v>
      </c>
      <c r="BV1534" t="s">
        <v>89</v>
      </c>
      <c r="BW1534" t="s">
        <v>319</v>
      </c>
      <c r="BX1534" t="s">
        <v>1323</v>
      </c>
      <c r="BY1534">
        <v>1200</v>
      </c>
      <c r="CC1534" t="s">
        <v>483</v>
      </c>
      <c r="CD1534">
        <v>1460</v>
      </c>
      <c r="CE1534" t="s">
        <v>147</v>
      </c>
      <c r="CF1534" s="3">
        <v>43787</v>
      </c>
      <c r="CI1534">
        <v>1</v>
      </c>
      <c r="CJ1534">
        <v>2</v>
      </c>
      <c r="CK1534">
        <v>22</v>
      </c>
      <c r="CL1534" t="s">
        <v>89</v>
      </c>
    </row>
    <row r="1535" spans="1:90">
      <c r="A1535" t="s">
        <v>72</v>
      </c>
      <c r="B1535" t="s">
        <v>73</v>
      </c>
      <c r="C1535" t="s">
        <v>74</v>
      </c>
      <c r="E1535" t="str">
        <f>"FES1162722816"</f>
        <v>FES1162722816</v>
      </c>
      <c r="F1535" s="3">
        <v>43782</v>
      </c>
      <c r="G1535">
        <v>202005</v>
      </c>
      <c r="H1535" t="s">
        <v>75</v>
      </c>
      <c r="I1535" t="s">
        <v>76</v>
      </c>
      <c r="J1535" t="s">
        <v>77</v>
      </c>
      <c r="K1535" t="s">
        <v>78</v>
      </c>
      <c r="L1535" t="s">
        <v>124</v>
      </c>
      <c r="M1535" t="s">
        <v>125</v>
      </c>
      <c r="N1535" t="s">
        <v>1876</v>
      </c>
      <c r="O1535" t="s">
        <v>82</v>
      </c>
      <c r="P1535" t="str">
        <f>"2170714554                    "</f>
        <v xml:space="preserve">2170714554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6.71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 s="4">
        <v>39.42</v>
      </c>
      <c r="BM1535" s="4">
        <v>5.91</v>
      </c>
      <c r="BN1535" s="4">
        <v>45.33</v>
      </c>
      <c r="BO1535" s="4">
        <v>45.33</v>
      </c>
      <c r="BQ1535" t="s">
        <v>121</v>
      </c>
      <c r="BR1535" t="s">
        <v>84</v>
      </c>
      <c r="BS1535" s="3">
        <v>43783</v>
      </c>
      <c r="BT1535" s="5">
        <v>0.33333333333333331</v>
      </c>
      <c r="BU1535" t="s">
        <v>1990</v>
      </c>
      <c r="BV1535" t="s">
        <v>86</v>
      </c>
      <c r="BY1535">
        <v>1200</v>
      </c>
      <c r="CA1535" t="s">
        <v>1991</v>
      </c>
      <c r="CC1535" t="s">
        <v>125</v>
      </c>
      <c r="CD1535">
        <v>2157</v>
      </c>
      <c r="CE1535" t="s">
        <v>147</v>
      </c>
      <c r="CF1535" s="3">
        <v>43784</v>
      </c>
      <c r="CI1535">
        <v>1</v>
      </c>
      <c r="CJ1535">
        <v>1</v>
      </c>
      <c r="CK1535">
        <v>22</v>
      </c>
      <c r="CL1535" t="s">
        <v>89</v>
      </c>
    </row>
    <row r="1536" spans="1:90">
      <c r="A1536" t="s">
        <v>72</v>
      </c>
      <c r="B1536" t="s">
        <v>73</v>
      </c>
      <c r="C1536" t="s">
        <v>74</v>
      </c>
      <c r="E1536" t="str">
        <f>"FES1162722932"</f>
        <v>FES1162722932</v>
      </c>
      <c r="F1536" s="3">
        <v>43782</v>
      </c>
      <c r="G1536">
        <v>202005</v>
      </c>
      <c r="H1536" t="s">
        <v>75</v>
      </c>
      <c r="I1536" t="s">
        <v>76</v>
      </c>
      <c r="J1536" t="s">
        <v>77</v>
      </c>
      <c r="K1536" t="s">
        <v>78</v>
      </c>
      <c r="L1536" t="s">
        <v>133</v>
      </c>
      <c r="M1536" t="s">
        <v>134</v>
      </c>
      <c r="N1536" t="s">
        <v>310</v>
      </c>
      <c r="O1536" t="s">
        <v>82</v>
      </c>
      <c r="P1536" t="str">
        <f>"2170717023                    "</f>
        <v xml:space="preserve">2170717023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8.58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 s="4">
        <v>50.45</v>
      </c>
      <c r="BM1536" s="4">
        <v>7.57</v>
      </c>
      <c r="BN1536" s="4">
        <v>58.02</v>
      </c>
      <c r="BO1536" s="4">
        <v>58.02</v>
      </c>
      <c r="BQ1536" t="s">
        <v>121</v>
      </c>
      <c r="BR1536" t="s">
        <v>84</v>
      </c>
      <c r="BS1536" s="3">
        <v>43783</v>
      </c>
      <c r="BT1536" s="5">
        <v>0.43402777777777773</v>
      </c>
      <c r="BU1536" t="s">
        <v>911</v>
      </c>
      <c r="BV1536" t="s">
        <v>86</v>
      </c>
      <c r="BY1536">
        <v>1200</v>
      </c>
      <c r="CA1536" t="s">
        <v>137</v>
      </c>
      <c r="CC1536" t="s">
        <v>134</v>
      </c>
      <c r="CD1536">
        <v>5201</v>
      </c>
      <c r="CE1536" t="s">
        <v>147</v>
      </c>
      <c r="CF1536" s="3">
        <v>43787</v>
      </c>
      <c r="CI1536">
        <v>1</v>
      </c>
      <c r="CJ1536">
        <v>1</v>
      </c>
      <c r="CK1536">
        <v>21</v>
      </c>
      <c r="CL1536" t="s">
        <v>89</v>
      </c>
    </row>
    <row r="1537" spans="1:90">
      <c r="A1537" t="s">
        <v>72</v>
      </c>
      <c r="B1537" t="s">
        <v>73</v>
      </c>
      <c r="C1537" t="s">
        <v>74</v>
      </c>
      <c r="E1537" t="str">
        <f>"FES1162722828"</f>
        <v>FES1162722828</v>
      </c>
      <c r="F1537" s="3">
        <v>43782</v>
      </c>
      <c r="G1537">
        <v>202005</v>
      </c>
      <c r="H1537" t="s">
        <v>75</v>
      </c>
      <c r="I1537" t="s">
        <v>76</v>
      </c>
      <c r="J1537" t="s">
        <v>77</v>
      </c>
      <c r="K1537" t="s">
        <v>78</v>
      </c>
      <c r="L1537" t="s">
        <v>90</v>
      </c>
      <c r="M1537" t="s">
        <v>91</v>
      </c>
      <c r="N1537" t="s">
        <v>538</v>
      </c>
      <c r="O1537" t="s">
        <v>82</v>
      </c>
      <c r="P1537" t="str">
        <f>"2170716920                    "</f>
        <v xml:space="preserve">2170716920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17.16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3.9</v>
      </c>
      <c r="BJ1537">
        <v>2</v>
      </c>
      <c r="BK1537">
        <v>4</v>
      </c>
      <c r="BL1537" s="4">
        <v>100.87</v>
      </c>
      <c r="BM1537" s="4">
        <v>15.13</v>
      </c>
      <c r="BN1537" s="4">
        <v>116</v>
      </c>
      <c r="BO1537" s="4">
        <v>116</v>
      </c>
      <c r="BQ1537" t="s">
        <v>109</v>
      </c>
      <c r="BR1537" t="s">
        <v>84</v>
      </c>
      <c r="BS1537" s="3">
        <v>43783</v>
      </c>
      <c r="BT1537" s="5">
        <v>0.32500000000000001</v>
      </c>
      <c r="BU1537" t="s">
        <v>1955</v>
      </c>
      <c r="BV1537" t="s">
        <v>86</v>
      </c>
      <c r="BY1537">
        <v>10016.91</v>
      </c>
      <c r="CA1537" t="s">
        <v>140</v>
      </c>
      <c r="CC1537" t="s">
        <v>91</v>
      </c>
      <c r="CD1537">
        <v>7530</v>
      </c>
      <c r="CE1537" t="s">
        <v>88</v>
      </c>
      <c r="CF1537" s="3">
        <v>43784</v>
      </c>
      <c r="CI1537">
        <v>1</v>
      </c>
      <c r="CJ1537">
        <v>1</v>
      </c>
      <c r="CK1537">
        <v>21</v>
      </c>
      <c r="CL1537" t="s">
        <v>89</v>
      </c>
    </row>
    <row r="1538" spans="1:90">
      <c r="A1538" t="s">
        <v>72</v>
      </c>
      <c r="B1538" t="s">
        <v>73</v>
      </c>
      <c r="C1538" t="s">
        <v>74</v>
      </c>
      <c r="E1538" t="str">
        <f>"FES1162722725"</f>
        <v>FES1162722725</v>
      </c>
      <c r="F1538" s="3">
        <v>43782</v>
      </c>
      <c r="G1538">
        <v>202005</v>
      </c>
      <c r="H1538" t="s">
        <v>75</v>
      </c>
      <c r="I1538" t="s">
        <v>76</v>
      </c>
      <c r="J1538" t="s">
        <v>77</v>
      </c>
      <c r="K1538" t="s">
        <v>78</v>
      </c>
      <c r="L1538" t="s">
        <v>101</v>
      </c>
      <c r="M1538" t="s">
        <v>102</v>
      </c>
      <c r="N1538" t="s">
        <v>1857</v>
      </c>
      <c r="O1538" t="s">
        <v>82</v>
      </c>
      <c r="P1538" t="str">
        <f>"2170714534                    "</f>
        <v xml:space="preserve">2170714534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8.58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 s="4">
        <v>50.45</v>
      </c>
      <c r="BM1538" s="4">
        <v>7.57</v>
      </c>
      <c r="BN1538" s="4">
        <v>58.02</v>
      </c>
      <c r="BO1538" s="4">
        <v>58.02</v>
      </c>
      <c r="BQ1538" t="s">
        <v>109</v>
      </c>
      <c r="BR1538" t="s">
        <v>84</v>
      </c>
      <c r="BS1538" s="3">
        <v>43783</v>
      </c>
      <c r="BT1538" s="5">
        <v>0.36458333333333331</v>
      </c>
      <c r="BU1538" t="s">
        <v>480</v>
      </c>
      <c r="BV1538" t="s">
        <v>86</v>
      </c>
      <c r="BY1538">
        <v>1200</v>
      </c>
      <c r="CA1538" t="s">
        <v>1295</v>
      </c>
      <c r="CC1538" t="s">
        <v>102</v>
      </c>
      <c r="CD1538">
        <v>200</v>
      </c>
      <c r="CE1538" t="s">
        <v>147</v>
      </c>
      <c r="CF1538" s="3">
        <v>43784</v>
      </c>
      <c r="CI1538">
        <v>1</v>
      </c>
      <c r="CJ1538">
        <v>1</v>
      </c>
      <c r="CK1538">
        <v>21</v>
      </c>
      <c r="CL1538" t="s">
        <v>89</v>
      </c>
    </row>
    <row r="1539" spans="1:90">
      <c r="A1539" t="s">
        <v>72</v>
      </c>
      <c r="B1539" t="s">
        <v>73</v>
      </c>
      <c r="C1539" t="s">
        <v>74</v>
      </c>
      <c r="E1539" t="str">
        <f>"FES1162722660"</f>
        <v>FES1162722660</v>
      </c>
      <c r="F1539" s="3">
        <v>43782</v>
      </c>
      <c r="G1539">
        <v>202005</v>
      </c>
      <c r="H1539" t="s">
        <v>75</v>
      </c>
      <c r="I1539" t="s">
        <v>76</v>
      </c>
      <c r="J1539" t="s">
        <v>77</v>
      </c>
      <c r="K1539" t="s">
        <v>78</v>
      </c>
      <c r="L1539" t="s">
        <v>214</v>
      </c>
      <c r="M1539" t="s">
        <v>214</v>
      </c>
      <c r="N1539" t="s">
        <v>1523</v>
      </c>
      <c r="O1539" t="s">
        <v>82</v>
      </c>
      <c r="P1539" t="str">
        <f>"2170711654                    "</f>
        <v xml:space="preserve">2170711654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46.67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5.9</v>
      </c>
      <c r="BJ1539">
        <v>2.9</v>
      </c>
      <c r="BK1539">
        <v>6</v>
      </c>
      <c r="BL1539" s="4">
        <v>274.35000000000002</v>
      </c>
      <c r="BM1539" s="4">
        <v>41.15</v>
      </c>
      <c r="BN1539" s="4">
        <v>315.5</v>
      </c>
      <c r="BO1539" s="4">
        <v>315.5</v>
      </c>
      <c r="BQ1539" t="s">
        <v>121</v>
      </c>
      <c r="BR1539" t="s">
        <v>84</v>
      </c>
      <c r="BS1539" s="3">
        <v>43783</v>
      </c>
      <c r="BT1539" s="5">
        <v>0.49722222222222223</v>
      </c>
      <c r="BU1539" t="s">
        <v>706</v>
      </c>
      <c r="BV1539" t="s">
        <v>86</v>
      </c>
      <c r="BY1539">
        <v>14530.43</v>
      </c>
      <c r="CA1539" t="s">
        <v>217</v>
      </c>
      <c r="CC1539" t="s">
        <v>214</v>
      </c>
      <c r="CD1539">
        <v>7646</v>
      </c>
      <c r="CE1539" t="s">
        <v>88</v>
      </c>
      <c r="CF1539" s="3">
        <v>43784</v>
      </c>
      <c r="CI1539">
        <v>1</v>
      </c>
      <c r="CJ1539">
        <v>1</v>
      </c>
      <c r="CK1539">
        <v>23</v>
      </c>
      <c r="CL1539" t="s">
        <v>89</v>
      </c>
    </row>
    <row r="1540" spans="1:90">
      <c r="A1540" t="s">
        <v>72</v>
      </c>
      <c r="B1540" t="s">
        <v>73</v>
      </c>
      <c r="C1540" t="s">
        <v>74</v>
      </c>
      <c r="E1540" t="str">
        <f>"FES1162722737"</f>
        <v>FES1162722737</v>
      </c>
      <c r="F1540" s="3">
        <v>43782</v>
      </c>
      <c r="G1540">
        <v>202005</v>
      </c>
      <c r="H1540" t="s">
        <v>75</v>
      </c>
      <c r="I1540" t="s">
        <v>76</v>
      </c>
      <c r="J1540" t="s">
        <v>77</v>
      </c>
      <c r="K1540" t="s">
        <v>78</v>
      </c>
      <c r="L1540" t="s">
        <v>176</v>
      </c>
      <c r="M1540" t="s">
        <v>177</v>
      </c>
      <c r="N1540" t="s">
        <v>1209</v>
      </c>
      <c r="O1540" t="s">
        <v>82</v>
      </c>
      <c r="P1540" t="str">
        <f>"2170714722                    "</f>
        <v xml:space="preserve">2170714722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25.74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5.7</v>
      </c>
      <c r="BJ1540">
        <v>1.1000000000000001</v>
      </c>
      <c r="BK1540">
        <v>6</v>
      </c>
      <c r="BL1540" s="4">
        <v>151.29</v>
      </c>
      <c r="BM1540" s="4">
        <v>22.69</v>
      </c>
      <c r="BN1540" s="4">
        <v>173.98</v>
      </c>
      <c r="BO1540" s="4">
        <v>173.98</v>
      </c>
      <c r="BQ1540" t="s">
        <v>121</v>
      </c>
      <c r="BR1540" t="s">
        <v>84</v>
      </c>
      <c r="BS1540" s="3">
        <v>43784</v>
      </c>
      <c r="BT1540" s="5">
        <v>0.35555555555555557</v>
      </c>
      <c r="BU1540" t="s">
        <v>2010</v>
      </c>
      <c r="BV1540" t="s">
        <v>89</v>
      </c>
      <c r="BW1540" t="s">
        <v>144</v>
      </c>
      <c r="BX1540" t="s">
        <v>961</v>
      </c>
      <c r="BY1540">
        <v>5264.42</v>
      </c>
      <c r="CA1540" t="s">
        <v>224</v>
      </c>
      <c r="CC1540" t="s">
        <v>177</v>
      </c>
      <c r="CD1540">
        <v>3600</v>
      </c>
      <c r="CE1540" t="s">
        <v>88</v>
      </c>
      <c r="CF1540" s="3">
        <v>43787</v>
      </c>
      <c r="CI1540">
        <v>1</v>
      </c>
      <c r="CJ1540">
        <v>2</v>
      </c>
      <c r="CK1540">
        <v>21</v>
      </c>
      <c r="CL1540" t="s">
        <v>89</v>
      </c>
    </row>
    <row r="1541" spans="1:90">
      <c r="A1541" t="s">
        <v>72</v>
      </c>
      <c r="B1541" t="s">
        <v>73</v>
      </c>
      <c r="C1541" t="s">
        <v>74</v>
      </c>
      <c r="E1541" t="str">
        <f>"FES1162722826"</f>
        <v>FES1162722826</v>
      </c>
      <c r="F1541" s="3">
        <v>43782</v>
      </c>
      <c r="G1541">
        <v>202005</v>
      </c>
      <c r="H1541" t="s">
        <v>75</v>
      </c>
      <c r="I1541" t="s">
        <v>76</v>
      </c>
      <c r="J1541" t="s">
        <v>77</v>
      </c>
      <c r="K1541" t="s">
        <v>78</v>
      </c>
      <c r="L1541" t="s">
        <v>90</v>
      </c>
      <c r="M1541" t="s">
        <v>91</v>
      </c>
      <c r="N1541" t="s">
        <v>1952</v>
      </c>
      <c r="O1541" t="s">
        <v>82</v>
      </c>
      <c r="P1541" t="str">
        <f>"2170715514                    "</f>
        <v xml:space="preserve">2170715514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15.02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3.4</v>
      </c>
      <c r="BJ1541">
        <v>1.3</v>
      </c>
      <c r="BK1541">
        <v>3.5</v>
      </c>
      <c r="BL1541" s="4">
        <v>88.27</v>
      </c>
      <c r="BM1541" s="4">
        <v>13.24</v>
      </c>
      <c r="BN1541" s="4">
        <v>101.51</v>
      </c>
      <c r="BO1541" s="4">
        <v>101.51</v>
      </c>
      <c r="BQ1541" t="s">
        <v>142</v>
      </c>
      <c r="BR1541" t="s">
        <v>84</v>
      </c>
      <c r="BS1541" s="3">
        <v>43783</v>
      </c>
      <c r="BT1541" s="5">
        <v>0.4201388888888889</v>
      </c>
      <c r="BU1541" t="s">
        <v>1953</v>
      </c>
      <c r="BV1541" t="s">
        <v>86</v>
      </c>
      <c r="BY1541">
        <v>6477.02</v>
      </c>
      <c r="CA1541" t="s">
        <v>680</v>
      </c>
      <c r="CC1541" t="s">
        <v>91</v>
      </c>
      <c r="CD1541">
        <v>7500</v>
      </c>
      <c r="CE1541" t="s">
        <v>88</v>
      </c>
      <c r="CF1541" s="3">
        <v>43784</v>
      </c>
      <c r="CI1541">
        <v>1</v>
      </c>
      <c r="CJ1541">
        <v>1</v>
      </c>
      <c r="CK1541">
        <v>21</v>
      </c>
      <c r="CL1541" t="s">
        <v>89</v>
      </c>
    </row>
    <row r="1542" spans="1:90">
      <c r="A1542" t="s">
        <v>72</v>
      </c>
      <c r="B1542" t="s">
        <v>73</v>
      </c>
      <c r="C1542" t="s">
        <v>74</v>
      </c>
      <c r="E1542" t="str">
        <f>"FES1162722804"</f>
        <v>FES1162722804</v>
      </c>
      <c r="F1542" s="3">
        <v>43782</v>
      </c>
      <c r="G1542">
        <v>202005</v>
      </c>
      <c r="H1542" t="s">
        <v>75</v>
      </c>
      <c r="I1542" t="s">
        <v>76</v>
      </c>
      <c r="J1542" t="s">
        <v>77</v>
      </c>
      <c r="K1542" t="s">
        <v>78</v>
      </c>
      <c r="L1542" t="s">
        <v>75</v>
      </c>
      <c r="M1542" t="s">
        <v>76</v>
      </c>
      <c r="N1542" t="s">
        <v>2011</v>
      </c>
      <c r="O1542" t="s">
        <v>82</v>
      </c>
      <c r="P1542" t="str">
        <f>"2170714346                    "</f>
        <v xml:space="preserve">2170714346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13.94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6.1</v>
      </c>
      <c r="BJ1542">
        <v>2.7</v>
      </c>
      <c r="BK1542">
        <v>6.5</v>
      </c>
      <c r="BL1542" s="4">
        <v>81.93</v>
      </c>
      <c r="BM1542" s="4">
        <v>12.29</v>
      </c>
      <c r="BN1542" s="4">
        <v>94.22</v>
      </c>
      <c r="BO1542" s="4">
        <v>94.22</v>
      </c>
      <c r="BQ1542" t="s">
        <v>142</v>
      </c>
      <c r="BR1542" t="s">
        <v>84</v>
      </c>
      <c r="BS1542" s="3">
        <v>43783</v>
      </c>
      <c r="BT1542" s="5">
        <v>0.4375</v>
      </c>
      <c r="BU1542" t="s">
        <v>2012</v>
      </c>
      <c r="BV1542" t="s">
        <v>86</v>
      </c>
      <c r="BY1542">
        <v>13643.52</v>
      </c>
      <c r="CA1542" t="s">
        <v>797</v>
      </c>
      <c r="CC1542" t="s">
        <v>76</v>
      </c>
      <c r="CD1542">
        <v>1645</v>
      </c>
      <c r="CE1542" t="s">
        <v>88</v>
      </c>
      <c r="CF1542" s="3">
        <v>43784</v>
      </c>
      <c r="CI1542">
        <v>1</v>
      </c>
      <c r="CJ1542">
        <v>1</v>
      </c>
      <c r="CK1542">
        <v>22</v>
      </c>
      <c r="CL1542" t="s">
        <v>89</v>
      </c>
    </row>
    <row r="1543" spans="1:90">
      <c r="A1543" t="s">
        <v>72</v>
      </c>
      <c r="B1543" t="s">
        <v>73</v>
      </c>
      <c r="C1543" t="s">
        <v>74</v>
      </c>
      <c r="E1543" t="str">
        <f>"FES1162722776"</f>
        <v>FES1162722776</v>
      </c>
      <c r="F1543" s="3">
        <v>43782</v>
      </c>
      <c r="G1543">
        <v>202005</v>
      </c>
      <c r="H1543" t="s">
        <v>75</v>
      </c>
      <c r="I1543" t="s">
        <v>76</v>
      </c>
      <c r="J1543" t="s">
        <v>77</v>
      </c>
      <c r="K1543" t="s">
        <v>78</v>
      </c>
      <c r="L1543" t="s">
        <v>172</v>
      </c>
      <c r="M1543" t="s">
        <v>173</v>
      </c>
      <c r="N1543" t="s">
        <v>174</v>
      </c>
      <c r="O1543" t="s">
        <v>82</v>
      </c>
      <c r="P1543" t="str">
        <f>"2170716670                    "</f>
        <v xml:space="preserve">2170716670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12.07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1.3</v>
      </c>
      <c r="BJ1543">
        <v>1.8</v>
      </c>
      <c r="BK1543">
        <v>2</v>
      </c>
      <c r="BL1543" s="4">
        <v>70.95</v>
      </c>
      <c r="BM1543" s="4">
        <v>10.64</v>
      </c>
      <c r="BN1543" s="4">
        <v>81.59</v>
      </c>
      <c r="BO1543" s="4">
        <v>81.59</v>
      </c>
      <c r="BQ1543" t="s">
        <v>109</v>
      </c>
      <c r="BR1543" t="s">
        <v>84</v>
      </c>
      <c r="BS1543" s="3">
        <v>43783</v>
      </c>
      <c r="BT1543" s="5">
        <v>0.42708333333333331</v>
      </c>
      <c r="BU1543" t="s">
        <v>694</v>
      </c>
      <c r="BV1543" t="s">
        <v>86</v>
      </c>
      <c r="BY1543">
        <v>8926.5</v>
      </c>
      <c r="CC1543" t="s">
        <v>173</v>
      </c>
      <c r="CD1543">
        <v>1739</v>
      </c>
      <c r="CE1543" t="s">
        <v>88</v>
      </c>
      <c r="CF1543" s="3">
        <v>43784</v>
      </c>
      <c r="CI1543">
        <v>1</v>
      </c>
      <c r="CJ1543">
        <v>1</v>
      </c>
      <c r="CK1543">
        <v>24</v>
      </c>
      <c r="CL1543" t="s">
        <v>89</v>
      </c>
    </row>
    <row r="1544" spans="1:90">
      <c r="A1544" t="s">
        <v>72</v>
      </c>
      <c r="B1544" t="s">
        <v>73</v>
      </c>
      <c r="C1544" t="s">
        <v>74</v>
      </c>
      <c r="E1544" t="str">
        <f>"FES1162722695"</f>
        <v>FES1162722695</v>
      </c>
      <c r="F1544" s="3">
        <v>43782</v>
      </c>
      <c r="G1544">
        <v>202005</v>
      </c>
      <c r="H1544" t="s">
        <v>75</v>
      </c>
      <c r="I1544" t="s">
        <v>76</v>
      </c>
      <c r="J1544" t="s">
        <v>77</v>
      </c>
      <c r="K1544" t="s">
        <v>78</v>
      </c>
      <c r="L1544" t="s">
        <v>662</v>
      </c>
      <c r="M1544" t="s">
        <v>663</v>
      </c>
      <c r="N1544" t="s">
        <v>664</v>
      </c>
      <c r="O1544" t="s">
        <v>82</v>
      </c>
      <c r="P1544" t="str">
        <f>"2170714280                    "</f>
        <v xml:space="preserve">2170714280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42.92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2.8</v>
      </c>
      <c r="BJ1544">
        <v>5.0999999999999996</v>
      </c>
      <c r="BK1544">
        <v>5.5</v>
      </c>
      <c r="BL1544" s="4">
        <v>252.28</v>
      </c>
      <c r="BM1544" s="4">
        <v>37.840000000000003</v>
      </c>
      <c r="BN1544" s="4">
        <v>290.12</v>
      </c>
      <c r="BO1544" s="4">
        <v>290.12</v>
      </c>
      <c r="BQ1544" t="s">
        <v>121</v>
      </c>
      <c r="BR1544" t="s">
        <v>84</v>
      </c>
      <c r="BS1544" s="3">
        <v>43783</v>
      </c>
      <c r="BT1544" s="5">
        <v>0.41666666666666669</v>
      </c>
      <c r="BU1544" t="s">
        <v>2013</v>
      </c>
      <c r="BV1544" t="s">
        <v>86</v>
      </c>
      <c r="BY1544">
        <v>25450.45</v>
      </c>
      <c r="CC1544" t="s">
        <v>663</v>
      </c>
      <c r="CD1544">
        <v>6506</v>
      </c>
      <c r="CE1544" t="s">
        <v>88</v>
      </c>
      <c r="CF1544" s="3">
        <v>43787</v>
      </c>
      <c r="CI1544">
        <v>1</v>
      </c>
      <c r="CJ1544">
        <v>1</v>
      </c>
      <c r="CK1544">
        <v>23</v>
      </c>
      <c r="CL1544" t="s">
        <v>89</v>
      </c>
    </row>
    <row r="1545" spans="1:90">
      <c r="A1545" t="s">
        <v>72</v>
      </c>
      <c r="B1545" t="s">
        <v>73</v>
      </c>
      <c r="C1545" t="s">
        <v>74</v>
      </c>
      <c r="E1545" t="str">
        <f>"FES1162722910"</f>
        <v>FES1162722910</v>
      </c>
      <c r="F1545" s="3">
        <v>43782</v>
      </c>
      <c r="G1545">
        <v>202005</v>
      </c>
      <c r="H1545" t="s">
        <v>75</v>
      </c>
      <c r="I1545" t="s">
        <v>76</v>
      </c>
      <c r="J1545" t="s">
        <v>77</v>
      </c>
      <c r="K1545" t="s">
        <v>78</v>
      </c>
      <c r="L1545" t="s">
        <v>482</v>
      </c>
      <c r="M1545" t="s">
        <v>483</v>
      </c>
      <c r="N1545" t="s">
        <v>1734</v>
      </c>
      <c r="O1545" t="s">
        <v>82</v>
      </c>
      <c r="P1545" t="str">
        <f>"2170716506                    "</f>
        <v xml:space="preserve">2170716506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6.71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1.5</v>
      </c>
      <c r="BJ1545">
        <v>0.9</v>
      </c>
      <c r="BK1545">
        <v>1.5</v>
      </c>
      <c r="BL1545" s="4">
        <v>39.42</v>
      </c>
      <c r="BM1545" s="4">
        <v>5.91</v>
      </c>
      <c r="BN1545" s="4">
        <v>45.33</v>
      </c>
      <c r="BO1545" s="4">
        <v>45.33</v>
      </c>
      <c r="BQ1545" t="s">
        <v>121</v>
      </c>
      <c r="BR1545" t="s">
        <v>84</v>
      </c>
      <c r="BS1545" s="3">
        <v>43783</v>
      </c>
      <c r="BT1545" s="5">
        <v>0.31736111111111115</v>
      </c>
      <c r="BU1545" t="s">
        <v>2014</v>
      </c>
      <c r="BV1545" t="s">
        <v>86</v>
      </c>
      <c r="BY1545">
        <v>4715.57</v>
      </c>
      <c r="CA1545" t="s">
        <v>486</v>
      </c>
      <c r="CC1545" t="s">
        <v>483</v>
      </c>
      <c r="CD1545">
        <v>1459</v>
      </c>
      <c r="CE1545" t="s">
        <v>88</v>
      </c>
      <c r="CF1545" s="3">
        <v>43784</v>
      </c>
      <c r="CI1545">
        <v>1</v>
      </c>
      <c r="CJ1545">
        <v>1</v>
      </c>
      <c r="CK1545">
        <v>22</v>
      </c>
      <c r="CL1545" t="s">
        <v>89</v>
      </c>
    </row>
    <row r="1546" spans="1:90">
      <c r="A1546" t="s">
        <v>72</v>
      </c>
      <c r="B1546" t="s">
        <v>73</v>
      </c>
      <c r="C1546" t="s">
        <v>74</v>
      </c>
      <c r="E1546" t="str">
        <f>"FES1162722673"</f>
        <v>FES1162722673</v>
      </c>
      <c r="F1546" s="3">
        <v>43782</v>
      </c>
      <c r="G1546">
        <v>202005</v>
      </c>
      <c r="H1546" t="s">
        <v>75</v>
      </c>
      <c r="I1546" t="s">
        <v>76</v>
      </c>
      <c r="J1546" t="s">
        <v>77</v>
      </c>
      <c r="K1546" t="s">
        <v>78</v>
      </c>
      <c r="L1546" t="s">
        <v>176</v>
      </c>
      <c r="M1546" t="s">
        <v>177</v>
      </c>
      <c r="N1546" t="s">
        <v>598</v>
      </c>
      <c r="O1546" t="s">
        <v>82</v>
      </c>
      <c r="P1546" t="str">
        <f>"2170714172                    "</f>
        <v xml:space="preserve">2170714172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32.17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7.2</v>
      </c>
      <c r="BJ1546">
        <v>2.6</v>
      </c>
      <c r="BK1546">
        <v>7.5</v>
      </c>
      <c r="BL1546" s="4">
        <v>189.1</v>
      </c>
      <c r="BM1546" s="4">
        <v>28.37</v>
      </c>
      <c r="BN1546" s="4">
        <v>217.47</v>
      </c>
      <c r="BO1546" s="4">
        <v>217.47</v>
      </c>
      <c r="BQ1546" t="s">
        <v>121</v>
      </c>
      <c r="BR1546" t="s">
        <v>84</v>
      </c>
      <c r="BS1546" s="3">
        <v>43783</v>
      </c>
      <c r="BT1546" s="5">
        <v>0.41597222222222219</v>
      </c>
      <c r="BU1546" t="s">
        <v>599</v>
      </c>
      <c r="BV1546" t="s">
        <v>86</v>
      </c>
      <c r="BY1546">
        <v>13046.07</v>
      </c>
      <c r="CA1546" t="s">
        <v>224</v>
      </c>
      <c r="CC1546" t="s">
        <v>177</v>
      </c>
      <c r="CD1546">
        <v>3610</v>
      </c>
      <c r="CE1546" t="s">
        <v>88</v>
      </c>
      <c r="CF1546" s="3">
        <v>43784</v>
      </c>
      <c r="CI1546">
        <v>1</v>
      </c>
      <c r="CJ1546">
        <v>1</v>
      </c>
      <c r="CK1546">
        <v>21</v>
      </c>
      <c r="CL1546" t="s">
        <v>89</v>
      </c>
    </row>
    <row r="1547" spans="1:90">
      <c r="A1547" t="s">
        <v>72</v>
      </c>
      <c r="B1547" t="s">
        <v>73</v>
      </c>
      <c r="C1547" t="s">
        <v>74</v>
      </c>
      <c r="E1547" t="str">
        <f>"FES1162722838"</f>
        <v>FES1162722838</v>
      </c>
      <c r="F1547" s="3">
        <v>43782</v>
      </c>
      <c r="G1547">
        <v>202005</v>
      </c>
      <c r="H1547" t="s">
        <v>75</v>
      </c>
      <c r="I1547" t="s">
        <v>76</v>
      </c>
      <c r="J1547" t="s">
        <v>77</v>
      </c>
      <c r="K1547" t="s">
        <v>78</v>
      </c>
      <c r="L1547" t="s">
        <v>124</v>
      </c>
      <c r="M1547" t="s">
        <v>125</v>
      </c>
      <c r="N1547" t="s">
        <v>218</v>
      </c>
      <c r="O1547" t="s">
        <v>82</v>
      </c>
      <c r="P1547" t="str">
        <f>"2170716930                    "</f>
        <v xml:space="preserve">2170716930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21.17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10.6</v>
      </c>
      <c r="BJ1547">
        <v>10.199999999999999</v>
      </c>
      <c r="BK1547">
        <v>11</v>
      </c>
      <c r="BL1547" s="4">
        <v>124.44</v>
      </c>
      <c r="BM1547" s="4">
        <v>18.670000000000002</v>
      </c>
      <c r="BN1547" s="4">
        <v>143.11000000000001</v>
      </c>
      <c r="BO1547" s="4">
        <v>143.11000000000001</v>
      </c>
      <c r="BQ1547" t="s">
        <v>121</v>
      </c>
      <c r="BR1547" t="s">
        <v>84</v>
      </c>
      <c r="BS1547" s="3">
        <v>43783</v>
      </c>
      <c r="BT1547" s="5">
        <v>0.41180555555555554</v>
      </c>
      <c r="BU1547" t="s">
        <v>1908</v>
      </c>
      <c r="BV1547" t="s">
        <v>86</v>
      </c>
      <c r="BY1547">
        <v>50903.33</v>
      </c>
      <c r="CA1547" t="s">
        <v>837</v>
      </c>
      <c r="CC1547" t="s">
        <v>125</v>
      </c>
      <c r="CD1547">
        <v>2094</v>
      </c>
      <c r="CE1547" t="s">
        <v>88</v>
      </c>
      <c r="CF1547" s="3">
        <v>43784</v>
      </c>
      <c r="CI1547">
        <v>1</v>
      </c>
      <c r="CJ1547">
        <v>1</v>
      </c>
      <c r="CK1547">
        <v>22</v>
      </c>
      <c r="CL1547" t="s">
        <v>89</v>
      </c>
    </row>
    <row r="1548" spans="1:90">
      <c r="A1548" t="s">
        <v>72</v>
      </c>
      <c r="B1548" t="s">
        <v>73</v>
      </c>
      <c r="C1548" t="s">
        <v>74</v>
      </c>
      <c r="E1548" t="str">
        <f>"FES1162722676"</f>
        <v>FES1162722676</v>
      </c>
      <c r="F1548" s="3">
        <v>43782</v>
      </c>
      <c r="G1548">
        <v>202005</v>
      </c>
      <c r="H1548" t="s">
        <v>75</v>
      </c>
      <c r="I1548" t="s">
        <v>76</v>
      </c>
      <c r="J1548" t="s">
        <v>77</v>
      </c>
      <c r="K1548" t="s">
        <v>78</v>
      </c>
      <c r="L1548" t="s">
        <v>605</v>
      </c>
      <c r="M1548" t="s">
        <v>606</v>
      </c>
      <c r="N1548" t="s">
        <v>785</v>
      </c>
      <c r="O1548" t="s">
        <v>82</v>
      </c>
      <c r="P1548" t="str">
        <f>"2170714177                    "</f>
        <v xml:space="preserve">2170714177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12.07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2</v>
      </c>
      <c r="BJ1548">
        <v>0.7</v>
      </c>
      <c r="BK1548">
        <v>2</v>
      </c>
      <c r="BL1548" s="4">
        <v>70.95</v>
      </c>
      <c r="BM1548" s="4">
        <v>10.64</v>
      </c>
      <c r="BN1548" s="4">
        <v>81.59</v>
      </c>
      <c r="BO1548" s="4">
        <v>81.59</v>
      </c>
      <c r="BQ1548" t="s">
        <v>109</v>
      </c>
      <c r="BR1548" t="s">
        <v>84</v>
      </c>
      <c r="BS1548" s="3">
        <v>43783</v>
      </c>
      <c r="BT1548" s="5">
        <v>0.55208333333333337</v>
      </c>
      <c r="BU1548" t="s">
        <v>921</v>
      </c>
      <c r="BV1548" t="s">
        <v>86</v>
      </c>
      <c r="BY1548">
        <v>3742.86</v>
      </c>
      <c r="CC1548" t="s">
        <v>606</v>
      </c>
      <c r="CD1548">
        <v>407</v>
      </c>
      <c r="CE1548" t="s">
        <v>88</v>
      </c>
      <c r="CF1548" s="3">
        <v>43784</v>
      </c>
      <c r="CI1548">
        <v>1</v>
      </c>
      <c r="CJ1548">
        <v>1</v>
      </c>
      <c r="CK1548">
        <v>24</v>
      </c>
      <c r="CL1548" t="s">
        <v>89</v>
      </c>
    </row>
    <row r="1549" spans="1:90">
      <c r="A1549" t="s">
        <v>72</v>
      </c>
      <c r="B1549" t="s">
        <v>73</v>
      </c>
      <c r="C1549" t="s">
        <v>74</v>
      </c>
      <c r="E1549" t="str">
        <f>"FES1162722812"</f>
        <v>FES1162722812</v>
      </c>
      <c r="F1549" s="3">
        <v>43782</v>
      </c>
      <c r="G1549">
        <v>202005</v>
      </c>
      <c r="H1549" t="s">
        <v>75</v>
      </c>
      <c r="I1549" t="s">
        <v>76</v>
      </c>
      <c r="J1549" t="s">
        <v>77</v>
      </c>
      <c r="K1549" t="s">
        <v>78</v>
      </c>
      <c r="L1549" t="s">
        <v>75</v>
      </c>
      <c r="M1549" t="s">
        <v>76</v>
      </c>
      <c r="N1549" t="s">
        <v>1116</v>
      </c>
      <c r="O1549" t="s">
        <v>82</v>
      </c>
      <c r="P1549" t="str">
        <f>"2170715547                    "</f>
        <v xml:space="preserve">2170715547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20.37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10.199999999999999</v>
      </c>
      <c r="BJ1549">
        <v>3</v>
      </c>
      <c r="BK1549">
        <v>10.5</v>
      </c>
      <c r="BL1549" s="4">
        <v>119.72</v>
      </c>
      <c r="BM1549" s="4">
        <v>17.96</v>
      </c>
      <c r="BN1549" s="4">
        <v>137.68</v>
      </c>
      <c r="BO1549" s="4">
        <v>137.68</v>
      </c>
      <c r="BQ1549" t="s">
        <v>121</v>
      </c>
      <c r="BR1549" t="s">
        <v>84</v>
      </c>
      <c r="BS1549" s="3">
        <v>43783</v>
      </c>
      <c r="BT1549" s="5">
        <v>0.3263888888888889</v>
      </c>
      <c r="BU1549" t="s">
        <v>2015</v>
      </c>
      <c r="BV1549" t="s">
        <v>86</v>
      </c>
      <c r="BY1549">
        <v>14816.57</v>
      </c>
      <c r="CA1549" t="s">
        <v>238</v>
      </c>
      <c r="CC1549" t="s">
        <v>76</v>
      </c>
      <c r="CD1549">
        <v>1666</v>
      </c>
      <c r="CE1549" t="s">
        <v>88</v>
      </c>
      <c r="CF1549" s="3">
        <v>43784</v>
      </c>
      <c r="CI1549">
        <v>1</v>
      </c>
      <c r="CJ1549">
        <v>1</v>
      </c>
      <c r="CK1549">
        <v>22</v>
      </c>
      <c r="CL1549" t="s">
        <v>89</v>
      </c>
    </row>
    <row r="1550" spans="1:90">
      <c r="A1550" t="s">
        <v>72</v>
      </c>
      <c r="B1550" t="s">
        <v>73</v>
      </c>
      <c r="C1550" t="s">
        <v>74</v>
      </c>
      <c r="E1550" t="str">
        <f>"FES1162722709"</f>
        <v>FES1162722709</v>
      </c>
      <c r="F1550" s="3">
        <v>43782</v>
      </c>
      <c r="G1550">
        <v>202005</v>
      </c>
      <c r="H1550" t="s">
        <v>75</v>
      </c>
      <c r="I1550" t="s">
        <v>76</v>
      </c>
      <c r="J1550" t="s">
        <v>77</v>
      </c>
      <c r="K1550" t="s">
        <v>78</v>
      </c>
      <c r="L1550" t="s">
        <v>101</v>
      </c>
      <c r="M1550" t="s">
        <v>102</v>
      </c>
      <c r="N1550" t="s">
        <v>181</v>
      </c>
      <c r="O1550" t="s">
        <v>82</v>
      </c>
      <c r="P1550" t="str">
        <f>"2170714408                    "</f>
        <v xml:space="preserve">2170714408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12.87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2.8</v>
      </c>
      <c r="BJ1550">
        <v>2.9</v>
      </c>
      <c r="BK1550">
        <v>3</v>
      </c>
      <c r="BL1550" s="4">
        <v>75.66</v>
      </c>
      <c r="BM1550" s="4">
        <v>11.35</v>
      </c>
      <c r="BN1550" s="4">
        <v>87.01</v>
      </c>
      <c r="BO1550" s="4">
        <v>87.01</v>
      </c>
      <c r="BQ1550" t="s">
        <v>121</v>
      </c>
      <c r="BR1550" t="s">
        <v>84</v>
      </c>
      <c r="BS1550" s="3">
        <v>43783</v>
      </c>
      <c r="BT1550" s="5">
        <v>0.35416666666666669</v>
      </c>
      <c r="BU1550" t="s">
        <v>1980</v>
      </c>
      <c r="BV1550" t="s">
        <v>86</v>
      </c>
      <c r="BY1550">
        <v>14484.58</v>
      </c>
      <c r="CA1550" t="s">
        <v>183</v>
      </c>
      <c r="CC1550" t="s">
        <v>102</v>
      </c>
      <c r="CD1550">
        <v>200</v>
      </c>
      <c r="CE1550" t="s">
        <v>88</v>
      </c>
      <c r="CF1550" s="3">
        <v>43784</v>
      </c>
      <c r="CI1550">
        <v>1</v>
      </c>
      <c r="CJ1550">
        <v>1</v>
      </c>
      <c r="CK1550">
        <v>21</v>
      </c>
      <c r="CL1550" t="s">
        <v>89</v>
      </c>
    </row>
    <row r="1551" spans="1:90">
      <c r="A1551" t="s">
        <v>72</v>
      </c>
      <c r="B1551" t="s">
        <v>73</v>
      </c>
      <c r="C1551" t="s">
        <v>74</v>
      </c>
      <c r="E1551" t="str">
        <f>"FES1162722677"</f>
        <v>FES1162722677</v>
      </c>
      <c r="F1551" s="3">
        <v>43782</v>
      </c>
      <c r="G1551">
        <v>202005</v>
      </c>
      <c r="H1551" t="s">
        <v>75</v>
      </c>
      <c r="I1551" t="s">
        <v>76</v>
      </c>
      <c r="J1551" t="s">
        <v>77</v>
      </c>
      <c r="K1551" t="s">
        <v>78</v>
      </c>
      <c r="L1551" t="s">
        <v>101</v>
      </c>
      <c r="M1551" t="s">
        <v>102</v>
      </c>
      <c r="N1551" t="s">
        <v>2016</v>
      </c>
      <c r="O1551" t="s">
        <v>82</v>
      </c>
      <c r="P1551" t="str">
        <f>"2170714179                    "</f>
        <v xml:space="preserve">2170714179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8.58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0.2</v>
      </c>
      <c r="BJ1551">
        <v>0.8</v>
      </c>
      <c r="BK1551">
        <v>1</v>
      </c>
      <c r="BL1551" s="4">
        <v>50.45</v>
      </c>
      <c r="BM1551" s="4">
        <v>7.57</v>
      </c>
      <c r="BN1551" s="4">
        <v>58.02</v>
      </c>
      <c r="BO1551" s="4">
        <v>58.02</v>
      </c>
      <c r="BQ1551" t="s">
        <v>109</v>
      </c>
      <c r="BR1551" t="s">
        <v>84</v>
      </c>
      <c r="BS1551" s="3">
        <v>43783</v>
      </c>
      <c r="BT1551" s="5">
        <v>0.38125000000000003</v>
      </c>
      <c r="BU1551" t="s">
        <v>2017</v>
      </c>
      <c r="BV1551" t="s">
        <v>86</v>
      </c>
      <c r="BY1551">
        <v>3841</v>
      </c>
      <c r="CA1551" t="s">
        <v>183</v>
      </c>
      <c r="CC1551" t="s">
        <v>102</v>
      </c>
      <c r="CD1551">
        <v>200</v>
      </c>
      <c r="CE1551" t="s">
        <v>88</v>
      </c>
      <c r="CF1551" s="3">
        <v>43784</v>
      </c>
      <c r="CI1551">
        <v>1</v>
      </c>
      <c r="CJ1551">
        <v>1</v>
      </c>
      <c r="CK1551">
        <v>21</v>
      </c>
      <c r="CL1551" t="s">
        <v>89</v>
      </c>
    </row>
    <row r="1552" spans="1:90">
      <c r="A1552" t="s">
        <v>72</v>
      </c>
      <c r="B1552" t="s">
        <v>73</v>
      </c>
      <c r="C1552" t="s">
        <v>74</v>
      </c>
      <c r="E1552" t="str">
        <f>"FES1162722837"</f>
        <v>FES1162722837</v>
      </c>
      <c r="F1552" s="3">
        <v>43782</v>
      </c>
      <c r="G1552">
        <v>202005</v>
      </c>
      <c r="H1552" t="s">
        <v>75</v>
      </c>
      <c r="I1552" t="s">
        <v>76</v>
      </c>
      <c r="J1552" t="s">
        <v>77</v>
      </c>
      <c r="K1552" t="s">
        <v>78</v>
      </c>
      <c r="L1552" t="s">
        <v>112</v>
      </c>
      <c r="M1552" t="s">
        <v>113</v>
      </c>
      <c r="N1552" t="s">
        <v>669</v>
      </c>
      <c r="O1552" t="s">
        <v>82</v>
      </c>
      <c r="P1552" t="str">
        <f>"217071929                     "</f>
        <v xml:space="preserve">217071929 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8.58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1</v>
      </c>
      <c r="BK1552">
        <v>1</v>
      </c>
      <c r="BL1552" s="4">
        <v>50.45</v>
      </c>
      <c r="BM1552" s="4">
        <v>7.57</v>
      </c>
      <c r="BN1552" s="4">
        <v>58.02</v>
      </c>
      <c r="BO1552" s="4">
        <v>58.02</v>
      </c>
      <c r="BQ1552" t="s">
        <v>109</v>
      </c>
      <c r="BR1552" t="s">
        <v>84</v>
      </c>
      <c r="BS1552" s="3">
        <v>43783</v>
      </c>
      <c r="BT1552" s="5">
        <v>0.43333333333333335</v>
      </c>
      <c r="BU1552" t="s">
        <v>2018</v>
      </c>
      <c r="BV1552" t="s">
        <v>86</v>
      </c>
      <c r="BY1552">
        <v>4765.29</v>
      </c>
      <c r="CA1552" t="s">
        <v>2019</v>
      </c>
      <c r="CC1552" t="s">
        <v>113</v>
      </c>
      <c r="CD1552">
        <v>4001</v>
      </c>
      <c r="CE1552" t="s">
        <v>88</v>
      </c>
      <c r="CF1552" s="3">
        <v>43783</v>
      </c>
      <c r="CI1552">
        <v>1</v>
      </c>
      <c r="CJ1552">
        <v>1</v>
      </c>
      <c r="CK1552">
        <v>21</v>
      </c>
      <c r="CL1552" t="s">
        <v>89</v>
      </c>
    </row>
    <row r="1553" spans="1:90">
      <c r="A1553" t="s">
        <v>72</v>
      </c>
      <c r="B1553" t="s">
        <v>73</v>
      </c>
      <c r="C1553" t="s">
        <v>74</v>
      </c>
      <c r="E1553" t="str">
        <f>"FES1162722858"</f>
        <v>FES1162722858</v>
      </c>
      <c r="F1553" s="3">
        <v>43782</v>
      </c>
      <c r="G1553">
        <v>202005</v>
      </c>
      <c r="H1553" t="s">
        <v>75</v>
      </c>
      <c r="I1553" t="s">
        <v>76</v>
      </c>
      <c r="J1553" t="s">
        <v>77</v>
      </c>
      <c r="K1553" t="s">
        <v>78</v>
      </c>
      <c r="L1553" t="s">
        <v>106</v>
      </c>
      <c r="M1553" t="s">
        <v>107</v>
      </c>
      <c r="N1553" t="s">
        <v>308</v>
      </c>
      <c r="O1553" t="s">
        <v>82</v>
      </c>
      <c r="P1553" t="str">
        <f>"2170716950                    "</f>
        <v xml:space="preserve">2170716950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10.73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2.1</v>
      </c>
      <c r="BJ1553">
        <v>1.3</v>
      </c>
      <c r="BK1553">
        <v>2.5</v>
      </c>
      <c r="BL1553" s="4">
        <v>63.06</v>
      </c>
      <c r="BM1553" s="4">
        <v>9.4600000000000009</v>
      </c>
      <c r="BN1553" s="4">
        <v>72.52</v>
      </c>
      <c r="BO1553" s="4">
        <v>72.52</v>
      </c>
      <c r="BQ1553" t="s">
        <v>121</v>
      </c>
      <c r="BR1553" t="s">
        <v>84</v>
      </c>
      <c r="BS1553" s="3">
        <v>43783</v>
      </c>
      <c r="BT1553" s="5">
        <v>0.39583333333333331</v>
      </c>
      <c r="BU1553" t="s">
        <v>1568</v>
      </c>
      <c r="BV1553" t="s">
        <v>86</v>
      </c>
      <c r="BY1553">
        <v>6591.49</v>
      </c>
      <c r="CA1553" t="s">
        <v>111</v>
      </c>
      <c r="CC1553" t="s">
        <v>107</v>
      </c>
      <c r="CD1553">
        <v>6001</v>
      </c>
      <c r="CE1553" t="s">
        <v>88</v>
      </c>
      <c r="CF1553" s="3">
        <v>43784</v>
      </c>
      <c r="CI1553">
        <v>1</v>
      </c>
      <c r="CJ1553">
        <v>1</v>
      </c>
      <c r="CK1553">
        <v>21</v>
      </c>
      <c r="CL1553" t="s">
        <v>89</v>
      </c>
    </row>
    <row r="1554" spans="1:90">
      <c r="A1554" t="s">
        <v>72</v>
      </c>
      <c r="B1554" t="s">
        <v>73</v>
      </c>
      <c r="C1554" t="s">
        <v>74</v>
      </c>
      <c r="E1554" t="str">
        <f>"FES11627228741"</f>
        <v>FES11627228741</v>
      </c>
      <c r="F1554" s="3">
        <v>43782</v>
      </c>
      <c r="G1554">
        <v>202005</v>
      </c>
      <c r="H1554" t="s">
        <v>75</v>
      </c>
      <c r="I1554" t="s">
        <v>76</v>
      </c>
      <c r="J1554" t="s">
        <v>77</v>
      </c>
      <c r="K1554" t="s">
        <v>78</v>
      </c>
      <c r="L1554" t="s">
        <v>106</v>
      </c>
      <c r="M1554" t="s">
        <v>107</v>
      </c>
      <c r="N1554" t="s">
        <v>108</v>
      </c>
      <c r="O1554" t="s">
        <v>82</v>
      </c>
      <c r="P1554" t="str">
        <f>"2170716965                    "</f>
        <v xml:space="preserve">2170716965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8.58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1.6</v>
      </c>
      <c r="BJ1554">
        <v>1.3</v>
      </c>
      <c r="BK1554">
        <v>2</v>
      </c>
      <c r="BL1554" s="4">
        <v>50.45</v>
      </c>
      <c r="BM1554" s="4">
        <v>7.57</v>
      </c>
      <c r="BN1554" s="4">
        <v>58.02</v>
      </c>
      <c r="BO1554" s="4">
        <v>58.02</v>
      </c>
      <c r="BQ1554" t="s">
        <v>109</v>
      </c>
      <c r="BR1554" t="s">
        <v>84</v>
      </c>
      <c r="BS1554" s="3">
        <v>43783</v>
      </c>
      <c r="BT1554" s="5">
        <v>0.35972222222222222</v>
      </c>
      <c r="BU1554" t="s">
        <v>1526</v>
      </c>
      <c r="BV1554" t="s">
        <v>86</v>
      </c>
      <c r="BY1554">
        <v>6333.07</v>
      </c>
      <c r="CA1554" t="s">
        <v>111</v>
      </c>
      <c r="CC1554" t="s">
        <v>107</v>
      </c>
      <c r="CD1554">
        <v>6001</v>
      </c>
      <c r="CE1554" t="s">
        <v>88</v>
      </c>
      <c r="CF1554" s="3">
        <v>43784</v>
      </c>
      <c r="CI1554">
        <v>1</v>
      </c>
      <c r="CJ1554">
        <v>1</v>
      </c>
      <c r="CK1554">
        <v>21</v>
      </c>
      <c r="CL1554" t="s">
        <v>89</v>
      </c>
    </row>
    <row r="1555" spans="1:90">
      <c r="A1555" t="s">
        <v>72</v>
      </c>
      <c r="B1555" t="s">
        <v>73</v>
      </c>
      <c r="C1555" t="s">
        <v>74</v>
      </c>
      <c r="E1555" t="str">
        <f>"FES1162722899"</f>
        <v>FES1162722899</v>
      </c>
      <c r="F1555" s="3">
        <v>43782</v>
      </c>
      <c r="G1555">
        <v>202005</v>
      </c>
      <c r="H1555" t="s">
        <v>75</v>
      </c>
      <c r="I1555" t="s">
        <v>76</v>
      </c>
      <c r="J1555" t="s">
        <v>77</v>
      </c>
      <c r="K1555" t="s">
        <v>78</v>
      </c>
      <c r="L1555" t="s">
        <v>106</v>
      </c>
      <c r="M1555" t="s">
        <v>107</v>
      </c>
      <c r="N1555" t="s">
        <v>308</v>
      </c>
      <c r="O1555" t="s">
        <v>82</v>
      </c>
      <c r="P1555" t="str">
        <f>"2170716988                    "</f>
        <v xml:space="preserve">2170716988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12.87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2</v>
      </c>
      <c r="BJ1555">
        <v>2.9</v>
      </c>
      <c r="BK1555">
        <v>3</v>
      </c>
      <c r="BL1555" s="4">
        <v>75.66</v>
      </c>
      <c r="BM1555" s="4">
        <v>11.35</v>
      </c>
      <c r="BN1555" s="4">
        <v>87.01</v>
      </c>
      <c r="BO1555" s="4">
        <v>87.01</v>
      </c>
      <c r="BQ1555" t="s">
        <v>121</v>
      </c>
      <c r="BR1555" t="s">
        <v>84</v>
      </c>
      <c r="BS1555" s="3">
        <v>43783</v>
      </c>
      <c r="BT1555" s="5">
        <v>0.39583333333333331</v>
      </c>
      <c r="BU1555" t="s">
        <v>1568</v>
      </c>
      <c r="BV1555" t="s">
        <v>86</v>
      </c>
      <c r="BY1555">
        <v>14336</v>
      </c>
      <c r="CA1555" t="s">
        <v>111</v>
      </c>
      <c r="CC1555" t="s">
        <v>107</v>
      </c>
      <c r="CD1555">
        <v>6001</v>
      </c>
      <c r="CE1555" t="s">
        <v>88</v>
      </c>
      <c r="CF1555" s="3">
        <v>43784</v>
      </c>
      <c r="CI1555">
        <v>1</v>
      </c>
      <c r="CJ1555">
        <v>1</v>
      </c>
      <c r="CK1555">
        <v>21</v>
      </c>
      <c r="CL1555" t="s">
        <v>89</v>
      </c>
    </row>
    <row r="1556" spans="1:90">
      <c r="A1556" t="s">
        <v>72</v>
      </c>
      <c r="B1556" t="s">
        <v>73</v>
      </c>
      <c r="C1556" t="s">
        <v>74</v>
      </c>
      <c r="E1556" t="str">
        <f>"FES1162722876"</f>
        <v>FES1162722876</v>
      </c>
      <c r="F1556" s="3">
        <v>43782</v>
      </c>
      <c r="G1556">
        <v>202005</v>
      </c>
      <c r="H1556" t="s">
        <v>75</v>
      </c>
      <c r="I1556" t="s">
        <v>76</v>
      </c>
      <c r="J1556" t="s">
        <v>77</v>
      </c>
      <c r="K1556" t="s">
        <v>78</v>
      </c>
      <c r="L1556" t="s">
        <v>492</v>
      </c>
      <c r="M1556" t="s">
        <v>493</v>
      </c>
      <c r="N1556" t="s">
        <v>494</v>
      </c>
      <c r="O1556" t="s">
        <v>82</v>
      </c>
      <c r="P1556" t="str">
        <f>"2170716967                    "</f>
        <v xml:space="preserve">2170716967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16.63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1.7</v>
      </c>
      <c r="BJ1556">
        <v>0.7</v>
      </c>
      <c r="BK1556">
        <v>2</v>
      </c>
      <c r="BL1556" s="4">
        <v>97.75</v>
      </c>
      <c r="BM1556" s="4">
        <v>14.66</v>
      </c>
      <c r="BN1556" s="4">
        <v>112.41</v>
      </c>
      <c r="BO1556" s="4">
        <v>112.41</v>
      </c>
      <c r="BQ1556" t="s">
        <v>109</v>
      </c>
      <c r="BR1556" t="s">
        <v>84</v>
      </c>
      <c r="BS1556" s="3">
        <v>43783</v>
      </c>
      <c r="BT1556" s="5">
        <v>0.63541666666666663</v>
      </c>
      <c r="BU1556" t="s">
        <v>1880</v>
      </c>
      <c r="BV1556" t="s">
        <v>86</v>
      </c>
      <c r="BY1556">
        <v>3713.65</v>
      </c>
      <c r="CC1556" t="s">
        <v>493</v>
      </c>
      <c r="CD1556">
        <v>5850</v>
      </c>
      <c r="CE1556" t="s">
        <v>88</v>
      </c>
      <c r="CF1556" s="3">
        <v>43788</v>
      </c>
      <c r="CI1556">
        <v>3</v>
      </c>
      <c r="CJ1556">
        <v>1</v>
      </c>
      <c r="CK1556">
        <v>23</v>
      </c>
      <c r="CL1556" t="s">
        <v>89</v>
      </c>
    </row>
    <row r="1557" spans="1:90">
      <c r="A1557" t="s">
        <v>72</v>
      </c>
      <c r="B1557" t="s">
        <v>73</v>
      </c>
      <c r="C1557" t="s">
        <v>74</v>
      </c>
      <c r="E1557" t="str">
        <f>"FES1162722918"</f>
        <v>FES1162722918</v>
      </c>
      <c r="F1557" s="3">
        <v>43782</v>
      </c>
      <c r="G1557">
        <v>202005</v>
      </c>
      <c r="H1557" t="s">
        <v>75</v>
      </c>
      <c r="I1557" t="s">
        <v>76</v>
      </c>
      <c r="J1557" t="s">
        <v>77</v>
      </c>
      <c r="K1557" t="s">
        <v>78</v>
      </c>
      <c r="L1557" t="s">
        <v>133</v>
      </c>
      <c r="M1557" t="s">
        <v>134</v>
      </c>
      <c r="N1557" t="s">
        <v>135</v>
      </c>
      <c r="O1557" t="s">
        <v>82</v>
      </c>
      <c r="P1557" t="str">
        <f>"2170717010                    "</f>
        <v xml:space="preserve">2170717010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8.58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1.6</v>
      </c>
      <c r="BJ1557">
        <v>1.4</v>
      </c>
      <c r="BK1557">
        <v>2</v>
      </c>
      <c r="BL1557" s="4">
        <v>50.45</v>
      </c>
      <c r="BM1557" s="4">
        <v>7.57</v>
      </c>
      <c r="BN1557" s="4">
        <v>58.02</v>
      </c>
      <c r="BO1557" s="4">
        <v>58.02</v>
      </c>
      <c r="BQ1557" t="s">
        <v>109</v>
      </c>
      <c r="BR1557" t="s">
        <v>84</v>
      </c>
      <c r="BS1557" s="3">
        <v>43783</v>
      </c>
      <c r="BT1557" s="5">
        <v>0.3576388888888889</v>
      </c>
      <c r="BU1557" t="s">
        <v>1970</v>
      </c>
      <c r="BV1557" t="s">
        <v>86</v>
      </c>
      <c r="BY1557">
        <v>6859.33</v>
      </c>
      <c r="CA1557" t="s">
        <v>912</v>
      </c>
      <c r="CC1557" t="s">
        <v>134</v>
      </c>
      <c r="CD1557">
        <v>5201</v>
      </c>
      <c r="CE1557" t="s">
        <v>88</v>
      </c>
      <c r="CF1557" s="3">
        <v>43784</v>
      </c>
      <c r="CI1557">
        <v>1</v>
      </c>
      <c r="CJ1557">
        <v>1</v>
      </c>
      <c r="CK1557">
        <v>21</v>
      </c>
      <c r="CL1557" t="s">
        <v>89</v>
      </c>
    </row>
    <row r="1558" spans="1:90">
      <c r="A1558" t="s">
        <v>72</v>
      </c>
      <c r="B1558" t="s">
        <v>73</v>
      </c>
      <c r="C1558" t="s">
        <v>74</v>
      </c>
      <c r="E1558" t="str">
        <f>"FES1162722939"</f>
        <v>FES1162722939</v>
      </c>
      <c r="F1558" s="3">
        <v>43782</v>
      </c>
      <c r="G1558">
        <v>202005</v>
      </c>
      <c r="H1558" t="s">
        <v>75</v>
      </c>
      <c r="I1558" t="s">
        <v>76</v>
      </c>
      <c r="J1558" t="s">
        <v>77</v>
      </c>
      <c r="K1558" t="s">
        <v>78</v>
      </c>
      <c r="L1558" t="s">
        <v>90</v>
      </c>
      <c r="M1558" t="s">
        <v>91</v>
      </c>
      <c r="N1558" t="s">
        <v>2020</v>
      </c>
      <c r="O1558" t="s">
        <v>82</v>
      </c>
      <c r="P1558" t="str">
        <f>"2170717036                    "</f>
        <v xml:space="preserve">2170717036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8.58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 s="4">
        <v>50.45</v>
      </c>
      <c r="BM1558" s="4">
        <v>7.57</v>
      </c>
      <c r="BN1558" s="4">
        <v>58.02</v>
      </c>
      <c r="BO1558" s="4">
        <v>58.02</v>
      </c>
      <c r="BR1558" t="s">
        <v>84</v>
      </c>
      <c r="BS1558" s="3">
        <v>43783</v>
      </c>
      <c r="BT1558" s="5">
        <v>0.34722222222222227</v>
      </c>
      <c r="BU1558" t="s">
        <v>2021</v>
      </c>
      <c r="BV1558" t="s">
        <v>86</v>
      </c>
      <c r="BY1558">
        <v>1200</v>
      </c>
      <c r="CA1558" t="s">
        <v>1281</v>
      </c>
      <c r="CC1558" t="s">
        <v>91</v>
      </c>
      <c r="CD1558">
        <v>7945</v>
      </c>
      <c r="CE1558" t="s">
        <v>147</v>
      </c>
      <c r="CF1558" s="3">
        <v>43784</v>
      </c>
      <c r="CI1558">
        <v>1</v>
      </c>
      <c r="CJ1558">
        <v>1</v>
      </c>
      <c r="CK1558">
        <v>21</v>
      </c>
      <c r="CL1558" t="s">
        <v>89</v>
      </c>
    </row>
    <row r="1559" spans="1:90">
      <c r="A1559" t="s">
        <v>72</v>
      </c>
      <c r="B1559" t="s">
        <v>73</v>
      </c>
      <c r="C1559" t="s">
        <v>74</v>
      </c>
      <c r="E1559" t="str">
        <f>"FES1162722941"</f>
        <v>FES1162722941</v>
      </c>
      <c r="F1559" s="3">
        <v>43782</v>
      </c>
      <c r="G1559">
        <v>202005</v>
      </c>
      <c r="H1559" t="s">
        <v>75</v>
      </c>
      <c r="I1559" t="s">
        <v>76</v>
      </c>
      <c r="J1559" t="s">
        <v>77</v>
      </c>
      <c r="K1559" t="s">
        <v>78</v>
      </c>
      <c r="L1559" t="s">
        <v>90</v>
      </c>
      <c r="M1559" t="s">
        <v>91</v>
      </c>
      <c r="N1559" t="s">
        <v>1003</v>
      </c>
      <c r="O1559" t="s">
        <v>82</v>
      </c>
      <c r="P1559" t="str">
        <f>"2170717037                    "</f>
        <v xml:space="preserve">2170717037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8.58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 s="4">
        <v>50.45</v>
      </c>
      <c r="BM1559" s="4">
        <v>7.57</v>
      </c>
      <c r="BN1559" s="4">
        <v>58.02</v>
      </c>
      <c r="BO1559" s="4">
        <v>58.02</v>
      </c>
      <c r="BQ1559" t="s">
        <v>187</v>
      </c>
      <c r="BR1559" t="s">
        <v>84</v>
      </c>
      <c r="BS1559" s="3">
        <v>43783</v>
      </c>
      <c r="BT1559" s="5">
        <v>0.39583333333333331</v>
      </c>
      <c r="BU1559" t="s">
        <v>2022</v>
      </c>
      <c r="BV1559" t="s">
        <v>86</v>
      </c>
      <c r="BY1559">
        <v>1200</v>
      </c>
      <c r="CA1559" t="s">
        <v>515</v>
      </c>
      <c r="CC1559" t="s">
        <v>91</v>
      </c>
      <c r="CD1559">
        <v>7500</v>
      </c>
      <c r="CE1559" t="s">
        <v>147</v>
      </c>
      <c r="CF1559" s="3">
        <v>43784</v>
      </c>
      <c r="CI1559">
        <v>1</v>
      </c>
      <c r="CJ1559">
        <v>1</v>
      </c>
      <c r="CK1559">
        <v>21</v>
      </c>
      <c r="CL1559" t="s">
        <v>89</v>
      </c>
    </row>
    <row r="1560" spans="1:90">
      <c r="A1560" t="s">
        <v>72</v>
      </c>
      <c r="B1560" t="s">
        <v>73</v>
      </c>
      <c r="C1560" t="s">
        <v>74</v>
      </c>
      <c r="E1560" t="str">
        <f>"FES1162722926"</f>
        <v>FES1162722926</v>
      </c>
      <c r="F1560" s="3">
        <v>43782</v>
      </c>
      <c r="G1560">
        <v>202005</v>
      </c>
      <c r="H1560" t="s">
        <v>75</v>
      </c>
      <c r="I1560" t="s">
        <v>76</v>
      </c>
      <c r="J1560" t="s">
        <v>77</v>
      </c>
      <c r="K1560" t="s">
        <v>78</v>
      </c>
      <c r="L1560" t="s">
        <v>90</v>
      </c>
      <c r="M1560" t="s">
        <v>91</v>
      </c>
      <c r="N1560" t="s">
        <v>541</v>
      </c>
      <c r="O1560" t="s">
        <v>82</v>
      </c>
      <c r="P1560" t="str">
        <f>"217071708                     "</f>
        <v xml:space="preserve">217071708 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8.58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 s="4">
        <v>50.45</v>
      </c>
      <c r="BM1560" s="4">
        <v>7.57</v>
      </c>
      <c r="BN1560" s="4">
        <v>58.02</v>
      </c>
      <c r="BO1560" s="4">
        <v>58.02</v>
      </c>
      <c r="BQ1560" t="s">
        <v>187</v>
      </c>
      <c r="BR1560" t="s">
        <v>84</v>
      </c>
      <c r="BS1560" s="3">
        <v>43783</v>
      </c>
      <c r="BT1560" s="5">
        <v>0.3576388888888889</v>
      </c>
      <c r="BU1560" t="s">
        <v>2023</v>
      </c>
      <c r="BV1560" t="s">
        <v>86</v>
      </c>
      <c r="BY1560">
        <v>1200</v>
      </c>
      <c r="CA1560" t="s">
        <v>1902</v>
      </c>
      <c r="CC1560" t="s">
        <v>91</v>
      </c>
      <c r="CD1560">
        <v>7441</v>
      </c>
      <c r="CE1560" t="s">
        <v>147</v>
      </c>
      <c r="CF1560" s="3">
        <v>43784</v>
      </c>
      <c r="CI1560">
        <v>1</v>
      </c>
      <c r="CJ1560">
        <v>1</v>
      </c>
      <c r="CK1560">
        <v>21</v>
      </c>
      <c r="CL1560" t="s">
        <v>89</v>
      </c>
    </row>
    <row r="1561" spans="1:90">
      <c r="A1561" t="s">
        <v>72</v>
      </c>
      <c r="B1561" t="s">
        <v>73</v>
      </c>
      <c r="C1561" t="s">
        <v>74</v>
      </c>
      <c r="E1561" t="str">
        <f>"FES1162722917"</f>
        <v>FES1162722917</v>
      </c>
      <c r="F1561" s="3">
        <v>43782</v>
      </c>
      <c r="G1561">
        <v>202005</v>
      </c>
      <c r="H1561" t="s">
        <v>75</v>
      </c>
      <c r="I1561" t="s">
        <v>76</v>
      </c>
      <c r="J1561" t="s">
        <v>77</v>
      </c>
      <c r="K1561" t="s">
        <v>78</v>
      </c>
      <c r="L1561" t="s">
        <v>176</v>
      </c>
      <c r="M1561" t="s">
        <v>177</v>
      </c>
      <c r="N1561" t="s">
        <v>1136</v>
      </c>
      <c r="O1561" t="s">
        <v>82</v>
      </c>
      <c r="P1561" t="str">
        <f>"2170717009                    "</f>
        <v xml:space="preserve">2170717009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8.58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 s="4">
        <v>50.45</v>
      </c>
      <c r="BM1561" s="4">
        <v>7.57</v>
      </c>
      <c r="BN1561" s="4">
        <v>58.02</v>
      </c>
      <c r="BO1561" s="4">
        <v>58.02</v>
      </c>
      <c r="BQ1561" t="s">
        <v>121</v>
      </c>
      <c r="BR1561" t="s">
        <v>84</v>
      </c>
      <c r="BS1561" s="3">
        <v>43783</v>
      </c>
      <c r="BT1561" s="5">
        <v>0.4201388888888889</v>
      </c>
      <c r="BU1561" t="s">
        <v>1944</v>
      </c>
      <c r="BV1561" t="s">
        <v>86</v>
      </c>
      <c r="BY1561">
        <v>1200</v>
      </c>
      <c r="CA1561" t="s">
        <v>1945</v>
      </c>
      <c r="CC1561" t="s">
        <v>177</v>
      </c>
      <c r="CD1561">
        <v>3610</v>
      </c>
      <c r="CE1561" t="s">
        <v>147</v>
      </c>
      <c r="CF1561" s="3">
        <v>43784</v>
      </c>
      <c r="CI1561">
        <v>1</v>
      </c>
      <c r="CJ1561">
        <v>1</v>
      </c>
      <c r="CK1561">
        <v>21</v>
      </c>
      <c r="CL1561" t="s">
        <v>89</v>
      </c>
    </row>
    <row r="1562" spans="1:90">
      <c r="A1562" t="s">
        <v>72</v>
      </c>
      <c r="B1562" t="s">
        <v>73</v>
      </c>
      <c r="C1562" t="s">
        <v>74</v>
      </c>
      <c r="E1562" t="str">
        <f>"FES1162722860"</f>
        <v>FES1162722860</v>
      </c>
      <c r="F1562" s="3">
        <v>43782</v>
      </c>
      <c r="G1562">
        <v>202005</v>
      </c>
      <c r="H1562" t="s">
        <v>75</v>
      </c>
      <c r="I1562" t="s">
        <v>76</v>
      </c>
      <c r="J1562" t="s">
        <v>77</v>
      </c>
      <c r="K1562" t="s">
        <v>78</v>
      </c>
      <c r="L1562" t="s">
        <v>75</v>
      </c>
      <c r="M1562" t="s">
        <v>76</v>
      </c>
      <c r="N1562" t="s">
        <v>360</v>
      </c>
      <c r="O1562" t="s">
        <v>82</v>
      </c>
      <c r="P1562" t="str">
        <f>"2170716953                    "</f>
        <v xml:space="preserve">2170716953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6.71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 s="4">
        <v>39.42</v>
      </c>
      <c r="BM1562" s="4">
        <v>5.91</v>
      </c>
      <c r="BN1562" s="4">
        <v>45.33</v>
      </c>
      <c r="BO1562" s="4">
        <v>45.33</v>
      </c>
      <c r="BQ1562" t="s">
        <v>109</v>
      </c>
      <c r="BR1562" t="s">
        <v>84</v>
      </c>
      <c r="BS1562" s="3">
        <v>43783</v>
      </c>
      <c r="BT1562" s="5">
        <v>0.30555555555555552</v>
      </c>
      <c r="BU1562" t="s">
        <v>1075</v>
      </c>
      <c r="BV1562" t="s">
        <v>86</v>
      </c>
      <c r="BY1562">
        <v>1200</v>
      </c>
      <c r="CA1562" t="s">
        <v>797</v>
      </c>
      <c r="CC1562" t="s">
        <v>76</v>
      </c>
      <c r="CD1562">
        <v>1645</v>
      </c>
      <c r="CE1562" t="s">
        <v>147</v>
      </c>
      <c r="CF1562" s="3">
        <v>43784</v>
      </c>
      <c r="CI1562">
        <v>1</v>
      </c>
      <c r="CJ1562">
        <v>1</v>
      </c>
      <c r="CK1562">
        <v>22</v>
      </c>
      <c r="CL1562" t="s">
        <v>89</v>
      </c>
    </row>
    <row r="1563" spans="1:90">
      <c r="A1563" t="s">
        <v>72</v>
      </c>
      <c r="B1563" t="s">
        <v>73</v>
      </c>
      <c r="C1563" t="s">
        <v>74</v>
      </c>
      <c r="E1563" t="str">
        <f>"FES1162722669"</f>
        <v>FES1162722669</v>
      </c>
      <c r="F1563" s="3">
        <v>43782</v>
      </c>
      <c r="G1563">
        <v>202005</v>
      </c>
      <c r="H1563" t="s">
        <v>75</v>
      </c>
      <c r="I1563" t="s">
        <v>76</v>
      </c>
      <c r="J1563" t="s">
        <v>77</v>
      </c>
      <c r="K1563" t="s">
        <v>78</v>
      </c>
      <c r="L1563" t="s">
        <v>482</v>
      </c>
      <c r="M1563" t="s">
        <v>483</v>
      </c>
      <c r="N1563" t="s">
        <v>1256</v>
      </c>
      <c r="O1563" t="s">
        <v>82</v>
      </c>
      <c r="P1563" t="str">
        <f>"2170714158                    "</f>
        <v xml:space="preserve">2170714158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6.71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 s="4">
        <v>39.42</v>
      </c>
      <c r="BM1563" s="4">
        <v>5.91</v>
      </c>
      <c r="BN1563" s="4">
        <v>45.33</v>
      </c>
      <c r="BO1563" s="4">
        <v>45.33</v>
      </c>
      <c r="BR1563" t="s">
        <v>84</v>
      </c>
      <c r="BS1563" s="3">
        <v>43783</v>
      </c>
      <c r="BT1563" s="5">
        <v>0.4375</v>
      </c>
      <c r="BU1563" t="s">
        <v>1335</v>
      </c>
      <c r="BV1563" t="s">
        <v>86</v>
      </c>
      <c r="BY1563">
        <v>1200</v>
      </c>
      <c r="CC1563" t="s">
        <v>483</v>
      </c>
      <c r="CD1563">
        <v>1459</v>
      </c>
      <c r="CE1563" t="s">
        <v>147</v>
      </c>
      <c r="CF1563" s="3">
        <v>43784</v>
      </c>
      <c r="CI1563">
        <v>1</v>
      </c>
      <c r="CJ1563">
        <v>1</v>
      </c>
      <c r="CK1563">
        <v>22</v>
      </c>
      <c r="CL1563" t="s">
        <v>89</v>
      </c>
    </row>
    <row r="1564" spans="1:90">
      <c r="A1564" t="s">
        <v>72</v>
      </c>
      <c r="B1564" t="s">
        <v>73</v>
      </c>
      <c r="C1564" t="s">
        <v>74</v>
      </c>
      <c r="E1564" t="str">
        <f>"FES1162722936"</f>
        <v>FES1162722936</v>
      </c>
      <c r="F1564" s="3">
        <v>43782</v>
      </c>
      <c r="G1564">
        <v>202005</v>
      </c>
      <c r="H1564" t="s">
        <v>75</v>
      </c>
      <c r="I1564" t="s">
        <v>76</v>
      </c>
      <c r="J1564" t="s">
        <v>77</v>
      </c>
      <c r="K1564" t="s">
        <v>78</v>
      </c>
      <c r="L1564" t="s">
        <v>118</v>
      </c>
      <c r="M1564" t="s">
        <v>119</v>
      </c>
      <c r="N1564" t="s">
        <v>248</v>
      </c>
      <c r="O1564" t="s">
        <v>82</v>
      </c>
      <c r="P1564" t="str">
        <f>"2170716231                    "</f>
        <v xml:space="preserve">2170716231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8.58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 s="4">
        <v>50.45</v>
      </c>
      <c r="BM1564" s="4">
        <v>7.57</v>
      </c>
      <c r="BN1564" s="4">
        <v>58.02</v>
      </c>
      <c r="BO1564" s="4">
        <v>58.02</v>
      </c>
      <c r="BQ1564" t="s">
        <v>121</v>
      </c>
      <c r="BR1564" t="s">
        <v>84</v>
      </c>
      <c r="BS1564" s="3">
        <v>43783</v>
      </c>
      <c r="BT1564" s="5">
        <v>0.37708333333333338</v>
      </c>
      <c r="BU1564" t="s">
        <v>1743</v>
      </c>
      <c r="BV1564" t="s">
        <v>86</v>
      </c>
      <c r="BY1564">
        <v>1200</v>
      </c>
      <c r="CA1564" t="s">
        <v>250</v>
      </c>
      <c r="CC1564" t="s">
        <v>119</v>
      </c>
      <c r="CD1564">
        <v>3212</v>
      </c>
      <c r="CE1564" t="s">
        <v>147</v>
      </c>
      <c r="CF1564" s="3">
        <v>43784</v>
      </c>
      <c r="CI1564">
        <v>1</v>
      </c>
      <c r="CJ1564">
        <v>1</v>
      </c>
      <c r="CK1564">
        <v>21</v>
      </c>
      <c r="CL1564" t="s">
        <v>89</v>
      </c>
    </row>
    <row r="1565" spans="1:90">
      <c r="A1565" t="s">
        <v>72</v>
      </c>
      <c r="B1565" t="s">
        <v>73</v>
      </c>
      <c r="C1565" t="s">
        <v>74</v>
      </c>
      <c r="E1565" t="str">
        <f>"FES1162722702"</f>
        <v>FES1162722702</v>
      </c>
      <c r="F1565" s="3">
        <v>43782</v>
      </c>
      <c r="G1565">
        <v>202005</v>
      </c>
      <c r="H1565" t="s">
        <v>75</v>
      </c>
      <c r="I1565" t="s">
        <v>76</v>
      </c>
      <c r="J1565" t="s">
        <v>77</v>
      </c>
      <c r="K1565" t="s">
        <v>78</v>
      </c>
      <c r="L1565" t="s">
        <v>482</v>
      </c>
      <c r="M1565" t="s">
        <v>483</v>
      </c>
      <c r="N1565" t="s">
        <v>1036</v>
      </c>
      <c r="O1565" t="s">
        <v>82</v>
      </c>
      <c r="P1565" t="str">
        <f>"2170714355                    "</f>
        <v xml:space="preserve">2170714355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6.71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 s="4">
        <v>39.42</v>
      </c>
      <c r="BM1565" s="4">
        <v>5.91</v>
      </c>
      <c r="BN1565" s="4">
        <v>45.33</v>
      </c>
      <c r="BO1565" s="4">
        <v>45.33</v>
      </c>
      <c r="BR1565" t="s">
        <v>84</v>
      </c>
      <c r="BS1565" s="3">
        <v>43783</v>
      </c>
      <c r="BT1565" s="5">
        <v>0.4375</v>
      </c>
      <c r="BU1565" t="s">
        <v>2024</v>
      </c>
      <c r="BV1565" t="s">
        <v>86</v>
      </c>
      <c r="BY1565">
        <v>1200</v>
      </c>
      <c r="CC1565" t="s">
        <v>483</v>
      </c>
      <c r="CD1565">
        <v>1460</v>
      </c>
      <c r="CE1565" t="s">
        <v>147</v>
      </c>
      <c r="CF1565" s="3">
        <v>43784</v>
      </c>
      <c r="CI1565">
        <v>1</v>
      </c>
      <c r="CJ1565">
        <v>1</v>
      </c>
      <c r="CK1565">
        <v>22</v>
      </c>
      <c r="CL1565" t="s">
        <v>89</v>
      </c>
    </row>
    <row r="1566" spans="1:90">
      <c r="A1566" t="s">
        <v>72</v>
      </c>
      <c r="B1566" t="s">
        <v>73</v>
      </c>
      <c r="C1566" t="s">
        <v>74</v>
      </c>
      <c r="E1566" t="str">
        <f>"FES1162722891"</f>
        <v>FES1162722891</v>
      </c>
      <c r="F1566" s="3">
        <v>43782</v>
      </c>
      <c r="G1566">
        <v>202005</v>
      </c>
      <c r="H1566" t="s">
        <v>75</v>
      </c>
      <c r="I1566" t="s">
        <v>76</v>
      </c>
      <c r="J1566" t="s">
        <v>77</v>
      </c>
      <c r="K1566" t="s">
        <v>78</v>
      </c>
      <c r="L1566" t="s">
        <v>112</v>
      </c>
      <c r="M1566" t="s">
        <v>113</v>
      </c>
      <c r="N1566" t="s">
        <v>637</v>
      </c>
      <c r="O1566" t="s">
        <v>82</v>
      </c>
      <c r="P1566" t="str">
        <f>"2170716977                    "</f>
        <v xml:space="preserve">2170716977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8.58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 s="4">
        <v>50.45</v>
      </c>
      <c r="BM1566" s="4">
        <v>7.57</v>
      </c>
      <c r="BN1566" s="4">
        <v>58.02</v>
      </c>
      <c r="BO1566" s="4">
        <v>58.02</v>
      </c>
      <c r="BR1566" t="s">
        <v>84</v>
      </c>
      <c r="BS1566" s="3">
        <v>43783</v>
      </c>
      <c r="BT1566" s="5">
        <v>0.32708333333333334</v>
      </c>
      <c r="BU1566" t="s">
        <v>2025</v>
      </c>
      <c r="BV1566" t="s">
        <v>86</v>
      </c>
      <c r="BY1566">
        <v>1200</v>
      </c>
      <c r="CA1566" t="s">
        <v>2026</v>
      </c>
      <c r="CC1566" t="s">
        <v>113</v>
      </c>
      <c r="CD1566">
        <v>4094</v>
      </c>
      <c r="CE1566" t="s">
        <v>147</v>
      </c>
      <c r="CF1566" s="3">
        <v>43783</v>
      </c>
      <c r="CI1566">
        <v>1</v>
      </c>
      <c r="CJ1566">
        <v>1</v>
      </c>
      <c r="CK1566">
        <v>21</v>
      </c>
      <c r="CL1566" t="s">
        <v>89</v>
      </c>
    </row>
    <row r="1567" spans="1:90">
      <c r="A1567" t="s">
        <v>72</v>
      </c>
      <c r="B1567" t="s">
        <v>73</v>
      </c>
      <c r="C1567" t="s">
        <v>74</v>
      </c>
      <c r="E1567" t="str">
        <f>"FES1162722773"</f>
        <v>FES1162722773</v>
      </c>
      <c r="F1567" s="3">
        <v>43782</v>
      </c>
      <c r="G1567">
        <v>202005</v>
      </c>
      <c r="H1567" t="s">
        <v>75</v>
      </c>
      <c r="I1567" t="s">
        <v>76</v>
      </c>
      <c r="J1567" t="s">
        <v>77</v>
      </c>
      <c r="K1567" t="s">
        <v>78</v>
      </c>
      <c r="L1567" t="s">
        <v>522</v>
      </c>
      <c r="M1567" t="s">
        <v>523</v>
      </c>
      <c r="N1567" t="s">
        <v>524</v>
      </c>
      <c r="O1567" t="s">
        <v>82</v>
      </c>
      <c r="P1567" t="str">
        <f>"2170716515                    "</f>
        <v xml:space="preserve">2170716515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16.63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 s="4">
        <v>97.75</v>
      </c>
      <c r="BM1567" s="4">
        <v>14.66</v>
      </c>
      <c r="BN1567" s="4">
        <v>112.41</v>
      </c>
      <c r="BO1567" s="4">
        <v>112.41</v>
      </c>
      <c r="BQ1567" t="s">
        <v>109</v>
      </c>
      <c r="BR1567" t="s">
        <v>84</v>
      </c>
      <c r="BS1567" s="3">
        <v>43783</v>
      </c>
      <c r="BT1567" s="5">
        <v>0.41666666666666669</v>
      </c>
      <c r="BU1567" t="s">
        <v>2027</v>
      </c>
      <c r="BV1567" t="s">
        <v>86</v>
      </c>
      <c r="BY1567">
        <v>1200</v>
      </c>
      <c r="CA1567" t="s">
        <v>526</v>
      </c>
      <c r="CC1567" t="s">
        <v>523</v>
      </c>
      <c r="CD1567">
        <v>1900</v>
      </c>
      <c r="CE1567" t="s">
        <v>147</v>
      </c>
      <c r="CF1567" s="3">
        <v>43784</v>
      </c>
      <c r="CI1567">
        <v>1</v>
      </c>
      <c r="CJ1567">
        <v>1</v>
      </c>
      <c r="CK1567">
        <v>23</v>
      </c>
      <c r="CL1567" t="s">
        <v>89</v>
      </c>
    </row>
    <row r="1568" spans="1:90">
      <c r="A1568" t="s">
        <v>72</v>
      </c>
      <c r="B1568" t="s">
        <v>73</v>
      </c>
      <c r="C1568" t="s">
        <v>74</v>
      </c>
      <c r="E1568" t="str">
        <f>"FES1162722879"</f>
        <v>FES1162722879</v>
      </c>
      <c r="F1568" s="3">
        <v>43782</v>
      </c>
      <c r="G1568">
        <v>202005</v>
      </c>
      <c r="H1568" t="s">
        <v>75</v>
      </c>
      <c r="I1568" t="s">
        <v>76</v>
      </c>
      <c r="J1568" t="s">
        <v>77</v>
      </c>
      <c r="K1568" t="s">
        <v>78</v>
      </c>
      <c r="L1568" t="s">
        <v>95</v>
      </c>
      <c r="M1568" t="s">
        <v>96</v>
      </c>
      <c r="N1568" t="s">
        <v>330</v>
      </c>
      <c r="O1568" t="s">
        <v>82</v>
      </c>
      <c r="P1568" t="str">
        <f>"2170716972                    "</f>
        <v xml:space="preserve">2170716972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6.71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 s="4">
        <v>39.42</v>
      </c>
      <c r="BM1568" s="4">
        <v>5.91</v>
      </c>
      <c r="BN1568" s="4">
        <v>45.33</v>
      </c>
      <c r="BO1568" s="4">
        <v>45.33</v>
      </c>
      <c r="BQ1568" t="s">
        <v>109</v>
      </c>
      <c r="BR1568" t="s">
        <v>84</v>
      </c>
      <c r="BS1568" s="3">
        <v>43783</v>
      </c>
      <c r="BT1568" s="5">
        <v>0.35069444444444442</v>
      </c>
      <c r="BU1568" t="s">
        <v>1954</v>
      </c>
      <c r="BV1568" t="s">
        <v>86</v>
      </c>
      <c r="BY1568">
        <v>1200</v>
      </c>
      <c r="CC1568" t="s">
        <v>96</v>
      </c>
      <c r="CD1568">
        <v>1451</v>
      </c>
      <c r="CE1568" t="s">
        <v>147</v>
      </c>
      <c r="CF1568" s="3">
        <v>43784</v>
      </c>
      <c r="CI1568">
        <v>1</v>
      </c>
      <c r="CJ1568">
        <v>1</v>
      </c>
      <c r="CK1568">
        <v>22</v>
      </c>
      <c r="CL1568" t="s">
        <v>89</v>
      </c>
    </row>
    <row r="1569" spans="1:90">
      <c r="A1569" t="s">
        <v>72</v>
      </c>
      <c r="B1569" t="s">
        <v>73</v>
      </c>
      <c r="C1569" t="s">
        <v>74</v>
      </c>
      <c r="E1569" t="str">
        <f>"FES1162722898"</f>
        <v>FES1162722898</v>
      </c>
      <c r="F1569" s="3">
        <v>43782</v>
      </c>
      <c r="G1569">
        <v>202005</v>
      </c>
      <c r="H1569" t="s">
        <v>75</v>
      </c>
      <c r="I1569" t="s">
        <v>76</v>
      </c>
      <c r="J1569" t="s">
        <v>77</v>
      </c>
      <c r="K1569" t="s">
        <v>78</v>
      </c>
      <c r="L1569" t="s">
        <v>482</v>
      </c>
      <c r="M1569" t="s">
        <v>483</v>
      </c>
      <c r="N1569" t="s">
        <v>1054</v>
      </c>
      <c r="O1569" t="s">
        <v>82</v>
      </c>
      <c r="P1569" t="str">
        <f>"2170716987                    "</f>
        <v xml:space="preserve">2170716987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6.71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 s="4">
        <v>39.42</v>
      </c>
      <c r="BM1569" s="4">
        <v>5.91</v>
      </c>
      <c r="BN1569" s="4">
        <v>45.33</v>
      </c>
      <c r="BO1569" s="4">
        <v>45.33</v>
      </c>
      <c r="BQ1569" t="s">
        <v>109</v>
      </c>
      <c r="BR1569" t="s">
        <v>84</v>
      </c>
      <c r="BS1569" s="3">
        <v>43783</v>
      </c>
      <c r="BT1569" s="5">
        <v>0.32916666666666666</v>
      </c>
      <c r="BU1569" t="s">
        <v>2002</v>
      </c>
      <c r="BV1569" t="s">
        <v>86</v>
      </c>
      <c r="BY1569">
        <v>1200</v>
      </c>
      <c r="CA1569" t="s">
        <v>486</v>
      </c>
      <c r="CC1569" t="s">
        <v>483</v>
      </c>
      <c r="CD1569">
        <v>1459</v>
      </c>
      <c r="CE1569" t="s">
        <v>147</v>
      </c>
      <c r="CF1569" s="3">
        <v>43784</v>
      </c>
      <c r="CI1569">
        <v>1</v>
      </c>
      <c r="CJ1569">
        <v>1</v>
      </c>
      <c r="CK1569">
        <v>22</v>
      </c>
      <c r="CL1569" t="s">
        <v>89</v>
      </c>
    </row>
    <row r="1570" spans="1:90">
      <c r="A1570" t="s">
        <v>72</v>
      </c>
      <c r="B1570" t="s">
        <v>73</v>
      </c>
      <c r="C1570" t="s">
        <v>74</v>
      </c>
      <c r="E1570" t="str">
        <f>"FES1162722956"</f>
        <v>FES1162722956</v>
      </c>
      <c r="F1570" s="3">
        <v>43782</v>
      </c>
      <c r="G1570">
        <v>202005</v>
      </c>
      <c r="H1570" t="s">
        <v>75</v>
      </c>
      <c r="I1570" t="s">
        <v>76</v>
      </c>
      <c r="J1570" t="s">
        <v>77</v>
      </c>
      <c r="K1570" t="s">
        <v>78</v>
      </c>
      <c r="L1570" t="s">
        <v>90</v>
      </c>
      <c r="M1570" t="s">
        <v>91</v>
      </c>
      <c r="N1570" t="s">
        <v>576</v>
      </c>
      <c r="O1570" t="s">
        <v>82</v>
      </c>
      <c r="P1570" t="str">
        <f>"2170717055                    "</f>
        <v xml:space="preserve">2170717055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8.58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 s="4">
        <v>50.45</v>
      </c>
      <c r="BM1570" s="4">
        <v>7.57</v>
      </c>
      <c r="BN1570" s="4">
        <v>58.02</v>
      </c>
      <c r="BO1570" s="4">
        <v>58.02</v>
      </c>
      <c r="BQ1570" t="s">
        <v>109</v>
      </c>
      <c r="BR1570" t="s">
        <v>84</v>
      </c>
      <c r="BS1570" s="3">
        <v>43783</v>
      </c>
      <c r="BT1570" s="5">
        <v>0.37152777777777773</v>
      </c>
      <c r="BU1570" t="s">
        <v>1145</v>
      </c>
      <c r="BV1570" t="s">
        <v>86</v>
      </c>
      <c r="BY1570">
        <v>1200</v>
      </c>
      <c r="CA1570" t="s">
        <v>1146</v>
      </c>
      <c r="CC1570" t="s">
        <v>91</v>
      </c>
      <c r="CD1570">
        <v>7441</v>
      </c>
      <c r="CE1570" t="s">
        <v>147</v>
      </c>
      <c r="CF1570" s="3">
        <v>43784</v>
      </c>
      <c r="CI1570">
        <v>1</v>
      </c>
      <c r="CJ1570">
        <v>1</v>
      </c>
      <c r="CK1570">
        <v>21</v>
      </c>
      <c r="CL1570" t="s">
        <v>89</v>
      </c>
    </row>
    <row r="1571" spans="1:90">
      <c r="A1571" t="s">
        <v>72</v>
      </c>
      <c r="B1571" t="s">
        <v>73</v>
      </c>
      <c r="C1571" t="s">
        <v>74</v>
      </c>
      <c r="E1571" t="str">
        <f>"FES1162722784"</f>
        <v>FES1162722784</v>
      </c>
      <c r="F1571" s="3">
        <v>43782</v>
      </c>
      <c r="G1571">
        <v>202005</v>
      </c>
      <c r="H1571" t="s">
        <v>75</v>
      </c>
      <c r="I1571" t="s">
        <v>76</v>
      </c>
      <c r="J1571" t="s">
        <v>77</v>
      </c>
      <c r="K1571" t="s">
        <v>78</v>
      </c>
      <c r="L1571" t="s">
        <v>202</v>
      </c>
      <c r="M1571" t="s">
        <v>203</v>
      </c>
      <c r="N1571" t="s">
        <v>521</v>
      </c>
      <c r="O1571" t="s">
        <v>82</v>
      </c>
      <c r="P1571" t="str">
        <f>"2170716911                    "</f>
        <v xml:space="preserve">2170716911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14.74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6.9</v>
      </c>
      <c r="BJ1571">
        <v>2.7</v>
      </c>
      <c r="BK1571">
        <v>7</v>
      </c>
      <c r="BL1571" s="4">
        <v>86.65</v>
      </c>
      <c r="BM1571" s="4">
        <v>13</v>
      </c>
      <c r="BN1571" s="4">
        <v>99.65</v>
      </c>
      <c r="BO1571" s="4">
        <v>99.65</v>
      </c>
      <c r="BQ1571" t="s">
        <v>109</v>
      </c>
      <c r="BR1571" t="s">
        <v>84</v>
      </c>
      <c r="BS1571" s="3">
        <v>43783</v>
      </c>
      <c r="BT1571" s="5">
        <v>0.3611111111111111</v>
      </c>
      <c r="BU1571" t="s">
        <v>295</v>
      </c>
      <c r="BV1571" t="s">
        <v>86</v>
      </c>
      <c r="BY1571">
        <v>13688.99</v>
      </c>
      <c r="CC1571" t="s">
        <v>203</v>
      </c>
      <c r="CD1571">
        <v>1428</v>
      </c>
      <c r="CE1571" t="s">
        <v>88</v>
      </c>
      <c r="CF1571" s="3">
        <v>43784</v>
      </c>
      <c r="CI1571">
        <v>1</v>
      </c>
      <c r="CJ1571">
        <v>1</v>
      </c>
      <c r="CK1571">
        <v>22</v>
      </c>
      <c r="CL1571" t="s">
        <v>89</v>
      </c>
    </row>
    <row r="1572" spans="1:90">
      <c r="A1572" t="s">
        <v>72</v>
      </c>
      <c r="B1572" t="s">
        <v>73</v>
      </c>
      <c r="C1572" t="s">
        <v>74</v>
      </c>
      <c r="E1572" t="str">
        <f>"FES1162722943"</f>
        <v>FES1162722943</v>
      </c>
      <c r="F1572" s="3">
        <v>43782</v>
      </c>
      <c r="G1572">
        <v>202005</v>
      </c>
      <c r="H1572" t="s">
        <v>75</v>
      </c>
      <c r="I1572" t="s">
        <v>76</v>
      </c>
      <c r="J1572" t="s">
        <v>77</v>
      </c>
      <c r="K1572" t="s">
        <v>78</v>
      </c>
      <c r="L1572" t="s">
        <v>90</v>
      </c>
      <c r="M1572" t="s">
        <v>91</v>
      </c>
      <c r="N1572" t="s">
        <v>945</v>
      </c>
      <c r="O1572" t="s">
        <v>82</v>
      </c>
      <c r="P1572" t="str">
        <f>"2170717041                    "</f>
        <v xml:space="preserve">2170717041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25.74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3.4</v>
      </c>
      <c r="BJ1572">
        <v>6</v>
      </c>
      <c r="BK1572">
        <v>6</v>
      </c>
      <c r="BL1572" s="4">
        <v>151.29</v>
      </c>
      <c r="BM1572" s="4">
        <v>22.69</v>
      </c>
      <c r="BN1572" s="4">
        <v>173.98</v>
      </c>
      <c r="BO1572" s="4">
        <v>173.98</v>
      </c>
      <c r="BQ1572" t="s">
        <v>121</v>
      </c>
      <c r="BR1572" t="s">
        <v>84</v>
      </c>
      <c r="BS1572" s="3">
        <v>43783</v>
      </c>
      <c r="BT1572" s="5">
        <v>0.3444444444444445</v>
      </c>
      <c r="BU1572" t="s">
        <v>1298</v>
      </c>
      <c r="BV1572" t="s">
        <v>86</v>
      </c>
      <c r="BY1572">
        <v>29887.89</v>
      </c>
      <c r="CA1572" t="s">
        <v>323</v>
      </c>
      <c r="CC1572" t="s">
        <v>91</v>
      </c>
      <c r="CD1572">
        <v>7460</v>
      </c>
      <c r="CE1572" t="s">
        <v>88</v>
      </c>
      <c r="CF1572" s="3">
        <v>43783</v>
      </c>
      <c r="CI1572">
        <v>1</v>
      </c>
      <c r="CJ1572">
        <v>1</v>
      </c>
      <c r="CK1572">
        <v>21</v>
      </c>
      <c r="CL1572" t="s">
        <v>89</v>
      </c>
    </row>
    <row r="1573" spans="1:90">
      <c r="A1573" t="s">
        <v>72</v>
      </c>
      <c r="B1573" t="s">
        <v>73</v>
      </c>
      <c r="C1573" t="s">
        <v>74</v>
      </c>
      <c r="E1573" t="str">
        <f>"FES1162722948"</f>
        <v>FES1162722948</v>
      </c>
      <c r="F1573" s="3">
        <v>43782</v>
      </c>
      <c r="G1573">
        <v>202005</v>
      </c>
      <c r="H1573" t="s">
        <v>75</v>
      </c>
      <c r="I1573" t="s">
        <v>76</v>
      </c>
      <c r="J1573" t="s">
        <v>77</v>
      </c>
      <c r="K1573" t="s">
        <v>78</v>
      </c>
      <c r="L1573" t="s">
        <v>106</v>
      </c>
      <c r="M1573" t="s">
        <v>107</v>
      </c>
      <c r="N1573" t="s">
        <v>843</v>
      </c>
      <c r="O1573" t="s">
        <v>82</v>
      </c>
      <c r="P1573" t="str">
        <f>"2170717046                    "</f>
        <v xml:space="preserve">2170717046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8.58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1.8</v>
      </c>
      <c r="BJ1573">
        <v>1.3</v>
      </c>
      <c r="BK1573">
        <v>2</v>
      </c>
      <c r="BL1573" s="4">
        <v>50.45</v>
      </c>
      <c r="BM1573" s="4">
        <v>7.57</v>
      </c>
      <c r="BN1573" s="4">
        <v>58.02</v>
      </c>
      <c r="BO1573" s="4">
        <v>58.02</v>
      </c>
      <c r="BQ1573" t="s">
        <v>121</v>
      </c>
      <c r="BR1573" t="s">
        <v>84</v>
      </c>
      <c r="BS1573" s="3">
        <v>43783</v>
      </c>
      <c r="BT1573" s="5">
        <v>0.4236111111111111</v>
      </c>
      <c r="BU1573" t="s">
        <v>2028</v>
      </c>
      <c r="BV1573" t="s">
        <v>86</v>
      </c>
      <c r="BY1573">
        <v>6574</v>
      </c>
      <c r="CA1573" t="s">
        <v>773</v>
      </c>
      <c r="CC1573" t="s">
        <v>107</v>
      </c>
      <c r="CD1573">
        <v>6001</v>
      </c>
      <c r="CE1573" t="s">
        <v>88</v>
      </c>
      <c r="CF1573" s="3">
        <v>43784</v>
      </c>
      <c r="CI1573">
        <v>1</v>
      </c>
      <c r="CJ1573">
        <v>1</v>
      </c>
      <c r="CK1573">
        <v>21</v>
      </c>
      <c r="CL1573" t="s">
        <v>89</v>
      </c>
    </row>
    <row r="1574" spans="1:90">
      <c r="A1574" t="s">
        <v>72</v>
      </c>
      <c r="B1574" t="s">
        <v>73</v>
      </c>
      <c r="C1574" t="s">
        <v>74</v>
      </c>
      <c r="E1574" t="str">
        <f>"FES1162722873"</f>
        <v>FES1162722873</v>
      </c>
      <c r="F1574" s="3">
        <v>43782</v>
      </c>
      <c r="G1574">
        <v>202005</v>
      </c>
      <c r="H1574" t="s">
        <v>75</v>
      </c>
      <c r="I1574" t="s">
        <v>76</v>
      </c>
      <c r="J1574" t="s">
        <v>77</v>
      </c>
      <c r="K1574" t="s">
        <v>78</v>
      </c>
      <c r="L1574" t="s">
        <v>783</v>
      </c>
      <c r="M1574" t="s">
        <v>784</v>
      </c>
      <c r="N1574" t="s">
        <v>785</v>
      </c>
      <c r="O1574" t="s">
        <v>82</v>
      </c>
      <c r="P1574" t="str">
        <f>"2170716964                    "</f>
        <v xml:space="preserve">2170716964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42.92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5.4</v>
      </c>
      <c r="BJ1574">
        <v>1.1000000000000001</v>
      </c>
      <c r="BK1574">
        <v>5.5</v>
      </c>
      <c r="BL1574" s="4">
        <v>252.28</v>
      </c>
      <c r="BM1574" s="4">
        <v>37.840000000000003</v>
      </c>
      <c r="BN1574" s="4">
        <v>290.12</v>
      </c>
      <c r="BO1574" s="4">
        <v>290.12</v>
      </c>
      <c r="BQ1574" t="s">
        <v>109</v>
      </c>
      <c r="BR1574" t="s">
        <v>84</v>
      </c>
      <c r="BS1574" s="3">
        <v>43783</v>
      </c>
      <c r="BT1574" s="5">
        <v>0.43263888888888885</v>
      </c>
      <c r="BU1574" t="s">
        <v>786</v>
      </c>
      <c r="BV1574" t="s">
        <v>86</v>
      </c>
      <c r="BY1574">
        <v>5600.49</v>
      </c>
      <c r="CC1574" t="s">
        <v>784</v>
      </c>
      <c r="CD1574">
        <v>9880</v>
      </c>
      <c r="CE1574" t="s">
        <v>88</v>
      </c>
      <c r="CF1574" s="3">
        <v>43788</v>
      </c>
      <c r="CI1574">
        <v>1</v>
      </c>
      <c r="CJ1574">
        <v>1</v>
      </c>
      <c r="CK1574">
        <v>23</v>
      </c>
      <c r="CL1574" t="s">
        <v>89</v>
      </c>
    </row>
    <row r="1575" spans="1:90">
      <c r="A1575" t="s">
        <v>72</v>
      </c>
      <c r="B1575" t="s">
        <v>73</v>
      </c>
      <c r="C1575" t="s">
        <v>74</v>
      </c>
      <c r="E1575" t="str">
        <f>"FES1162722863"</f>
        <v>FES1162722863</v>
      </c>
      <c r="F1575" s="3">
        <v>43782</v>
      </c>
      <c r="G1575">
        <v>202005</v>
      </c>
      <c r="H1575" t="s">
        <v>75</v>
      </c>
      <c r="I1575" t="s">
        <v>76</v>
      </c>
      <c r="J1575" t="s">
        <v>77</v>
      </c>
      <c r="K1575" t="s">
        <v>78</v>
      </c>
      <c r="L1575" t="s">
        <v>783</v>
      </c>
      <c r="M1575" t="s">
        <v>784</v>
      </c>
      <c r="N1575" t="s">
        <v>785</v>
      </c>
      <c r="O1575" t="s">
        <v>82</v>
      </c>
      <c r="P1575" t="str">
        <f>"2170716956                    "</f>
        <v xml:space="preserve">2170716956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27.9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3.4</v>
      </c>
      <c r="BJ1575">
        <v>1.6</v>
      </c>
      <c r="BK1575">
        <v>3.5</v>
      </c>
      <c r="BL1575" s="4">
        <v>163.98</v>
      </c>
      <c r="BM1575" s="4">
        <v>24.6</v>
      </c>
      <c r="BN1575" s="4">
        <v>188.58</v>
      </c>
      <c r="BO1575" s="4">
        <v>188.58</v>
      </c>
      <c r="BQ1575" t="s">
        <v>109</v>
      </c>
      <c r="BR1575" t="s">
        <v>84</v>
      </c>
      <c r="BS1575" s="3">
        <v>43783</v>
      </c>
      <c r="BT1575" s="5">
        <v>0.43263888888888885</v>
      </c>
      <c r="BU1575" t="s">
        <v>786</v>
      </c>
      <c r="BV1575" t="s">
        <v>86</v>
      </c>
      <c r="BY1575">
        <v>7986</v>
      </c>
      <c r="CC1575" t="s">
        <v>784</v>
      </c>
      <c r="CD1575">
        <v>9880</v>
      </c>
      <c r="CE1575" t="s">
        <v>88</v>
      </c>
      <c r="CF1575" s="3">
        <v>43788</v>
      </c>
      <c r="CI1575">
        <v>1</v>
      </c>
      <c r="CJ1575">
        <v>1</v>
      </c>
      <c r="CK1575">
        <v>23</v>
      </c>
      <c r="CL1575" t="s">
        <v>89</v>
      </c>
    </row>
    <row r="1576" spans="1:90">
      <c r="A1576" t="s">
        <v>72</v>
      </c>
      <c r="B1576" t="s">
        <v>73</v>
      </c>
      <c r="C1576" t="s">
        <v>74</v>
      </c>
      <c r="E1576" t="str">
        <f>"FES1162722972"</f>
        <v>FES1162722972</v>
      </c>
      <c r="F1576" s="3">
        <v>43782</v>
      </c>
      <c r="G1576">
        <v>202005</v>
      </c>
      <c r="H1576" t="s">
        <v>75</v>
      </c>
      <c r="I1576" t="s">
        <v>76</v>
      </c>
      <c r="J1576" t="s">
        <v>77</v>
      </c>
      <c r="K1576" t="s">
        <v>78</v>
      </c>
      <c r="L1576" t="s">
        <v>500</v>
      </c>
      <c r="M1576" t="s">
        <v>501</v>
      </c>
      <c r="N1576" t="s">
        <v>502</v>
      </c>
      <c r="O1576" t="s">
        <v>82</v>
      </c>
      <c r="P1576" t="str">
        <f>"2170717069                    "</f>
        <v xml:space="preserve">2170717069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16.63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 s="4">
        <v>97.75</v>
      </c>
      <c r="BM1576" s="4">
        <v>14.66</v>
      </c>
      <c r="BN1576" s="4">
        <v>112.41</v>
      </c>
      <c r="BO1576" s="4">
        <v>112.41</v>
      </c>
      <c r="BQ1576" t="s">
        <v>109</v>
      </c>
      <c r="BR1576" t="s">
        <v>84</v>
      </c>
      <c r="BS1576" s="3">
        <v>43783</v>
      </c>
      <c r="BT1576" s="5">
        <v>0.41666666666666669</v>
      </c>
      <c r="BU1576" t="s">
        <v>2029</v>
      </c>
      <c r="BV1576" t="s">
        <v>86</v>
      </c>
      <c r="BY1576">
        <v>1200</v>
      </c>
      <c r="CC1576" t="s">
        <v>501</v>
      </c>
      <c r="CD1576">
        <v>7349</v>
      </c>
      <c r="CE1576" t="s">
        <v>147</v>
      </c>
      <c r="CF1576" s="3">
        <v>43784</v>
      </c>
      <c r="CI1576">
        <v>1</v>
      </c>
      <c r="CJ1576">
        <v>1</v>
      </c>
      <c r="CK1576">
        <v>23</v>
      </c>
      <c r="CL1576" t="s">
        <v>89</v>
      </c>
    </row>
    <row r="1577" spans="1:90">
      <c r="A1577" t="s">
        <v>72</v>
      </c>
      <c r="B1577" t="s">
        <v>73</v>
      </c>
      <c r="C1577" t="s">
        <v>74</v>
      </c>
      <c r="E1577" t="str">
        <f>"FES1162722975"</f>
        <v>FES1162722975</v>
      </c>
      <c r="F1577" s="3">
        <v>43782</v>
      </c>
      <c r="G1577">
        <v>202005</v>
      </c>
      <c r="H1577" t="s">
        <v>75</v>
      </c>
      <c r="I1577" t="s">
        <v>76</v>
      </c>
      <c r="J1577" t="s">
        <v>77</v>
      </c>
      <c r="K1577" t="s">
        <v>78</v>
      </c>
      <c r="L1577" t="s">
        <v>90</v>
      </c>
      <c r="M1577" t="s">
        <v>91</v>
      </c>
      <c r="N1577" t="s">
        <v>190</v>
      </c>
      <c r="O1577" t="s">
        <v>82</v>
      </c>
      <c r="P1577" t="str">
        <f>"2170714662                    "</f>
        <v xml:space="preserve">2170714662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8.58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 s="4">
        <v>50.45</v>
      </c>
      <c r="BM1577" s="4">
        <v>7.57</v>
      </c>
      <c r="BN1577" s="4">
        <v>58.02</v>
      </c>
      <c r="BO1577" s="4">
        <v>58.02</v>
      </c>
      <c r="BQ1577" t="s">
        <v>109</v>
      </c>
      <c r="BR1577" t="s">
        <v>84</v>
      </c>
      <c r="BS1577" s="3">
        <v>43783</v>
      </c>
      <c r="BT1577" s="5">
        <v>0.41388888888888892</v>
      </c>
      <c r="BU1577" t="s">
        <v>2030</v>
      </c>
      <c r="BV1577" t="s">
        <v>86</v>
      </c>
      <c r="BY1577">
        <v>1200</v>
      </c>
      <c r="CA1577" t="s">
        <v>1146</v>
      </c>
      <c r="CC1577" t="s">
        <v>91</v>
      </c>
      <c r="CD1577">
        <v>7441</v>
      </c>
      <c r="CE1577" t="s">
        <v>147</v>
      </c>
      <c r="CF1577" s="3">
        <v>43784</v>
      </c>
      <c r="CI1577">
        <v>1</v>
      </c>
      <c r="CJ1577">
        <v>1</v>
      </c>
      <c r="CK1577">
        <v>21</v>
      </c>
      <c r="CL1577" t="s">
        <v>89</v>
      </c>
    </row>
    <row r="1578" spans="1:90">
      <c r="A1578" t="s">
        <v>72</v>
      </c>
      <c r="B1578" t="s">
        <v>73</v>
      </c>
      <c r="C1578" t="s">
        <v>74</v>
      </c>
      <c r="E1578" t="str">
        <f>"FES1162722922"</f>
        <v>FES1162722922</v>
      </c>
      <c r="F1578" s="3">
        <v>43782</v>
      </c>
      <c r="G1578">
        <v>202005</v>
      </c>
      <c r="H1578" t="s">
        <v>75</v>
      </c>
      <c r="I1578" t="s">
        <v>76</v>
      </c>
      <c r="J1578" t="s">
        <v>77</v>
      </c>
      <c r="K1578" t="s">
        <v>78</v>
      </c>
      <c r="L1578" t="s">
        <v>118</v>
      </c>
      <c r="M1578" t="s">
        <v>119</v>
      </c>
      <c r="N1578" t="s">
        <v>2031</v>
      </c>
      <c r="O1578" t="s">
        <v>82</v>
      </c>
      <c r="P1578" t="str">
        <f>"2170717015                    "</f>
        <v xml:space="preserve">2170717015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17.16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3.7</v>
      </c>
      <c r="BJ1578">
        <v>0.8</v>
      </c>
      <c r="BK1578">
        <v>4</v>
      </c>
      <c r="BL1578" s="4">
        <v>100.87</v>
      </c>
      <c r="BM1578" s="4">
        <v>15.13</v>
      </c>
      <c r="BN1578" s="4">
        <v>116</v>
      </c>
      <c r="BO1578" s="4">
        <v>116</v>
      </c>
      <c r="BQ1578" t="s">
        <v>121</v>
      </c>
      <c r="BR1578" t="s">
        <v>84</v>
      </c>
      <c r="BS1578" s="3">
        <v>43783</v>
      </c>
      <c r="BT1578" s="5">
        <v>0.42638888888888887</v>
      </c>
      <c r="BU1578" t="s">
        <v>2032</v>
      </c>
      <c r="BV1578" t="s">
        <v>86</v>
      </c>
      <c r="BY1578">
        <v>3972.15</v>
      </c>
      <c r="CA1578" t="s">
        <v>171</v>
      </c>
      <c r="CC1578" t="s">
        <v>119</v>
      </c>
      <c r="CD1578">
        <v>3201</v>
      </c>
      <c r="CE1578" t="s">
        <v>88</v>
      </c>
      <c r="CF1578" s="3">
        <v>43784</v>
      </c>
      <c r="CI1578">
        <v>1</v>
      </c>
      <c r="CJ1578">
        <v>1</v>
      </c>
      <c r="CK1578">
        <v>21</v>
      </c>
      <c r="CL1578" t="s">
        <v>89</v>
      </c>
    </row>
    <row r="1579" spans="1:90">
      <c r="A1579" t="s">
        <v>72</v>
      </c>
      <c r="B1579" t="s">
        <v>73</v>
      </c>
      <c r="C1579" t="s">
        <v>74</v>
      </c>
      <c r="E1579" t="str">
        <f>"FES1162722946"</f>
        <v>FES1162722946</v>
      </c>
      <c r="F1579" s="3">
        <v>43782</v>
      </c>
      <c r="G1579">
        <v>202005</v>
      </c>
      <c r="H1579" t="s">
        <v>75</v>
      </c>
      <c r="I1579" t="s">
        <v>76</v>
      </c>
      <c r="J1579" t="s">
        <v>77</v>
      </c>
      <c r="K1579" t="s">
        <v>78</v>
      </c>
      <c r="L1579" t="s">
        <v>106</v>
      </c>
      <c r="M1579" t="s">
        <v>107</v>
      </c>
      <c r="N1579" t="s">
        <v>108</v>
      </c>
      <c r="O1579" t="s">
        <v>82</v>
      </c>
      <c r="P1579" t="str">
        <f>"2170717044                    "</f>
        <v xml:space="preserve">2170717044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34.31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6.6</v>
      </c>
      <c r="BJ1579">
        <v>7.7</v>
      </c>
      <c r="BK1579">
        <v>8</v>
      </c>
      <c r="BL1579" s="4">
        <v>201.7</v>
      </c>
      <c r="BM1579" s="4">
        <v>30.26</v>
      </c>
      <c r="BN1579" s="4">
        <v>231.96</v>
      </c>
      <c r="BO1579" s="4">
        <v>231.96</v>
      </c>
      <c r="BQ1579" t="s">
        <v>109</v>
      </c>
      <c r="BR1579" t="s">
        <v>84</v>
      </c>
      <c r="BS1579" s="3">
        <v>43783</v>
      </c>
      <c r="BT1579" s="5">
        <v>0.35972222222222222</v>
      </c>
      <c r="BU1579" t="s">
        <v>1526</v>
      </c>
      <c r="BV1579" t="s">
        <v>86</v>
      </c>
      <c r="BY1579">
        <v>38735.11</v>
      </c>
      <c r="CA1579" t="s">
        <v>111</v>
      </c>
      <c r="CC1579" t="s">
        <v>107</v>
      </c>
      <c r="CD1579">
        <v>6001</v>
      </c>
      <c r="CE1579" t="s">
        <v>88</v>
      </c>
      <c r="CF1579" s="3">
        <v>43784</v>
      </c>
      <c r="CI1579">
        <v>1</v>
      </c>
      <c r="CJ1579">
        <v>1</v>
      </c>
      <c r="CK1579">
        <v>21</v>
      </c>
      <c r="CL1579" t="s">
        <v>89</v>
      </c>
    </row>
    <row r="1580" spans="1:90">
      <c r="A1580" t="s">
        <v>72</v>
      </c>
      <c r="B1580" t="s">
        <v>73</v>
      </c>
      <c r="C1580" t="s">
        <v>74</v>
      </c>
      <c r="E1580" t="str">
        <f>"FES1162722973"</f>
        <v>FES1162722973</v>
      </c>
      <c r="F1580" s="3">
        <v>43782</v>
      </c>
      <c r="G1580">
        <v>202005</v>
      </c>
      <c r="H1580" t="s">
        <v>75</v>
      </c>
      <c r="I1580" t="s">
        <v>76</v>
      </c>
      <c r="J1580" t="s">
        <v>77</v>
      </c>
      <c r="K1580" t="s">
        <v>78</v>
      </c>
      <c r="L1580" t="s">
        <v>90</v>
      </c>
      <c r="M1580" t="s">
        <v>91</v>
      </c>
      <c r="N1580" t="s">
        <v>393</v>
      </c>
      <c r="O1580" t="s">
        <v>82</v>
      </c>
      <c r="P1580" t="str">
        <f>"2170717070                    "</f>
        <v xml:space="preserve">2170717070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8.58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 s="4">
        <v>50.45</v>
      </c>
      <c r="BM1580" s="4">
        <v>7.57</v>
      </c>
      <c r="BN1580" s="4">
        <v>58.02</v>
      </c>
      <c r="BO1580" s="4">
        <v>58.02</v>
      </c>
      <c r="BQ1580" t="s">
        <v>1630</v>
      </c>
      <c r="BR1580" t="s">
        <v>84</v>
      </c>
      <c r="BS1580" s="3">
        <v>43783</v>
      </c>
      <c r="BT1580" s="5">
        <v>0.30694444444444441</v>
      </c>
      <c r="BU1580" t="s">
        <v>2033</v>
      </c>
      <c r="BV1580" t="s">
        <v>86</v>
      </c>
      <c r="BY1580">
        <v>1200</v>
      </c>
      <c r="CA1580" t="s">
        <v>221</v>
      </c>
      <c r="CC1580" t="s">
        <v>91</v>
      </c>
      <c r="CD1580">
        <v>7405</v>
      </c>
      <c r="CE1580" t="s">
        <v>147</v>
      </c>
      <c r="CF1580" s="3">
        <v>43784</v>
      </c>
      <c r="CI1580">
        <v>1</v>
      </c>
      <c r="CJ1580">
        <v>1</v>
      </c>
      <c r="CK1580">
        <v>21</v>
      </c>
      <c r="CL1580" t="s">
        <v>89</v>
      </c>
    </row>
    <row r="1581" spans="1:90">
      <c r="A1581" t="s">
        <v>72</v>
      </c>
      <c r="B1581" t="s">
        <v>73</v>
      </c>
      <c r="C1581" t="s">
        <v>74</v>
      </c>
      <c r="E1581" t="str">
        <f>"FES1162722961"</f>
        <v>FES1162722961</v>
      </c>
      <c r="F1581" s="3">
        <v>43782</v>
      </c>
      <c r="G1581">
        <v>202005</v>
      </c>
      <c r="H1581" t="s">
        <v>75</v>
      </c>
      <c r="I1581" t="s">
        <v>76</v>
      </c>
      <c r="J1581" t="s">
        <v>77</v>
      </c>
      <c r="K1581" t="s">
        <v>78</v>
      </c>
      <c r="L1581" t="s">
        <v>124</v>
      </c>
      <c r="M1581" t="s">
        <v>125</v>
      </c>
      <c r="N1581" t="s">
        <v>1922</v>
      </c>
      <c r="O1581" t="s">
        <v>82</v>
      </c>
      <c r="P1581" t="str">
        <f>"2170711496                    "</f>
        <v xml:space="preserve">2170711496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6.71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0.5</v>
      </c>
      <c r="BJ1581">
        <v>0.6</v>
      </c>
      <c r="BK1581">
        <v>1</v>
      </c>
      <c r="BL1581" s="4">
        <v>39.42</v>
      </c>
      <c r="BM1581" s="4">
        <v>5.91</v>
      </c>
      <c r="BN1581" s="4">
        <v>45.33</v>
      </c>
      <c r="BO1581" s="4">
        <v>45.33</v>
      </c>
      <c r="BQ1581" t="s">
        <v>161</v>
      </c>
      <c r="BR1581" t="s">
        <v>84</v>
      </c>
      <c r="BS1581" s="3">
        <v>43783</v>
      </c>
      <c r="BT1581" s="5">
        <v>0.42569444444444443</v>
      </c>
      <c r="BU1581" t="s">
        <v>2034</v>
      </c>
      <c r="BV1581" t="s">
        <v>86</v>
      </c>
      <c r="BY1581">
        <v>3226.04</v>
      </c>
      <c r="CA1581" t="s">
        <v>1991</v>
      </c>
      <c r="CC1581" t="s">
        <v>125</v>
      </c>
      <c r="CD1581">
        <v>2052</v>
      </c>
      <c r="CE1581" t="s">
        <v>88</v>
      </c>
      <c r="CF1581" s="3">
        <v>43784</v>
      </c>
      <c r="CI1581">
        <v>1</v>
      </c>
      <c r="CJ1581">
        <v>1</v>
      </c>
      <c r="CK1581">
        <v>22</v>
      </c>
      <c r="CL1581" t="s">
        <v>89</v>
      </c>
    </row>
    <row r="1582" spans="1:90">
      <c r="A1582" t="s">
        <v>72</v>
      </c>
      <c r="B1582" t="s">
        <v>73</v>
      </c>
      <c r="C1582" t="s">
        <v>74</v>
      </c>
      <c r="E1582" t="str">
        <f>"FES1162722923"</f>
        <v>FES1162722923</v>
      </c>
      <c r="F1582" s="3">
        <v>43782</v>
      </c>
      <c r="G1582">
        <v>202005</v>
      </c>
      <c r="H1582" t="s">
        <v>75</v>
      </c>
      <c r="I1582" t="s">
        <v>76</v>
      </c>
      <c r="J1582" t="s">
        <v>77</v>
      </c>
      <c r="K1582" t="s">
        <v>78</v>
      </c>
      <c r="L1582" t="s">
        <v>192</v>
      </c>
      <c r="M1582" t="s">
        <v>193</v>
      </c>
      <c r="N1582" t="s">
        <v>1529</v>
      </c>
      <c r="O1582" t="s">
        <v>82</v>
      </c>
      <c r="P1582" t="str">
        <f>"2170714383                    "</f>
        <v xml:space="preserve">2170714383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16.63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2</v>
      </c>
      <c r="BJ1582">
        <v>2</v>
      </c>
      <c r="BK1582">
        <v>2</v>
      </c>
      <c r="BL1582" s="4">
        <v>97.75</v>
      </c>
      <c r="BM1582" s="4">
        <v>14.66</v>
      </c>
      <c r="BN1582" s="4">
        <v>112.41</v>
      </c>
      <c r="BO1582" s="4">
        <v>112.41</v>
      </c>
      <c r="BQ1582" t="s">
        <v>121</v>
      </c>
      <c r="BR1582" t="s">
        <v>84</v>
      </c>
      <c r="BS1582" s="3">
        <v>43783</v>
      </c>
      <c r="BT1582" s="5">
        <v>0.42152777777777778</v>
      </c>
      <c r="BU1582" t="s">
        <v>2035</v>
      </c>
      <c r="BV1582" t="s">
        <v>86</v>
      </c>
      <c r="BY1582">
        <v>9918</v>
      </c>
      <c r="CA1582" t="s">
        <v>1937</v>
      </c>
      <c r="CC1582" t="s">
        <v>193</v>
      </c>
      <c r="CD1582">
        <v>7130</v>
      </c>
      <c r="CE1582" t="s">
        <v>88</v>
      </c>
      <c r="CF1582" s="3">
        <v>43784</v>
      </c>
      <c r="CI1582">
        <v>1</v>
      </c>
      <c r="CJ1582">
        <v>1</v>
      </c>
      <c r="CK1582">
        <v>23</v>
      </c>
      <c r="CL1582" t="s">
        <v>89</v>
      </c>
    </row>
    <row r="1583" spans="1:90">
      <c r="A1583" t="s">
        <v>72</v>
      </c>
      <c r="B1583" t="s">
        <v>73</v>
      </c>
      <c r="C1583" t="s">
        <v>74</v>
      </c>
      <c r="E1583" t="str">
        <f>"FES1162722850"</f>
        <v>FES1162722850</v>
      </c>
      <c r="F1583" s="3">
        <v>43782</v>
      </c>
      <c r="G1583">
        <v>202005</v>
      </c>
      <c r="H1583" t="s">
        <v>75</v>
      </c>
      <c r="I1583" t="s">
        <v>76</v>
      </c>
      <c r="J1583" t="s">
        <v>77</v>
      </c>
      <c r="K1583" t="s">
        <v>78</v>
      </c>
      <c r="L1583" t="s">
        <v>214</v>
      </c>
      <c r="M1583" t="s">
        <v>214</v>
      </c>
      <c r="N1583" t="s">
        <v>314</v>
      </c>
      <c r="O1583" t="s">
        <v>82</v>
      </c>
      <c r="P1583" t="str">
        <f>"2170714858                    "</f>
        <v xml:space="preserve">2170714858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27.9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3.2</v>
      </c>
      <c r="BJ1583">
        <v>0.8</v>
      </c>
      <c r="BK1583">
        <v>3.5</v>
      </c>
      <c r="BL1583" s="4">
        <v>163.98</v>
      </c>
      <c r="BM1583" s="4">
        <v>24.6</v>
      </c>
      <c r="BN1583" s="4">
        <v>188.58</v>
      </c>
      <c r="BO1583" s="4">
        <v>188.58</v>
      </c>
      <c r="BQ1583" t="s">
        <v>109</v>
      </c>
      <c r="BR1583" t="s">
        <v>84</v>
      </c>
      <c r="BS1583" s="3">
        <v>43783</v>
      </c>
      <c r="BT1583" s="5">
        <v>0.49027777777777781</v>
      </c>
      <c r="BU1583" t="s">
        <v>1343</v>
      </c>
      <c r="BV1583" t="s">
        <v>86</v>
      </c>
      <c r="BY1583">
        <v>3839.57</v>
      </c>
      <c r="CA1583" t="s">
        <v>217</v>
      </c>
      <c r="CC1583" t="s">
        <v>214</v>
      </c>
      <c r="CD1583">
        <v>7646</v>
      </c>
      <c r="CE1583" t="s">
        <v>88</v>
      </c>
      <c r="CF1583" s="3">
        <v>43784</v>
      </c>
      <c r="CI1583">
        <v>1</v>
      </c>
      <c r="CJ1583">
        <v>1</v>
      </c>
      <c r="CK1583">
        <v>23</v>
      </c>
      <c r="CL1583" t="s">
        <v>89</v>
      </c>
    </row>
    <row r="1584" spans="1:90">
      <c r="A1584" t="s">
        <v>72</v>
      </c>
      <c r="B1584" t="s">
        <v>73</v>
      </c>
      <c r="C1584" t="s">
        <v>74</v>
      </c>
      <c r="E1584" t="str">
        <f>"FES1162722798"</f>
        <v>FES1162722798</v>
      </c>
      <c r="F1584" s="3">
        <v>43782</v>
      </c>
      <c r="G1584">
        <v>202005</v>
      </c>
      <c r="H1584" t="s">
        <v>75</v>
      </c>
      <c r="I1584" t="s">
        <v>76</v>
      </c>
      <c r="J1584" t="s">
        <v>77</v>
      </c>
      <c r="K1584" t="s">
        <v>78</v>
      </c>
      <c r="L1584" t="s">
        <v>124</v>
      </c>
      <c r="M1584" t="s">
        <v>125</v>
      </c>
      <c r="N1584" t="s">
        <v>1928</v>
      </c>
      <c r="O1584" t="s">
        <v>82</v>
      </c>
      <c r="P1584" t="str">
        <f>"2170712839                    "</f>
        <v xml:space="preserve">2170712839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6.71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0.5</v>
      </c>
      <c r="BJ1584">
        <v>0.8</v>
      </c>
      <c r="BK1584">
        <v>1</v>
      </c>
      <c r="BL1584" s="4">
        <v>39.42</v>
      </c>
      <c r="BM1584" s="4">
        <v>5.91</v>
      </c>
      <c r="BN1584" s="4">
        <v>45.33</v>
      </c>
      <c r="BO1584" s="4">
        <v>45.33</v>
      </c>
      <c r="BQ1584" t="s">
        <v>121</v>
      </c>
      <c r="BR1584" t="s">
        <v>84</v>
      </c>
      <c r="BS1584" s="3">
        <v>43783</v>
      </c>
      <c r="BT1584" s="5">
        <v>0.39027777777777778</v>
      </c>
      <c r="BU1584" t="s">
        <v>1930</v>
      </c>
      <c r="BV1584" t="s">
        <v>86</v>
      </c>
      <c r="BY1584">
        <v>4229.9799999999996</v>
      </c>
      <c r="CC1584" t="s">
        <v>125</v>
      </c>
      <c r="CD1584">
        <v>2091</v>
      </c>
      <c r="CE1584" t="s">
        <v>88</v>
      </c>
      <c r="CF1584" s="3">
        <v>43784</v>
      </c>
      <c r="CI1584">
        <v>1</v>
      </c>
      <c r="CJ1584">
        <v>1</v>
      </c>
      <c r="CK1584">
        <v>22</v>
      </c>
      <c r="CL1584" t="s">
        <v>89</v>
      </c>
    </row>
    <row r="1585" spans="1:90">
      <c r="A1585" t="s">
        <v>72</v>
      </c>
      <c r="B1585" t="s">
        <v>73</v>
      </c>
      <c r="C1585" t="s">
        <v>74</v>
      </c>
      <c r="E1585" t="str">
        <f>"FES1162722938"</f>
        <v>FES1162722938</v>
      </c>
      <c r="F1585" s="3">
        <v>43782</v>
      </c>
      <c r="G1585">
        <v>202005</v>
      </c>
      <c r="H1585" t="s">
        <v>75</v>
      </c>
      <c r="I1585" t="s">
        <v>76</v>
      </c>
      <c r="J1585" t="s">
        <v>77</v>
      </c>
      <c r="K1585" t="s">
        <v>78</v>
      </c>
      <c r="L1585" t="s">
        <v>112</v>
      </c>
      <c r="M1585" t="s">
        <v>113</v>
      </c>
      <c r="N1585" t="s">
        <v>1083</v>
      </c>
      <c r="O1585" t="s">
        <v>82</v>
      </c>
      <c r="P1585" t="str">
        <f>"2170717033                    "</f>
        <v xml:space="preserve">2170717033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8.58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 s="4">
        <v>50.45</v>
      </c>
      <c r="BM1585" s="4">
        <v>7.57</v>
      </c>
      <c r="BN1585" s="4">
        <v>58.02</v>
      </c>
      <c r="BO1585" s="4">
        <v>58.02</v>
      </c>
      <c r="BQ1585" t="s">
        <v>121</v>
      </c>
      <c r="BR1585" t="s">
        <v>84</v>
      </c>
      <c r="BS1585" s="3">
        <v>43783</v>
      </c>
      <c r="BT1585" s="5">
        <v>0.43472222222222223</v>
      </c>
      <c r="BU1585" t="s">
        <v>2036</v>
      </c>
      <c r="BV1585" t="s">
        <v>86</v>
      </c>
      <c r="BY1585">
        <v>1200</v>
      </c>
      <c r="CA1585" t="s">
        <v>2019</v>
      </c>
      <c r="CC1585" t="s">
        <v>113</v>
      </c>
      <c r="CD1585">
        <v>4001</v>
      </c>
      <c r="CE1585" t="s">
        <v>147</v>
      </c>
      <c r="CF1585" s="3">
        <v>43783</v>
      </c>
      <c r="CI1585">
        <v>1</v>
      </c>
      <c r="CJ1585">
        <v>1</v>
      </c>
      <c r="CK1585">
        <v>21</v>
      </c>
      <c r="CL1585" t="s">
        <v>89</v>
      </c>
    </row>
    <row r="1586" spans="1:90">
      <c r="A1586" t="s">
        <v>72</v>
      </c>
      <c r="B1586" t="s">
        <v>73</v>
      </c>
      <c r="C1586" t="s">
        <v>74</v>
      </c>
      <c r="E1586" t="str">
        <f>"FES1162722982"</f>
        <v>FES1162722982</v>
      </c>
      <c r="F1586" s="3">
        <v>43782</v>
      </c>
      <c r="G1586">
        <v>202005</v>
      </c>
      <c r="H1586" t="s">
        <v>75</v>
      </c>
      <c r="I1586" t="s">
        <v>76</v>
      </c>
      <c r="J1586" t="s">
        <v>77</v>
      </c>
      <c r="K1586" t="s">
        <v>78</v>
      </c>
      <c r="L1586" t="s">
        <v>225</v>
      </c>
      <c r="M1586" t="s">
        <v>226</v>
      </c>
      <c r="N1586" t="s">
        <v>1006</v>
      </c>
      <c r="O1586" t="s">
        <v>82</v>
      </c>
      <c r="P1586" t="str">
        <f>"2170717078                    "</f>
        <v xml:space="preserve">2170717078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8.58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 s="4">
        <v>50.45</v>
      </c>
      <c r="BM1586" s="4">
        <v>7.57</v>
      </c>
      <c r="BN1586" s="4">
        <v>58.02</v>
      </c>
      <c r="BO1586" s="4">
        <v>58.02</v>
      </c>
      <c r="BQ1586" t="s">
        <v>121</v>
      </c>
      <c r="BR1586" t="s">
        <v>84</v>
      </c>
      <c r="BS1586" s="3">
        <v>43783</v>
      </c>
      <c r="BT1586" s="5">
        <v>0.38958333333333334</v>
      </c>
      <c r="BU1586" t="s">
        <v>1978</v>
      </c>
      <c r="BV1586" t="s">
        <v>86</v>
      </c>
      <c r="BY1586">
        <v>1200</v>
      </c>
      <c r="CA1586" t="s">
        <v>448</v>
      </c>
      <c r="CC1586" t="s">
        <v>226</v>
      </c>
      <c r="CD1586">
        <v>4026</v>
      </c>
      <c r="CE1586" t="s">
        <v>147</v>
      </c>
      <c r="CF1586" s="3">
        <v>43784</v>
      </c>
      <c r="CI1586">
        <v>1</v>
      </c>
      <c r="CJ1586">
        <v>1</v>
      </c>
      <c r="CK1586">
        <v>21</v>
      </c>
      <c r="CL1586" t="s">
        <v>89</v>
      </c>
    </row>
    <row r="1587" spans="1:90">
      <c r="A1587" t="s">
        <v>72</v>
      </c>
      <c r="B1587" t="s">
        <v>73</v>
      </c>
      <c r="C1587" t="s">
        <v>74</v>
      </c>
      <c r="E1587" t="str">
        <f>"FES1162722892"</f>
        <v>FES1162722892</v>
      </c>
      <c r="F1587" s="3">
        <v>43782</v>
      </c>
      <c r="G1587">
        <v>202005</v>
      </c>
      <c r="H1587" t="s">
        <v>75</v>
      </c>
      <c r="I1587" t="s">
        <v>76</v>
      </c>
      <c r="J1587" t="s">
        <v>77</v>
      </c>
      <c r="K1587" t="s">
        <v>78</v>
      </c>
      <c r="L1587" t="s">
        <v>75</v>
      </c>
      <c r="M1587" t="s">
        <v>76</v>
      </c>
      <c r="N1587" t="s">
        <v>2037</v>
      </c>
      <c r="O1587" t="s">
        <v>82</v>
      </c>
      <c r="P1587" t="str">
        <f>"2170716978                    "</f>
        <v xml:space="preserve">2170716978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6.71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 s="4">
        <v>39.42</v>
      </c>
      <c r="BM1587" s="4">
        <v>5.91</v>
      </c>
      <c r="BN1587" s="4">
        <v>45.33</v>
      </c>
      <c r="BO1587" s="4">
        <v>45.33</v>
      </c>
      <c r="BR1587" t="s">
        <v>84</v>
      </c>
      <c r="BS1587" s="3">
        <v>43783</v>
      </c>
      <c r="BT1587" s="5">
        <v>0.3576388888888889</v>
      </c>
      <c r="BU1587" t="s">
        <v>2038</v>
      </c>
      <c r="BV1587" t="s">
        <v>86</v>
      </c>
      <c r="BY1587">
        <v>1200</v>
      </c>
      <c r="CC1587" t="s">
        <v>76</v>
      </c>
      <c r="CD1587">
        <v>1666</v>
      </c>
      <c r="CE1587" t="s">
        <v>147</v>
      </c>
      <c r="CF1587" s="3">
        <v>43784</v>
      </c>
      <c r="CI1587">
        <v>1</v>
      </c>
      <c r="CJ1587">
        <v>1</v>
      </c>
      <c r="CK1587">
        <v>22</v>
      </c>
      <c r="CL1587" t="s">
        <v>89</v>
      </c>
    </row>
    <row r="1588" spans="1:90">
      <c r="A1588" t="s">
        <v>72</v>
      </c>
      <c r="B1588" t="s">
        <v>73</v>
      </c>
      <c r="C1588" t="s">
        <v>74</v>
      </c>
      <c r="E1588" t="str">
        <f>"FES1162722880"</f>
        <v>FES1162722880</v>
      </c>
      <c r="F1588" s="3">
        <v>43782</v>
      </c>
      <c r="G1588">
        <v>202005</v>
      </c>
      <c r="H1588" t="s">
        <v>75</v>
      </c>
      <c r="I1588" t="s">
        <v>76</v>
      </c>
      <c r="J1588" t="s">
        <v>77</v>
      </c>
      <c r="K1588" t="s">
        <v>78</v>
      </c>
      <c r="L1588" t="s">
        <v>90</v>
      </c>
      <c r="M1588" t="s">
        <v>91</v>
      </c>
      <c r="N1588" t="s">
        <v>527</v>
      </c>
      <c r="O1588" t="s">
        <v>82</v>
      </c>
      <c r="P1588" t="str">
        <f>"2170716973                    "</f>
        <v xml:space="preserve">2170716973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34.31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7.8</v>
      </c>
      <c r="BJ1588">
        <v>2.8</v>
      </c>
      <c r="BK1588">
        <v>8</v>
      </c>
      <c r="BL1588" s="4">
        <v>201.7</v>
      </c>
      <c r="BM1588" s="4">
        <v>30.26</v>
      </c>
      <c r="BN1588" s="4">
        <v>231.96</v>
      </c>
      <c r="BO1588" s="4">
        <v>231.96</v>
      </c>
      <c r="BQ1588" t="s">
        <v>109</v>
      </c>
      <c r="BR1588" t="s">
        <v>84</v>
      </c>
      <c r="BS1588" s="3">
        <v>43783</v>
      </c>
      <c r="BT1588" s="5">
        <v>0.31944444444444448</v>
      </c>
      <c r="BU1588" t="s">
        <v>1951</v>
      </c>
      <c r="BV1588" t="s">
        <v>86</v>
      </c>
      <c r="BY1588">
        <v>13980.85</v>
      </c>
      <c r="CA1588" t="s">
        <v>221</v>
      </c>
      <c r="CC1588" t="s">
        <v>91</v>
      </c>
      <c r="CD1588">
        <v>7405</v>
      </c>
      <c r="CE1588" t="s">
        <v>88</v>
      </c>
      <c r="CF1588" s="3">
        <v>43784</v>
      </c>
      <c r="CI1588">
        <v>1</v>
      </c>
      <c r="CJ1588">
        <v>1</v>
      </c>
      <c r="CK1588">
        <v>21</v>
      </c>
      <c r="CL1588" t="s">
        <v>89</v>
      </c>
    </row>
    <row r="1589" spans="1:90">
      <c r="A1589" t="s">
        <v>72</v>
      </c>
      <c r="B1589" t="s">
        <v>73</v>
      </c>
      <c r="C1589" t="s">
        <v>74</v>
      </c>
      <c r="E1589" t="str">
        <f>"FES1162722746"</f>
        <v>FES1162722746</v>
      </c>
      <c r="F1589" s="3">
        <v>43782</v>
      </c>
      <c r="G1589">
        <v>202005</v>
      </c>
      <c r="H1589" t="s">
        <v>75</v>
      </c>
      <c r="I1589" t="s">
        <v>76</v>
      </c>
      <c r="J1589" t="s">
        <v>77</v>
      </c>
      <c r="K1589" t="s">
        <v>78</v>
      </c>
      <c r="L1589" t="s">
        <v>202</v>
      </c>
      <c r="M1589" t="s">
        <v>203</v>
      </c>
      <c r="N1589" t="s">
        <v>2039</v>
      </c>
      <c r="O1589" t="s">
        <v>82</v>
      </c>
      <c r="P1589" t="str">
        <f>"2170714859                    "</f>
        <v xml:space="preserve">2170714859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6.71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0.6</v>
      </c>
      <c r="BJ1589">
        <v>0.7</v>
      </c>
      <c r="BK1589">
        <v>1</v>
      </c>
      <c r="BL1589" s="4">
        <v>39.42</v>
      </c>
      <c r="BM1589" s="4">
        <v>5.91</v>
      </c>
      <c r="BN1589" s="4">
        <v>45.33</v>
      </c>
      <c r="BO1589" s="4">
        <v>45.33</v>
      </c>
      <c r="BQ1589" t="s">
        <v>121</v>
      </c>
      <c r="BR1589" t="s">
        <v>84</v>
      </c>
      <c r="BS1589" s="3">
        <v>43783</v>
      </c>
      <c r="BT1589" s="5">
        <v>0.29583333333333334</v>
      </c>
      <c r="BU1589" t="s">
        <v>2040</v>
      </c>
      <c r="BV1589" t="s">
        <v>86</v>
      </c>
      <c r="BY1589">
        <v>3324.79</v>
      </c>
      <c r="CA1589" t="s">
        <v>1181</v>
      </c>
      <c r="CC1589" t="s">
        <v>203</v>
      </c>
      <c r="CD1589">
        <v>1401</v>
      </c>
      <c r="CE1589" t="s">
        <v>88</v>
      </c>
      <c r="CF1589" s="3">
        <v>43784</v>
      </c>
      <c r="CI1589">
        <v>1</v>
      </c>
      <c r="CJ1589">
        <v>1</v>
      </c>
      <c r="CK1589">
        <v>22</v>
      </c>
      <c r="CL1589" t="s">
        <v>89</v>
      </c>
    </row>
    <row r="1590" spans="1:90">
      <c r="A1590" t="s">
        <v>72</v>
      </c>
      <c r="B1590" t="s">
        <v>73</v>
      </c>
      <c r="C1590" t="s">
        <v>74</v>
      </c>
      <c r="E1590" t="str">
        <f>"FES1162722883"</f>
        <v>FES1162722883</v>
      </c>
      <c r="F1590" s="3">
        <v>43782</v>
      </c>
      <c r="G1590">
        <v>202005</v>
      </c>
      <c r="H1590" t="s">
        <v>75</v>
      </c>
      <c r="I1590" t="s">
        <v>76</v>
      </c>
      <c r="J1590" t="s">
        <v>77</v>
      </c>
      <c r="K1590" t="s">
        <v>78</v>
      </c>
      <c r="L1590" t="s">
        <v>101</v>
      </c>
      <c r="M1590" t="s">
        <v>102</v>
      </c>
      <c r="N1590" t="s">
        <v>2041</v>
      </c>
      <c r="O1590" t="s">
        <v>82</v>
      </c>
      <c r="P1590" t="str">
        <f>"2170712465                    "</f>
        <v xml:space="preserve">2170712465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12.87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2.8</v>
      </c>
      <c r="BJ1590">
        <v>2.2999999999999998</v>
      </c>
      <c r="BK1590">
        <v>3</v>
      </c>
      <c r="BL1590" s="4">
        <v>75.66</v>
      </c>
      <c r="BM1590" s="4">
        <v>11.35</v>
      </c>
      <c r="BN1590" s="4">
        <v>87.01</v>
      </c>
      <c r="BO1590" s="4">
        <v>87.01</v>
      </c>
      <c r="BQ1590" t="s">
        <v>121</v>
      </c>
      <c r="BR1590" t="s">
        <v>84</v>
      </c>
      <c r="BS1590" s="3">
        <v>43783</v>
      </c>
      <c r="BT1590" s="5">
        <v>0.3743055555555555</v>
      </c>
      <c r="BU1590" t="s">
        <v>2042</v>
      </c>
      <c r="BV1590" t="s">
        <v>86</v>
      </c>
      <c r="BY1590">
        <v>11262.44</v>
      </c>
      <c r="CA1590" t="s">
        <v>2043</v>
      </c>
      <c r="CC1590" t="s">
        <v>102</v>
      </c>
      <c r="CD1590">
        <v>45</v>
      </c>
      <c r="CE1590" t="s">
        <v>88</v>
      </c>
      <c r="CF1590" s="3">
        <v>43784</v>
      </c>
      <c r="CI1590">
        <v>1</v>
      </c>
      <c r="CJ1590">
        <v>1</v>
      </c>
      <c r="CK1590">
        <v>21</v>
      </c>
      <c r="CL1590" t="s">
        <v>89</v>
      </c>
    </row>
    <row r="1591" spans="1:90">
      <c r="A1591" t="s">
        <v>72</v>
      </c>
      <c r="B1591" t="s">
        <v>73</v>
      </c>
      <c r="C1591" t="s">
        <v>74</v>
      </c>
      <c r="E1591" t="str">
        <f>"FES1162722833"</f>
        <v>FES1162722833</v>
      </c>
      <c r="F1591" s="3">
        <v>43782</v>
      </c>
      <c r="G1591">
        <v>202005</v>
      </c>
      <c r="H1591" t="s">
        <v>75</v>
      </c>
      <c r="I1591" t="s">
        <v>76</v>
      </c>
      <c r="J1591" t="s">
        <v>77</v>
      </c>
      <c r="K1591" t="s">
        <v>78</v>
      </c>
      <c r="L1591" t="s">
        <v>482</v>
      </c>
      <c r="M1591" t="s">
        <v>483</v>
      </c>
      <c r="N1591" t="s">
        <v>1054</v>
      </c>
      <c r="O1591" t="s">
        <v>82</v>
      </c>
      <c r="P1591" t="str">
        <f>"2170716923                    "</f>
        <v xml:space="preserve">2170716923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6.71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 s="4">
        <v>39.42</v>
      </c>
      <c r="BM1591" s="4">
        <v>5.91</v>
      </c>
      <c r="BN1591" s="4">
        <v>45.33</v>
      </c>
      <c r="BO1591" s="4">
        <v>45.33</v>
      </c>
      <c r="BQ1591" t="s">
        <v>109</v>
      </c>
      <c r="BR1591" t="s">
        <v>84</v>
      </c>
      <c r="BS1591" s="3">
        <v>43783</v>
      </c>
      <c r="BT1591" s="5">
        <v>0.32916666666666666</v>
      </c>
      <c r="BU1591" t="s">
        <v>2002</v>
      </c>
      <c r="BV1591" t="s">
        <v>86</v>
      </c>
      <c r="BY1591">
        <v>1200</v>
      </c>
      <c r="CA1591" t="s">
        <v>486</v>
      </c>
      <c r="CC1591" t="s">
        <v>483</v>
      </c>
      <c r="CD1591">
        <v>1459</v>
      </c>
      <c r="CE1591" t="s">
        <v>147</v>
      </c>
      <c r="CF1591" s="3">
        <v>43784</v>
      </c>
      <c r="CI1591">
        <v>1</v>
      </c>
      <c r="CJ1591">
        <v>1</v>
      </c>
      <c r="CK1591">
        <v>22</v>
      </c>
      <c r="CL1591" t="s">
        <v>89</v>
      </c>
    </row>
    <row r="1592" spans="1:90">
      <c r="A1592" t="s">
        <v>72</v>
      </c>
      <c r="B1592" t="s">
        <v>73</v>
      </c>
      <c r="C1592" t="s">
        <v>74</v>
      </c>
      <c r="E1592" t="str">
        <f>"FES1162722937"</f>
        <v>FES1162722937</v>
      </c>
      <c r="F1592" s="3">
        <v>43782</v>
      </c>
      <c r="G1592">
        <v>202005</v>
      </c>
      <c r="H1592" t="s">
        <v>75</v>
      </c>
      <c r="I1592" t="s">
        <v>76</v>
      </c>
      <c r="J1592" t="s">
        <v>77</v>
      </c>
      <c r="K1592" t="s">
        <v>78</v>
      </c>
      <c r="L1592" t="s">
        <v>124</v>
      </c>
      <c r="M1592" t="s">
        <v>125</v>
      </c>
      <c r="N1592" t="s">
        <v>2044</v>
      </c>
      <c r="O1592" t="s">
        <v>82</v>
      </c>
      <c r="P1592" t="str">
        <f>"217071032                     "</f>
        <v xml:space="preserve">217071032 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6.71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 s="4">
        <v>39.42</v>
      </c>
      <c r="BM1592" s="4">
        <v>5.91</v>
      </c>
      <c r="BN1592" s="4">
        <v>45.33</v>
      </c>
      <c r="BO1592" s="4">
        <v>45.33</v>
      </c>
      <c r="BQ1592" t="s">
        <v>121</v>
      </c>
      <c r="BR1592" t="s">
        <v>84</v>
      </c>
      <c r="BS1592" s="3">
        <v>43783</v>
      </c>
      <c r="BT1592" s="5">
        <v>0.4375</v>
      </c>
      <c r="BU1592" t="s">
        <v>2045</v>
      </c>
      <c r="BV1592" t="s">
        <v>86</v>
      </c>
      <c r="BY1592">
        <v>1200</v>
      </c>
      <c r="CA1592" t="s">
        <v>797</v>
      </c>
      <c r="CC1592" t="s">
        <v>125</v>
      </c>
      <c r="CD1592">
        <v>2000</v>
      </c>
      <c r="CE1592" t="s">
        <v>147</v>
      </c>
      <c r="CF1592" s="3">
        <v>43784</v>
      </c>
      <c r="CI1592">
        <v>1</v>
      </c>
      <c r="CJ1592">
        <v>1</v>
      </c>
      <c r="CK1592">
        <v>22</v>
      </c>
      <c r="CL1592" t="s">
        <v>89</v>
      </c>
    </row>
    <row r="1593" spans="1:90">
      <c r="A1593" t="s">
        <v>72</v>
      </c>
      <c r="B1593" t="s">
        <v>73</v>
      </c>
      <c r="C1593" t="s">
        <v>74</v>
      </c>
      <c r="E1593" t="str">
        <f>"FES1162722911"</f>
        <v>FES1162722911</v>
      </c>
      <c r="F1593" s="3">
        <v>43782</v>
      </c>
      <c r="G1593">
        <v>202005</v>
      </c>
      <c r="H1593" t="s">
        <v>75</v>
      </c>
      <c r="I1593" t="s">
        <v>76</v>
      </c>
      <c r="J1593" t="s">
        <v>77</v>
      </c>
      <c r="K1593" t="s">
        <v>78</v>
      </c>
      <c r="L1593" t="s">
        <v>101</v>
      </c>
      <c r="M1593" t="s">
        <v>102</v>
      </c>
      <c r="N1593" t="s">
        <v>497</v>
      </c>
      <c r="O1593" t="s">
        <v>82</v>
      </c>
      <c r="P1593" t="str">
        <f>"2170716999                    "</f>
        <v xml:space="preserve">2170716999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8.58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 s="4">
        <v>50.45</v>
      </c>
      <c r="BM1593" s="4">
        <v>7.57</v>
      </c>
      <c r="BN1593" s="4">
        <v>58.02</v>
      </c>
      <c r="BO1593" s="4">
        <v>58.02</v>
      </c>
      <c r="BQ1593" t="s">
        <v>109</v>
      </c>
      <c r="BR1593" t="s">
        <v>84</v>
      </c>
      <c r="BS1593" s="3">
        <v>43783</v>
      </c>
      <c r="BT1593" s="5">
        <v>0.375</v>
      </c>
      <c r="BU1593" t="s">
        <v>498</v>
      </c>
      <c r="BV1593" t="s">
        <v>86</v>
      </c>
      <c r="BY1593">
        <v>1200</v>
      </c>
      <c r="CA1593" t="s">
        <v>183</v>
      </c>
      <c r="CC1593" t="s">
        <v>102</v>
      </c>
      <c r="CD1593">
        <v>200</v>
      </c>
      <c r="CE1593" t="s">
        <v>147</v>
      </c>
      <c r="CF1593" s="3">
        <v>43784</v>
      </c>
      <c r="CI1593">
        <v>1</v>
      </c>
      <c r="CJ1593">
        <v>1</v>
      </c>
      <c r="CK1593">
        <v>21</v>
      </c>
      <c r="CL1593" t="s">
        <v>89</v>
      </c>
    </row>
    <row r="1594" spans="1:90">
      <c r="A1594" t="s">
        <v>72</v>
      </c>
      <c r="B1594" t="s">
        <v>73</v>
      </c>
      <c r="C1594" t="s">
        <v>74</v>
      </c>
      <c r="E1594" t="str">
        <f>"FES1162722853"</f>
        <v>FES1162722853</v>
      </c>
      <c r="F1594" s="3">
        <v>43782</v>
      </c>
      <c r="G1594">
        <v>202005</v>
      </c>
      <c r="H1594" t="s">
        <v>75</v>
      </c>
      <c r="I1594" t="s">
        <v>76</v>
      </c>
      <c r="J1594" t="s">
        <v>77</v>
      </c>
      <c r="K1594" t="s">
        <v>78</v>
      </c>
      <c r="L1594" t="s">
        <v>101</v>
      </c>
      <c r="M1594" t="s">
        <v>102</v>
      </c>
      <c r="N1594" t="s">
        <v>2046</v>
      </c>
      <c r="O1594" t="s">
        <v>82</v>
      </c>
      <c r="P1594" t="str">
        <f>"2170716945                    "</f>
        <v xml:space="preserve">2170716945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8.58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 s="4">
        <v>50.45</v>
      </c>
      <c r="BM1594" s="4">
        <v>7.57</v>
      </c>
      <c r="BN1594" s="4">
        <v>58.02</v>
      </c>
      <c r="BO1594" s="4">
        <v>58.02</v>
      </c>
      <c r="BQ1594" t="s">
        <v>109</v>
      </c>
      <c r="BR1594" t="s">
        <v>84</v>
      </c>
      <c r="BS1594" s="3">
        <v>43784</v>
      </c>
      <c r="BT1594" s="5">
        <v>0.5083333333333333</v>
      </c>
      <c r="BU1594" t="s">
        <v>694</v>
      </c>
      <c r="BV1594" t="s">
        <v>89</v>
      </c>
      <c r="BY1594">
        <v>1200</v>
      </c>
      <c r="CC1594" t="s">
        <v>102</v>
      </c>
      <c r="CD1594">
        <v>82</v>
      </c>
      <c r="CE1594" t="s">
        <v>147</v>
      </c>
      <c r="CF1594" s="3">
        <v>43787</v>
      </c>
      <c r="CI1594">
        <v>1</v>
      </c>
      <c r="CJ1594">
        <v>2</v>
      </c>
      <c r="CK1594">
        <v>21</v>
      </c>
      <c r="CL1594" t="s">
        <v>89</v>
      </c>
    </row>
    <row r="1595" spans="1:90">
      <c r="A1595" t="s">
        <v>72</v>
      </c>
      <c r="B1595" t="s">
        <v>73</v>
      </c>
      <c r="C1595" t="s">
        <v>74</v>
      </c>
      <c r="E1595" t="str">
        <f>"FES1162722920"</f>
        <v>FES1162722920</v>
      </c>
      <c r="F1595" s="3">
        <v>43782</v>
      </c>
      <c r="G1595">
        <v>202005</v>
      </c>
      <c r="H1595" t="s">
        <v>75</v>
      </c>
      <c r="I1595" t="s">
        <v>76</v>
      </c>
      <c r="J1595" t="s">
        <v>77</v>
      </c>
      <c r="K1595" t="s">
        <v>78</v>
      </c>
      <c r="L1595" t="s">
        <v>925</v>
      </c>
      <c r="M1595" t="s">
        <v>926</v>
      </c>
      <c r="N1595" t="s">
        <v>927</v>
      </c>
      <c r="O1595" t="s">
        <v>82</v>
      </c>
      <c r="P1595" t="str">
        <f>"2170719427                    "</f>
        <v xml:space="preserve">2170719427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12.07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 s="4">
        <v>70.95</v>
      </c>
      <c r="BM1595" s="4">
        <v>10.64</v>
      </c>
      <c r="BN1595" s="4">
        <v>81.59</v>
      </c>
      <c r="BO1595" s="4">
        <v>81.59</v>
      </c>
      <c r="BQ1595" t="s">
        <v>109</v>
      </c>
      <c r="BR1595" t="s">
        <v>84</v>
      </c>
      <c r="BS1595" s="3">
        <v>43783</v>
      </c>
      <c r="BT1595" s="5">
        <v>0.625</v>
      </c>
      <c r="BU1595" t="s">
        <v>1948</v>
      </c>
      <c r="BV1595" t="s">
        <v>86</v>
      </c>
      <c r="BY1595">
        <v>1200</v>
      </c>
      <c r="CA1595" t="s">
        <v>929</v>
      </c>
      <c r="CC1595" t="s">
        <v>926</v>
      </c>
      <c r="CD1595">
        <v>1028</v>
      </c>
      <c r="CE1595" t="s">
        <v>147</v>
      </c>
      <c r="CF1595" s="3">
        <v>43787</v>
      </c>
      <c r="CI1595">
        <v>1</v>
      </c>
      <c r="CJ1595">
        <v>1</v>
      </c>
      <c r="CK1595">
        <v>24</v>
      </c>
      <c r="CL1595" t="s">
        <v>89</v>
      </c>
    </row>
    <row r="1596" spans="1:90">
      <c r="A1596" t="s">
        <v>72</v>
      </c>
      <c r="B1596" t="s">
        <v>73</v>
      </c>
      <c r="C1596" t="s">
        <v>74</v>
      </c>
      <c r="E1596" t="str">
        <f>"FES1162722991"</f>
        <v>FES1162722991</v>
      </c>
      <c r="F1596" s="3">
        <v>43782</v>
      </c>
      <c r="G1596">
        <v>202005</v>
      </c>
      <c r="H1596" t="s">
        <v>75</v>
      </c>
      <c r="I1596" t="s">
        <v>76</v>
      </c>
      <c r="J1596" t="s">
        <v>77</v>
      </c>
      <c r="K1596" t="s">
        <v>78</v>
      </c>
      <c r="L1596" t="s">
        <v>90</v>
      </c>
      <c r="M1596" t="s">
        <v>91</v>
      </c>
      <c r="N1596" t="s">
        <v>576</v>
      </c>
      <c r="O1596" t="s">
        <v>82</v>
      </c>
      <c r="P1596" t="str">
        <f>"2170717087                    "</f>
        <v xml:space="preserve">2170717087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8.58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 s="4">
        <v>50.45</v>
      </c>
      <c r="BM1596" s="4">
        <v>7.57</v>
      </c>
      <c r="BN1596" s="4">
        <v>58.02</v>
      </c>
      <c r="BO1596" s="4">
        <v>58.02</v>
      </c>
      <c r="BQ1596" t="s">
        <v>109</v>
      </c>
      <c r="BR1596" t="s">
        <v>84</v>
      </c>
      <c r="BS1596" s="3">
        <v>43783</v>
      </c>
      <c r="BT1596" s="5">
        <v>0.3666666666666667</v>
      </c>
      <c r="BU1596" t="s">
        <v>1145</v>
      </c>
      <c r="BV1596" t="s">
        <v>86</v>
      </c>
      <c r="BY1596">
        <v>1200</v>
      </c>
      <c r="CA1596" t="s">
        <v>1146</v>
      </c>
      <c r="CC1596" t="s">
        <v>91</v>
      </c>
      <c r="CD1596">
        <v>7441</v>
      </c>
      <c r="CE1596" t="s">
        <v>147</v>
      </c>
      <c r="CF1596" s="3">
        <v>43784</v>
      </c>
      <c r="CI1596">
        <v>1</v>
      </c>
      <c r="CJ1596">
        <v>1</v>
      </c>
      <c r="CK1596">
        <v>21</v>
      </c>
      <c r="CL1596" t="s">
        <v>89</v>
      </c>
    </row>
    <row r="1597" spans="1:90">
      <c r="A1597" t="s">
        <v>72</v>
      </c>
      <c r="B1597" t="s">
        <v>73</v>
      </c>
      <c r="C1597" t="s">
        <v>74</v>
      </c>
      <c r="E1597" t="str">
        <f>"FES1162722980"</f>
        <v>FES1162722980</v>
      </c>
      <c r="F1597" s="3">
        <v>43782</v>
      </c>
      <c r="G1597">
        <v>202005</v>
      </c>
      <c r="H1597" t="s">
        <v>75</v>
      </c>
      <c r="I1597" t="s">
        <v>76</v>
      </c>
      <c r="J1597" t="s">
        <v>77</v>
      </c>
      <c r="K1597" t="s">
        <v>78</v>
      </c>
      <c r="L1597" t="s">
        <v>90</v>
      </c>
      <c r="M1597" t="s">
        <v>91</v>
      </c>
      <c r="N1597" t="s">
        <v>401</v>
      </c>
      <c r="O1597" t="s">
        <v>82</v>
      </c>
      <c r="P1597" t="str">
        <f>"2170717076                    "</f>
        <v xml:space="preserve">2170717076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8.58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 s="4">
        <v>50.45</v>
      </c>
      <c r="BM1597" s="4">
        <v>7.57</v>
      </c>
      <c r="BN1597" s="4">
        <v>58.02</v>
      </c>
      <c r="BO1597" s="4">
        <v>58.02</v>
      </c>
      <c r="BQ1597" t="s">
        <v>109</v>
      </c>
      <c r="BR1597" t="s">
        <v>84</v>
      </c>
      <c r="BS1597" s="3">
        <v>43783</v>
      </c>
      <c r="BT1597" s="5">
        <v>0.35138888888888892</v>
      </c>
      <c r="BU1597" t="s">
        <v>1941</v>
      </c>
      <c r="BV1597" t="s">
        <v>86</v>
      </c>
      <c r="BY1597">
        <v>1200</v>
      </c>
      <c r="CA1597" t="s">
        <v>1942</v>
      </c>
      <c r="CC1597" t="s">
        <v>91</v>
      </c>
      <c r="CD1597">
        <v>7441</v>
      </c>
      <c r="CE1597" t="s">
        <v>147</v>
      </c>
      <c r="CF1597" s="3">
        <v>43784</v>
      </c>
      <c r="CI1597">
        <v>1</v>
      </c>
      <c r="CJ1597">
        <v>1</v>
      </c>
      <c r="CK1597">
        <v>21</v>
      </c>
      <c r="CL1597" t="s">
        <v>89</v>
      </c>
    </row>
    <row r="1598" spans="1:90">
      <c r="A1598" t="s">
        <v>72</v>
      </c>
      <c r="B1598" t="s">
        <v>73</v>
      </c>
      <c r="C1598" t="s">
        <v>74</v>
      </c>
      <c r="E1598" t="str">
        <f>"FES1162722977"</f>
        <v>FES1162722977</v>
      </c>
      <c r="F1598" s="3">
        <v>43782</v>
      </c>
      <c r="G1598">
        <v>202005</v>
      </c>
      <c r="H1598" t="s">
        <v>75</v>
      </c>
      <c r="I1598" t="s">
        <v>76</v>
      </c>
      <c r="J1598" t="s">
        <v>77</v>
      </c>
      <c r="K1598" t="s">
        <v>78</v>
      </c>
      <c r="L1598" t="s">
        <v>106</v>
      </c>
      <c r="M1598" t="s">
        <v>107</v>
      </c>
      <c r="N1598" t="s">
        <v>1637</v>
      </c>
      <c r="O1598" t="s">
        <v>82</v>
      </c>
      <c r="P1598" t="str">
        <f>"2170717073                    "</f>
        <v xml:space="preserve">2170717073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8.58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 s="4">
        <v>50.45</v>
      </c>
      <c r="BM1598" s="4">
        <v>7.57</v>
      </c>
      <c r="BN1598" s="4">
        <v>58.02</v>
      </c>
      <c r="BO1598" s="4">
        <v>58.02</v>
      </c>
      <c r="BR1598" t="s">
        <v>84</v>
      </c>
      <c r="BS1598" s="3">
        <v>43783</v>
      </c>
      <c r="BT1598" s="5">
        <v>0.42499999999999999</v>
      </c>
      <c r="BU1598" t="s">
        <v>2047</v>
      </c>
      <c r="BV1598" t="s">
        <v>86</v>
      </c>
      <c r="BY1598">
        <v>1200</v>
      </c>
      <c r="CA1598" t="s">
        <v>773</v>
      </c>
      <c r="CC1598" t="s">
        <v>107</v>
      </c>
      <c r="CD1598">
        <v>6210</v>
      </c>
      <c r="CE1598" t="s">
        <v>147</v>
      </c>
      <c r="CF1598" s="3">
        <v>43784</v>
      </c>
      <c r="CI1598">
        <v>1</v>
      </c>
      <c r="CJ1598">
        <v>1</v>
      </c>
      <c r="CK1598">
        <v>21</v>
      </c>
      <c r="CL1598" t="s">
        <v>89</v>
      </c>
    </row>
    <row r="1599" spans="1:90">
      <c r="A1599" t="s">
        <v>72</v>
      </c>
      <c r="B1599" t="s">
        <v>73</v>
      </c>
      <c r="C1599" t="s">
        <v>74</v>
      </c>
      <c r="E1599" t="str">
        <f>"FES1162722865"</f>
        <v>FES1162722865</v>
      </c>
      <c r="F1599" s="3">
        <v>43782</v>
      </c>
      <c r="G1599">
        <v>202005</v>
      </c>
      <c r="H1599" t="s">
        <v>75</v>
      </c>
      <c r="I1599" t="s">
        <v>76</v>
      </c>
      <c r="J1599" t="s">
        <v>77</v>
      </c>
      <c r="K1599" t="s">
        <v>78</v>
      </c>
      <c r="L1599" t="s">
        <v>124</v>
      </c>
      <c r="M1599" t="s">
        <v>125</v>
      </c>
      <c r="N1599" t="s">
        <v>218</v>
      </c>
      <c r="O1599" t="s">
        <v>82</v>
      </c>
      <c r="P1599" t="str">
        <f>"2170716958                    "</f>
        <v xml:space="preserve">2170716958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8.31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2.7</v>
      </c>
      <c r="BJ1599">
        <v>0.8</v>
      </c>
      <c r="BK1599">
        <v>3</v>
      </c>
      <c r="BL1599" s="4">
        <v>48.86</v>
      </c>
      <c r="BM1599" s="4">
        <v>7.33</v>
      </c>
      <c r="BN1599" s="4">
        <v>56.19</v>
      </c>
      <c r="BO1599" s="4">
        <v>56.19</v>
      </c>
      <c r="BQ1599" t="s">
        <v>121</v>
      </c>
      <c r="BR1599" t="s">
        <v>84</v>
      </c>
      <c r="BS1599" s="3">
        <v>43783</v>
      </c>
      <c r="BT1599" s="5">
        <v>0.40972222222222227</v>
      </c>
      <c r="BU1599" t="s">
        <v>1908</v>
      </c>
      <c r="BV1599" t="s">
        <v>86</v>
      </c>
      <c r="BY1599">
        <v>3936.65</v>
      </c>
      <c r="CA1599" t="s">
        <v>837</v>
      </c>
      <c r="CC1599" t="s">
        <v>125</v>
      </c>
      <c r="CD1599">
        <v>2094</v>
      </c>
      <c r="CE1599" t="s">
        <v>88</v>
      </c>
      <c r="CF1599" s="3">
        <v>43784</v>
      </c>
      <c r="CI1599">
        <v>1</v>
      </c>
      <c r="CJ1599">
        <v>1</v>
      </c>
      <c r="CK1599">
        <v>22</v>
      </c>
      <c r="CL1599" t="s">
        <v>89</v>
      </c>
    </row>
    <row r="1600" spans="1:90">
      <c r="A1600" t="s">
        <v>72</v>
      </c>
      <c r="B1600" t="s">
        <v>73</v>
      </c>
      <c r="C1600" t="s">
        <v>74</v>
      </c>
      <c r="E1600" t="str">
        <f>"FES1162722896"</f>
        <v>FES1162722896</v>
      </c>
      <c r="F1600" s="3">
        <v>43782</v>
      </c>
      <c r="G1600">
        <v>202005</v>
      </c>
      <c r="H1600" t="s">
        <v>75</v>
      </c>
      <c r="I1600" t="s">
        <v>76</v>
      </c>
      <c r="J1600" t="s">
        <v>77</v>
      </c>
      <c r="K1600" t="s">
        <v>78</v>
      </c>
      <c r="L1600" t="s">
        <v>95</v>
      </c>
      <c r="M1600" t="s">
        <v>96</v>
      </c>
      <c r="N1600" t="s">
        <v>330</v>
      </c>
      <c r="O1600" t="s">
        <v>82</v>
      </c>
      <c r="P1600" t="str">
        <f>"2170716983                    "</f>
        <v xml:space="preserve">2170716983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10.72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4.3</v>
      </c>
      <c r="BJ1600">
        <v>1.3</v>
      </c>
      <c r="BK1600">
        <v>4.5</v>
      </c>
      <c r="BL1600" s="4">
        <v>63.03</v>
      </c>
      <c r="BM1600" s="4">
        <v>9.4499999999999993</v>
      </c>
      <c r="BN1600" s="4">
        <v>72.48</v>
      </c>
      <c r="BO1600" s="4">
        <v>72.48</v>
      </c>
      <c r="BQ1600" t="s">
        <v>109</v>
      </c>
      <c r="BR1600" t="s">
        <v>84</v>
      </c>
      <c r="BS1600" s="3">
        <v>43783</v>
      </c>
      <c r="BT1600" s="5">
        <v>0.35069444444444442</v>
      </c>
      <c r="BU1600" t="s">
        <v>1954</v>
      </c>
      <c r="BV1600" t="s">
        <v>86</v>
      </c>
      <c r="BY1600">
        <v>6495.72</v>
      </c>
      <c r="CC1600" t="s">
        <v>96</v>
      </c>
      <c r="CD1600">
        <v>1451</v>
      </c>
      <c r="CE1600" t="s">
        <v>88</v>
      </c>
      <c r="CF1600" s="3">
        <v>43784</v>
      </c>
      <c r="CI1600">
        <v>1</v>
      </c>
      <c r="CJ1600">
        <v>1</v>
      </c>
      <c r="CK1600">
        <v>22</v>
      </c>
      <c r="CL1600" t="s">
        <v>89</v>
      </c>
    </row>
    <row r="1601" spans="1:90">
      <c r="A1601" t="s">
        <v>72</v>
      </c>
      <c r="B1601" t="s">
        <v>73</v>
      </c>
      <c r="C1601" t="s">
        <v>74</v>
      </c>
      <c r="E1601" t="str">
        <f>"FES1162722900"</f>
        <v>FES1162722900</v>
      </c>
      <c r="F1601" s="3">
        <v>43782</v>
      </c>
      <c r="G1601">
        <v>202005</v>
      </c>
      <c r="H1601" t="s">
        <v>75</v>
      </c>
      <c r="I1601" t="s">
        <v>76</v>
      </c>
      <c r="J1601" t="s">
        <v>77</v>
      </c>
      <c r="K1601" t="s">
        <v>78</v>
      </c>
      <c r="L1601" t="s">
        <v>124</v>
      </c>
      <c r="M1601" t="s">
        <v>125</v>
      </c>
      <c r="N1601" t="s">
        <v>1492</v>
      </c>
      <c r="O1601" t="s">
        <v>82</v>
      </c>
      <c r="P1601" t="str">
        <f>"2170716991                    "</f>
        <v xml:space="preserve">2170716991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9.92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2.4</v>
      </c>
      <c r="BJ1601">
        <v>3.8</v>
      </c>
      <c r="BK1601">
        <v>4</v>
      </c>
      <c r="BL1601" s="4">
        <v>58.31</v>
      </c>
      <c r="BM1601" s="4">
        <v>8.75</v>
      </c>
      <c r="BN1601" s="4">
        <v>67.06</v>
      </c>
      <c r="BO1601" s="4">
        <v>67.06</v>
      </c>
      <c r="BQ1601" t="s">
        <v>109</v>
      </c>
      <c r="BR1601" t="s">
        <v>84</v>
      </c>
      <c r="BS1601" s="3">
        <v>43783</v>
      </c>
      <c r="BT1601" s="5">
        <v>0.33333333333333331</v>
      </c>
      <c r="BU1601" t="s">
        <v>1879</v>
      </c>
      <c r="BV1601" t="s">
        <v>86</v>
      </c>
      <c r="BY1601">
        <v>19059.46</v>
      </c>
      <c r="CA1601" t="s">
        <v>470</v>
      </c>
      <c r="CC1601" t="s">
        <v>125</v>
      </c>
      <c r="CD1601">
        <v>2090</v>
      </c>
      <c r="CE1601" t="s">
        <v>88</v>
      </c>
      <c r="CF1601" s="3">
        <v>43784</v>
      </c>
      <c r="CI1601">
        <v>1</v>
      </c>
      <c r="CJ1601">
        <v>1</v>
      </c>
      <c r="CK1601">
        <v>22</v>
      </c>
      <c r="CL1601" t="s">
        <v>89</v>
      </c>
    </row>
    <row r="1602" spans="1:90">
      <c r="A1602" t="s">
        <v>72</v>
      </c>
      <c r="B1602" t="s">
        <v>73</v>
      </c>
      <c r="C1602" t="s">
        <v>74</v>
      </c>
      <c r="E1602" t="str">
        <f>"FES1162722970"</f>
        <v>FES1162722970</v>
      </c>
      <c r="F1602" s="3">
        <v>43782</v>
      </c>
      <c r="G1602">
        <v>202005</v>
      </c>
      <c r="H1602" t="s">
        <v>75</v>
      </c>
      <c r="I1602" t="s">
        <v>76</v>
      </c>
      <c r="J1602" t="s">
        <v>77</v>
      </c>
      <c r="K1602" t="s">
        <v>78</v>
      </c>
      <c r="L1602" t="s">
        <v>176</v>
      </c>
      <c r="M1602" t="s">
        <v>177</v>
      </c>
      <c r="N1602" t="s">
        <v>600</v>
      </c>
      <c r="O1602" t="s">
        <v>82</v>
      </c>
      <c r="P1602" t="str">
        <f>"2170717066                    "</f>
        <v xml:space="preserve">2170717066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15.02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1.9</v>
      </c>
      <c r="BJ1602">
        <v>3.2</v>
      </c>
      <c r="BK1602">
        <v>3.5</v>
      </c>
      <c r="BL1602" s="4">
        <v>88.27</v>
      </c>
      <c r="BM1602" s="4">
        <v>13.24</v>
      </c>
      <c r="BN1602" s="4">
        <v>101.51</v>
      </c>
      <c r="BO1602" s="4">
        <v>101.51</v>
      </c>
      <c r="BQ1602" t="s">
        <v>109</v>
      </c>
      <c r="BR1602" t="s">
        <v>84</v>
      </c>
      <c r="BS1602" s="3">
        <v>43783</v>
      </c>
      <c r="BT1602" s="5">
        <v>0.32083333333333336</v>
      </c>
      <c r="BU1602" t="s">
        <v>2048</v>
      </c>
      <c r="BV1602" t="s">
        <v>86</v>
      </c>
      <c r="BY1602">
        <v>15821.9</v>
      </c>
      <c r="CA1602" t="s">
        <v>224</v>
      </c>
      <c r="CC1602" t="s">
        <v>177</v>
      </c>
      <c r="CD1602">
        <v>3610</v>
      </c>
      <c r="CE1602" t="s">
        <v>88</v>
      </c>
      <c r="CF1602" s="3">
        <v>43784</v>
      </c>
      <c r="CI1602">
        <v>1</v>
      </c>
      <c r="CJ1602">
        <v>1</v>
      </c>
      <c r="CK1602">
        <v>21</v>
      </c>
      <c r="CL1602" t="s">
        <v>89</v>
      </c>
    </row>
    <row r="1603" spans="1:90">
      <c r="A1603" t="s">
        <v>72</v>
      </c>
      <c r="B1603" t="s">
        <v>73</v>
      </c>
      <c r="C1603" t="s">
        <v>74</v>
      </c>
      <c r="E1603" t="str">
        <f>"FES1162722981"</f>
        <v>FES1162722981</v>
      </c>
      <c r="F1603" s="3">
        <v>43782</v>
      </c>
      <c r="G1603">
        <v>202005</v>
      </c>
      <c r="H1603" t="s">
        <v>75</v>
      </c>
      <c r="I1603" t="s">
        <v>76</v>
      </c>
      <c r="J1603" t="s">
        <v>77</v>
      </c>
      <c r="K1603" t="s">
        <v>78</v>
      </c>
      <c r="L1603" t="s">
        <v>106</v>
      </c>
      <c r="M1603" t="s">
        <v>107</v>
      </c>
      <c r="N1603" t="s">
        <v>771</v>
      </c>
      <c r="O1603" t="s">
        <v>82</v>
      </c>
      <c r="P1603" t="str">
        <f>"2170717077                    "</f>
        <v xml:space="preserve">2170717077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8.58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 s="4">
        <v>50.45</v>
      </c>
      <c r="BM1603" s="4">
        <v>7.57</v>
      </c>
      <c r="BN1603" s="4">
        <v>58.02</v>
      </c>
      <c r="BO1603" s="4">
        <v>58.02</v>
      </c>
      <c r="BQ1603" t="s">
        <v>109</v>
      </c>
      <c r="BR1603" t="s">
        <v>84</v>
      </c>
      <c r="BS1603" s="3">
        <v>43783</v>
      </c>
      <c r="BT1603" s="5">
        <v>0.39374999999999999</v>
      </c>
      <c r="BU1603" t="s">
        <v>1911</v>
      </c>
      <c r="BV1603" t="s">
        <v>86</v>
      </c>
      <c r="BY1603">
        <v>1200</v>
      </c>
      <c r="CA1603" t="s">
        <v>773</v>
      </c>
      <c r="CC1603" t="s">
        <v>107</v>
      </c>
      <c r="CD1603">
        <v>6012</v>
      </c>
      <c r="CE1603" t="s">
        <v>147</v>
      </c>
      <c r="CF1603" s="3">
        <v>43784</v>
      </c>
      <c r="CI1603">
        <v>1</v>
      </c>
      <c r="CJ1603">
        <v>1</v>
      </c>
      <c r="CK1603">
        <v>21</v>
      </c>
      <c r="CL1603" t="s">
        <v>89</v>
      </c>
    </row>
    <row r="1604" spans="1:90">
      <c r="A1604" t="s">
        <v>72</v>
      </c>
      <c r="B1604" t="s">
        <v>73</v>
      </c>
      <c r="C1604" t="s">
        <v>74</v>
      </c>
      <c r="E1604" t="str">
        <f>"FES1162722984"</f>
        <v>FES1162722984</v>
      </c>
      <c r="F1604" s="3">
        <v>43782</v>
      </c>
      <c r="G1604">
        <v>202005</v>
      </c>
      <c r="H1604" t="s">
        <v>75</v>
      </c>
      <c r="I1604" t="s">
        <v>76</v>
      </c>
      <c r="J1604" t="s">
        <v>77</v>
      </c>
      <c r="K1604" t="s">
        <v>78</v>
      </c>
      <c r="L1604" t="s">
        <v>225</v>
      </c>
      <c r="M1604" t="s">
        <v>226</v>
      </c>
      <c r="N1604" t="s">
        <v>1006</v>
      </c>
      <c r="O1604" t="s">
        <v>82</v>
      </c>
      <c r="P1604" t="str">
        <f>"2170717080                    "</f>
        <v xml:space="preserve">2170717080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8.58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1.2</v>
      </c>
      <c r="BJ1604">
        <v>0.8</v>
      </c>
      <c r="BK1604">
        <v>1.5</v>
      </c>
      <c r="BL1604" s="4">
        <v>50.45</v>
      </c>
      <c r="BM1604" s="4">
        <v>7.57</v>
      </c>
      <c r="BN1604" s="4">
        <v>58.02</v>
      </c>
      <c r="BO1604" s="4">
        <v>58.02</v>
      </c>
      <c r="BQ1604" t="s">
        <v>121</v>
      </c>
      <c r="BR1604" t="s">
        <v>84</v>
      </c>
      <c r="BS1604" s="3">
        <v>43783</v>
      </c>
      <c r="BT1604" s="5">
        <v>0.3840277777777778</v>
      </c>
      <c r="BU1604" t="s">
        <v>1978</v>
      </c>
      <c r="BV1604" t="s">
        <v>86</v>
      </c>
      <c r="BY1604">
        <v>4104.95</v>
      </c>
      <c r="CA1604" t="s">
        <v>448</v>
      </c>
      <c r="CC1604" t="s">
        <v>226</v>
      </c>
      <c r="CD1604">
        <v>4026</v>
      </c>
      <c r="CE1604" t="s">
        <v>88</v>
      </c>
      <c r="CF1604" s="3">
        <v>43784</v>
      </c>
      <c r="CI1604">
        <v>1</v>
      </c>
      <c r="CJ1604">
        <v>1</v>
      </c>
      <c r="CK1604">
        <v>21</v>
      </c>
      <c r="CL1604" t="s">
        <v>89</v>
      </c>
    </row>
    <row r="1605" spans="1:90">
      <c r="A1605" t="s">
        <v>72</v>
      </c>
      <c r="B1605" t="s">
        <v>73</v>
      </c>
      <c r="C1605" t="s">
        <v>74</v>
      </c>
      <c r="E1605" t="str">
        <f>"FES1162722964"</f>
        <v>FES1162722964</v>
      </c>
      <c r="F1605" s="3">
        <v>43782</v>
      </c>
      <c r="G1605">
        <v>202005</v>
      </c>
      <c r="H1605" t="s">
        <v>75</v>
      </c>
      <c r="I1605" t="s">
        <v>76</v>
      </c>
      <c r="J1605" t="s">
        <v>77</v>
      </c>
      <c r="K1605" t="s">
        <v>78</v>
      </c>
      <c r="L1605" t="s">
        <v>176</v>
      </c>
      <c r="M1605" t="s">
        <v>177</v>
      </c>
      <c r="N1605" t="s">
        <v>1778</v>
      </c>
      <c r="O1605" t="s">
        <v>82</v>
      </c>
      <c r="P1605" t="str">
        <f>"2170717060                    "</f>
        <v xml:space="preserve">2170717060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15.02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3.3</v>
      </c>
      <c r="BJ1605">
        <v>0.8</v>
      </c>
      <c r="BK1605">
        <v>3.5</v>
      </c>
      <c r="BL1605" s="4">
        <v>88.27</v>
      </c>
      <c r="BM1605" s="4">
        <v>13.24</v>
      </c>
      <c r="BN1605" s="4">
        <v>101.51</v>
      </c>
      <c r="BO1605" s="4">
        <v>101.51</v>
      </c>
      <c r="BQ1605" t="s">
        <v>161</v>
      </c>
      <c r="BR1605" t="s">
        <v>84</v>
      </c>
      <c r="BS1605" s="3">
        <v>43783</v>
      </c>
      <c r="BT1605" s="5">
        <v>0.30208333333333331</v>
      </c>
      <c r="BU1605" t="s">
        <v>573</v>
      </c>
      <c r="BV1605" t="s">
        <v>86</v>
      </c>
      <c r="BY1605">
        <v>3863.03</v>
      </c>
      <c r="CA1605" t="s">
        <v>1339</v>
      </c>
      <c r="CC1605" t="s">
        <v>177</v>
      </c>
      <c r="CD1605">
        <v>4037</v>
      </c>
      <c r="CE1605" t="s">
        <v>88</v>
      </c>
      <c r="CF1605" s="3">
        <v>43784</v>
      </c>
      <c r="CI1605">
        <v>1</v>
      </c>
      <c r="CJ1605">
        <v>1</v>
      </c>
      <c r="CK1605">
        <v>21</v>
      </c>
      <c r="CL1605" t="s">
        <v>89</v>
      </c>
    </row>
    <row r="1606" spans="1:90">
      <c r="A1606" t="s">
        <v>72</v>
      </c>
      <c r="B1606" t="s">
        <v>73</v>
      </c>
      <c r="C1606" t="s">
        <v>74</v>
      </c>
      <c r="E1606" t="str">
        <f>"FES1162722987"</f>
        <v>FES1162722987</v>
      </c>
      <c r="F1606" s="3">
        <v>43782</v>
      </c>
      <c r="G1606">
        <v>202005</v>
      </c>
      <c r="H1606" t="s">
        <v>75</v>
      </c>
      <c r="I1606" t="s">
        <v>76</v>
      </c>
      <c r="J1606" t="s">
        <v>77</v>
      </c>
      <c r="K1606" t="s">
        <v>78</v>
      </c>
      <c r="L1606" t="s">
        <v>90</v>
      </c>
      <c r="M1606" t="s">
        <v>91</v>
      </c>
      <c r="N1606" t="s">
        <v>2049</v>
      </c>
      <c r="O1606" t="s">
        <v>82</v>
      </c>
      <c r="P1606" t="str">
        <f>"2170717083                    "</f>
        <v xml:space="preserve">2170717083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8.58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 s="4">
        <v>50.45</v>
      </c>
      <c r="BM1606" s="4">
        <v>7.57</v>
      </c>
      <c r="BN1606" s="4">
        <v>58.02</v>
      </c>
      <c r="BO1606" s="4">
        <v>58.02</v>
      </c>
      <c r="BQ1606" t="s">
        <v>2050</v>
      </c>
      <c r="BR1606" t="s">
        <v>84</v>
      </c>
      <c r="BS1606" s="3">
        <v>43783</v>
      </c>
      <c r="BT1606" s="5">
        <v>0.3840277777777778</v>
      </c>
      <c r="BU1606" t="s">
        <v>1721</v>
      </c>
      <c r="BV1606" t="s">
        <v>86</v>
      </c>
      <c r="BY1606">
        <v>1200</v>
      </c>
      <c r="CA1606" t="s">
        <v>329</v>
      </c>
      <c r="CC1606" t="s">
        <v>91</v>
      </c>
      <c r="CD1606">
        <v>7700</v>
      </c>
      <c r="CE1606" t="s">
        <v>147</v>
      </c>
      <c r="CF1606" s="3">
        <v>43784</v>
      </c>
      <c r="CI1606">
        <v>1</v>
      </c>
      <c r="CJ1606">
        <v>1</v>
      </c>
      <c r="CK1606">
        <v>21</v>
      </c>
      <c r="CL1606" t="s">
        <v>89</v>
      </c>
    </row>
    <row r="1607" spans="1:90">
      <c r="A1607" t="s">
        <v>72</v>
      </c>
      <c r="B1607" t="s">
        <v>73</v>
      </c>
      <c r="C1607" t="s">
        <v>74</v>
      </c>
      <c r="E1607" t="str">
        <f>"FES1162722894"</f>
        <v>FES1162722894</v>
      </c>
      <c r="F1607" s="3">
        <v>43782</v>
      </c>
      <c r="G1607">
        <v>202005</v>
      </c>
      <c r="H1607" t="s">
        <v>75</v>
      </c>
      <c r="I1607" t="s">
        <v>76</v>
      </c>
      <c r="J1607" t="s">
        <v>77</v>
      </c>
      <c r="K1607" t="s">
        <v>78</v>
      </c>
      <c r="L1607" t="s">
        <v>75</v>
      </c>
      <c r="M1607" t="s">
        <v>76</v>
      </c>
      <c r="N1607" t="s">
        <v>466</v>
      </c>
      <c r="O1607" t="s">
        <v>82</v>
      </c>
      <c r="P1607" t="str">
        <f>"2170716980                    "</f>
        <v xml:space="preserve">2170716980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19.559999999999999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10</v>
      </c>
      <c r="BJ1607">
        <v>9.1</v>
      </c>
      <c r="BK1607">
        <v>10</v>
      </c>
      <c r="BL1607" s="4">
        <v>114.99</v>
      </c>
      <c r="BM1607" s="4">
        <v>17.25</v>
      </c>
      <c r="BN1607" s="4">
        <v>132.24</v>
      </c>
      <c r="BO1607" s="4">
        <v>132.24</v>
      </c>
      <c r="BQ1607" t="s">
        <v>109</v>
      </c>
      <c r="BR1607" t="s">
        <v>84</v>
      </c>
      <c r="BS1607" s="3">
        <v>43783</v>
      </c>
      <c r="BT1607" s="5">
        <v>0.4375</v>
      </c>
      <c r="BU1607" t="s">
        <v>467</v>
      </c>
      <c r="BV1607" t="s">
        <v>86</v>
      </c>
      <c r="BY1607">
        <v>45632</v>
      </c>
      <c r="CC1607" t="s">
        <v>76</v>
      </c>
      <c r="CD1607">
        <v>1609</v>
      </c>
      <c r="CE1607" t="s">
        <v>88</v>
      </c>
      <c r="CF1607" s="3">
        <v>43784</v>
      </c>
      <c r="CI1607">
        <v>1</v>
      </c>
      <c r="CJ1607">
        <v>1</v>
      </c>
      <c r="CK1607">
        <v>22</v>
      </c>
      <c r="CL1607" t="s">
        <v>89</v>
      </c>
    </row>
    <row r="1608" spans="1:90">
      <c r="A1608" t="s">
        <v>72</v>
      </c>
      <c r="B1608" t="s">
        <v>73</v>
      </c>
      <c r="C1608" t="s">
        <v>74</v>
      </c>
      <c r="E1608" t="str">
        <f>"FES1162722955"</f>
        <v>FES1162722955</v>
      </c>
      <c r="F1608" s="3">
        <v>43782</v>
      </c>
      <c r="G1608">
        <v>202005</v>
      </c>
      <c r="H1608" t="s">
        <v>75</v>
      </c>
      <c r="I1608" t="s">
        <v>76</v>
      </c>
      <c r="J1608" t="s">
        <v>77</v>
      </c>
      <c r="K1608" t="s">
        <v>78</v>
      </c>
      <c r="L1608" t="s">
        <v>124</v>
      </c>
      <c r="M1608" t="s">
        <v>125</v>
      </c>
      <c r="N1608" t="s">
        <v>218</v>
      </c>
      <c r="O1608" t="s">
        <v>82</v>
      </c>
      <c r="P1608" t="str">
        <f>"2170717052                    "</f>
        <v xml:space="preserve">2170717052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6.71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 s="4">
        <v>39.42</v>
      </c>
      <c r="BM1608" s="4">
        <v>5.91</v>
      </c>
      <c r="BN1608" s="4">
        <v>45.33</v>
      </c>
      <c r="BO1608" s="4">
        <v>45.33</v>
      </c>
      <c r="BQ1608" t="s">
        <v>121</v>
      </c>
      <c r="BR1608" t="s">
        <v>84</v>
      </c>
      <c r="BS1608" s="3">
        <v>43783</v>
      </c>
      <c r="BT1608" s="5">
        <v>0.40833333333333338</v>
      </c>
      <c r="BU1608" t="s">
        <v>1995</v>
      </c>
      <c r="BV1608" t="s">
        <v>86</v>
      </c>
      <c r="BY1608">
        <v>1200</v>
      </c>
      <c r="CA1608" t="s">
        <v>837</v>
      </c>
      <c r="CC1608" t="s">
        <v>125</v>
      </c>
      <c r="CD1608">
        <v>2094</v>
      </c>
      <c r="CE1608" t="s">
        <v>147</v>
      </c>
      <c r="CF1608" s="3">
        <v>43784</v>
      </c>
      <c r="CI1608">
        <v>1</v>
      </c>
      <c r="CJ1608">
        <v>1</v>
      </c>
      <c r="CK1608">
        <v>22</v>
      </c>
      <c r="CL1608" t="s">
        <v>89</v>
      </c>
    </row>
    <row r="1609" spans="1:90">
      <c r="A1609" t="s">
        <v>72</v>
      </c>
      <c r="B1609" t="s">
        <v>73</v>
      </c>
      <c r="C1609" t="s">
        <v>74</v>
      </c>
      <c r="E1609" t="str">
        <f>"FES1162722974"</f>
        <v>FES1162722974</v>
      </c>
      <c r="F1609" s="3">
        <v>43782</v>
      </c>
      <c r="G1609">
        <v>202005</v>
      </c>
      <c r="H1609" t="s">
        <v>75</v>
      </c>
      <c r="I1609" t="s">
        <v>76</v>
      </c>
      <c r="J1609" t="s">
        <v>77</v>
      </c>
      <c r="K1609" t="s">
        <v>78</v>
      </c>
      <c r="L1609" t="s">
        <v>75</v>
      </c>
      <c r="M1609" t="s">
        <v>76</v>
      </c>
      <c r="N1609" t="s">
        <v>366</v>
      </c>
      <c r="O1609" t="s">
        <v>82</v>
      </c>
      <c r="P1609" t="str">
        <f>"2170717071                    "</f>
        <v xml:space="preserve">2170717071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6.71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 s="4">
        <v>39.42</v>
      </c>
      <c r="BM1609" s="4">
        <v>5.91</v>
      </c>
      <c r="BN1609" s="4">
        <v>45.33</v>
      </c>
      <c r="BO1609" s="4">
        <v>45.33</v>
      </c>
      <c r="BR1609" t="s">
        <v>84</v>
      </c>
      <c r="BS1609" s="3">
        <v>43783</v>
      </c>
      <c r="BT1609" s="5">
        <v>0.38541666666666669</v>
      </c>
      <c r="BU1609" t="s">
        <v>367</v>
      </c>
      <c r="BV1609" t="s">
        <v>86</v>
      </c>
      <c r="BY1609">
        <v>1200</v>
      </c>
      <c r="CA1609" t="s">
        <v>368</v>
      </c>
      <c r="CC1609" t="s">
        <v>76</v>
      </c>
      <c r="CD1609">
        <v>1624</v>
      </c>
      <c r="CE1609" t="s">
        <v>147</v>
      </c>
      <c r="CF1609" s="3">
        <v>43784</v>
      </c>
      <c r="CI1609">
        <v>1</v>
      </c>
      <c r="CJ1609">
        <v>1</v>
      </c>
      <c r="CK1609">
        <v>22</v>
      </c>
      <c r="CL1609" t="s">
        <v>89</v>
      </c>
    </row>
    <row r="1610" spans="1:90">
      <c r="A1610" t="s">
        <v>72</v>
      </c>
      <c r="B1610" t="s">
        <v>73</v>
      </c>
      <c r="C1610" t="s">
        <v>74</v>
      </c>
      <c r="E1610" t="str">
        <f>"FES1162722965"</f>
        <v>FES1162722965</v>
      </c>
      <c r="F1610" s="3">
        <v>43782</v>
      </c>
      <c r="G1610">
        <v>202005</v>
      </c>
      <c r="H1610" t="s">
        <v>75</v>
      </c>
      <c r="I1610" t="s">
        <v>76</v>
      </c>
      <c r="J1610" t="s">
        <v>77</v>
      </c>
      <c r="K1610" t="s">
        <v>78</v>
      </c>
      <c r="L1610" t="s">
        <v>124</v>
      </c>
      <c r="M1610" t="s">
        <v>125</v>
      </c>
      <c r="N1610" t="s">
        <v>218</v>
      </c>
      <c r="O1610" t="s">
        <v>82</v>
      </c>
      <c r="P1610" t="str">
        <f>"2170717061                    "</f>
        <v xml:space="preserve">2170717061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7.51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2.4</v>
      </c>
      <c r="BJ1610">
        <v>1.2</v>
      </c>
      <c r="BK1610">
        <v>2.5</v>
      </c>
      <c r="BL1610" s="4">
        <v>44.14</v>
      </c>
      <c r="BM1610" s="4">
        <v>6.62</v>
      </c>
      <c r="BN1610" s="4">
        <v>50.76</v>
      </c>
      <c r="BO1610" s="4">
        <v>50.76</v>
      </c>
      <c r="BQ1610" t="s">
        <v>121</v>
      </c>
      <c r="BR1610" t="s">
        <v>84</v>
      </c>
      <c r="BS1610" s="3">
        <v>43783</v>
      </c>
      <c r="BT1610" s="5">
        <v>0.41041666666666665</v>
      </c>
      <c r="BU1610" t="s">
        <v>1908</v>
      </c>
      <c r="BV1610" t="s">
        <v>86</v>
      </c>
      <c r="BY1610">
        <v>5785.92</v>
      </c>
      <c r="CA1610" t="s">
        <v>837</v>
      </c>
      <c r="CC1610" t="s">
        <v>125</v>
      </c>
      <c r="CD1610">
        <v>2094</v>
      </c>
      <c r="CE1610" t="s">
        <v>88</v>
      </c>
      <c r="CF1610" s="3">
        <v>43784</v>
      </c>
      <c r="CI1610">
        <v>1</v>
      </c>
      <c r="CJ1610">
        <v>1</v>
      </c>
      <c r="CK1610">
        <v>22</v>
      </c>
      <c r="CL1610" t="s">
        <v>89</v>
      </c>
    </row>
    <row r="1611" spans="1:90">
      <c r="A1611" t="s">
        <v>72</v>
      </c>
      <c r="B1611" t="s">
        <v>73</v>
      </c>
      <c r="C1611" t="s">
        <v>74</v>
      </c>
      <c r="E1611" t="str">
        <f>"FES1162723012"</f>
        <v>FES1162723012</v>
      </c>
      <c r="F1611" s="3">
        <v>43782</v>
      </c>
      <c r="G1611">
        <v>202005</v>
      </c>
      <c r="H1611" t="s">
        <v>75</v>
      </c>
      <c r="I1611" t="s">
        <v>76</v>
      </c>
      <c r="J1611" t="s">
        <v>77</v>
      </c>
      <c r="K1611" t="s">
        <v>78</v>
      </c>
      <c r="L1611" t="s">
        <v>75</v>
      </c>
      <c r="M1611" t="s">
        <v>76</v>
      </c>
      <c r="N1611" t="s">
        <v>232</v>
      </c>
      <c r="O1611" t="s">
        <v>82</v>
      </c>
      <c r="P1611" t="str">
        <f>"2170717102                    "</f>
        <v xml:space="preserve">2170717102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6.71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0.9</v>
      </c>
      <c r="BJ1611">
        <v>1.5</v>
      </c>
      <c r="BK1611">
        <v>1.5</v>
      </c>
      <c r="BL1611" s="4">
        <v>39.42</v>
      </c>
      <c r="BM1611" s="4">
        <v>5.91</v>
      </c>
      <c r="BN1611" s="4">
        <v>45.33</v>
      </c>
      <c r="BO1611" s="4">
        <v>45.33</v>
      </c>
      <c r="BQ1611" t="s">
        <v>121</v>
      </c>
      <c r="BR1611" t="s">
        <v>84</v>
      </c>
      <c r="BS1611" s="3">
        <v>43783</v>
      </c>
      <c r="BT1611" s="5">
        <v>0.39583333333333331</v>
      </c>
      <c r="BU1611" t="s">
        <v>1866</v>
      </c>
      <c r="BV1611" t="s">
        <v>86</v>
      </c>
      <c r="BY1611">
        <v>7305.36</v>
      </c>
      <c r="CA1611" t="s">
        <v>198</v>
      </c>
      <c r="CC1611" t="s">
        <v>76</v>
      </c>
      <c r="CD1611">
        <v>1600</v>
      </c>
      <c r="CE1611" t="s">
        <v>88</v>
      </c>
      <c r="CF1611" s="3">
        <v>43784</v>
      </c>
      <c r="CI1611">
        <v>1</v>
      </c>
      <c r="CJ1611">
        <v>1</v>
      </c>
      <c r="CK1611">
        <v>22</v>
      </c>
      <c r="CL1611" t="s">
        <v>89</v>
      </c>
    </row>
    <row r="1612" spans="1:90">
      <c r="A1612" t="s">
        <v>72</v>
      </c>
      <c r="B1612" t="s">
        <v>73</v>
      </c>
      <c r="C1612" t="s">
        <v>74</v>
      </c>
      <c r="E1612" t="str">
        <f>"FES1162723021"</f>
        <v>FES1162723021</v>
      </c>
      <c r="F1612" s="3">
        <v>43782</v>
      </c>
      <c r="G1612">
        <v>202005</v>
      </c>
      <c r="H1612" t="s">
        <v>75</v>
      </c>
      <c r="I1612" t="s">
        <v>76</v>
      </c>
      <c r="J1612" t="s">
        <v>77</v>
      </c>
      <c r="K1612" t="s">
        <v>78</v>
      </c>
      <c r="L1612" t="s">
        <v>90</v>
      </c>
      <c r="M1612" t="s">
        <v>91</v>
      </c>
      <c r="N1612" t="s">
        <v>190</v>
      </c>
      <c r="O1612" t="s">
        <v>82</v>
      </c>
      <c r="P1612" t="str">
        <f>"2170716877                    "</f>
        <v xml:space="preserve">2170716877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8.58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0.9</v>
      </c>
      <c r="BJ1612">
        <v>0.7</v>
      </c>
      <c r="BK1612">
        <v>1</v>
      </c>
      <c r="BL1612" s="4">
        <v>50.45</v>
      </c>
      <c r="BM1612" s="4">
        <v>7.57</v>
      </c>
      <c r="BN1612" s="4">
        <v>58.02</v>
      </c>
      <c r="BO1612" s="4">
        <v>58.02</v>
      </c>
      <c r="BQ1612" t="s">
        <v>109</v>
      </c>
      <c r="BR1612" t="s">
        <v>84</v>
      </c>
      <c r="BS1612" s="3">
        <v>43783</v>
      </c>
      <c r="BT1612" s="5">
        <v>0.41388888888888892</v>
      </c>
      <c r="BU1612" t="s">
        <v>2030</v>
      </c>
      <c r="BV1612" t="s">
        <v>86</v>
      </c>
      <c r="BY1612">
        <v>3623.04</v>
      </c>
      <c r="CA1612" t="s">
        <v>1146</v>
      </c>
      <c r="CC1612" t="s">
        <v>91</v>
      </c>
      <c r="CD1612">
        <v>7441</v>
      </c>
      <c r="CE1612" t="s">
        <v>88</v>
      </c>
      <c r="CF1612" s="3">
        <v>43784</v>
      </c>
      <c r="CI1612">
        <v>1</v>
      </c>
      <c r="CJ1612">
        <v>1</v>
      </c>
      <c r="CK1612">
        <v>21</v>
      </c>
      <c r="CL1612" t="s">
        <v>89</v>
      </c>
    </row>
    <row r="1613" spans="1:90">
      <c r="A1613" t="s">
        <v>72</v>
      </c>
      <c r="B1613" t="s">
        <v>73</v>
      </c>
      <c r="C1613" t="s">
        <v>74</v>
      </c>
      <c r="E1613" t="str">
        <f>"FES1162723005"</f>
        <v>FES1162723005</v>
      </c>
      <c r="F1613" s="3">
        <v>43782</v>
      </c>
      <c r="G1613">
        <v>202005</v>
      </c>
      <c r="H1613" t="s">
        <v>75</v>
      </c>
      <c r="I1613" t="s">
        <v>76</v>
      </c>
      <c r="J1613" t="s">
        <v>77</v>
      </c>
      <c r="K1613" t="s">
        <v>78</v>
      </c>
      <c r="L1613" t="s">
        <v>925</v>
      </c>
      <c r="M1613" t="s">
        <v>926</v>
      </c>
      <c r="N1613" t="s">
        <v>927</v>
      </c>
      <c r="O1613" t="s">
        <v>82</v>
      </c>
      <c r="P1613" t="str">
        <f>"2170719421                    "</f>
        <v xml:space="preserve">2170719421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12.07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 s="4">
        <v>70.95</v>
      </c>
      <c r="BM1613" s="4">
        <v>10.64</v>
      </c>
      <c r="BN1613" s="4">
        <v>81.59</v>
      </c>
      <c r="BO1613" s="4">
        <v>81.59</v>
      </c>
      <c r="BQ1613" t="s">
        <v>109</v>
      </c>
      <c r="BR1613" t="s">
        <v>84</v>
      </c>
      <c r="BS1613" s="3">
        <v>43783</v>
      </c>
      <c r="BT1613" s="5">
        <v>0.625</v>
      </c>
      <c r="BU1613" t="s">
        <v>1948</v>
      </c>
      <c r="BV1613" t="s">
        <v>86</v>
      </c>
      <c r="BY1613">
        <v>1200</v>
      </c>
      <c r="CA1613" t="s">
        <v>929</v>
      </c>
      <c r="CC1613" t="s">
        <v>926</v>
      </c>
      <c r="CD1613">
        <v>1028</v>
      </c>
      <c r="CE1613" t="s">
        <v>147</v>
      </c>
      <c r="CF1613" s="3">
        <v>43787</v>
      </c>
      <c r="CI1613">
        <v>1</v>
      </c>
      <c r="CJ1613">
        <v>1</v>
      </c>
      <c r="CK1613">
        <v>24</v>
      </c>
      <c r="CL1613" t="s">
        <v>89</v>
      </c>
    </row>
    <row r="1614" spans="1:90">
      <c r="A1614" t="s">
        <v>72</v>
      </c>
      <c r="B1614" t="s">
        <v>73</v>
      </c>
      <c r="C1614" t="s">
        <v>74</v>
      </c>
      <c r="E1614" t="str">
        <f>"FES1162722957"</f>
        <v>FES1162722957</v>
      </c>
      <c r="F1614" s="3">
        <v>43782</v>
      </c>
      <c r="G1614">
        <v>202005</v>
      </c>
      <c r="H1614" t="s">
        <v>75</v>
      </c>
      <c r="I1614" t="s">
        <v>76</v>
      </c>
      <c r="J1614" t="s">
        <v>77</v>
      </c>
      <c r="K1614" t="s">
        <v>78</v>
      </c>
      <c r="L1614" t="s">
        <v>482</v>
      </c>
      <c r="M1614" t="s">
        <v>483</v>
      </c>
      <c r="N1614" t="s">
        <v>594</v>
      </c>
      <c r="O1614" t="s">
        <v>82</v>
      </c>
      <c r="P1614" t="str">
        <f>"2170717057                    "</f>
        <v xml:space="preserve">2170717057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6.71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 s="4">
        <v>39.42</v>
      </c>
      <c r="BM1614" s="4">
        <v>5.91</v>
      </c>
      <c r="BN1614" s="4">
        <v>45.33</v>
      </c>
      <c r="BO1614" s="4">
        <v>45.33</v>
      </c>
      <c r="BQ1614" t="s">
        <v>109</v>
      </c>
      <c r="BR1614" t="s">
        <v>84</v>
      </c>
      <c r="BS1614" s="3">
        <v>43783</v>
      </c>
      <c r="BT1614" s="5">
        <v>0.4375</v>
      </c>
      <c r="BU1614" t="s">
        <v>595</v>
      </c>
      <c r="BV1614" t="s">
        <v>86</v>
      </c>
      <c r="BY1614">
        <v>1200</v>
      </c>
      <c r="CC1614" t="s">
        <v>483</v>
      </c>
      <c r="CD1614">
        <v>1459</v>
      </c>
      <c r="CE1614" t="s">
        <v>147</v>
      </c>
      <c r="CF1614" s="3">
        <v>43784</v>
      </c>
      <c r="CI1614">
        <v>1</v>
      </c>
      <c r="CJ1614">
        <v>1</v>
      </c>
      <c r="CK1614">
        <v>22</v>
      </c>
      <c r="CL1614" t="s">
        <v>89</v>
      </c>
    </row>
    <row r="1615" spans="1:90">
      <c r="A1615" t="s">
        <v>72</v>
      </c>
      <c r="B1615" t="s">
        <v>73</v>
      </c>
      <c r="C1615" t="s">
        <v>74</v>
      </c>
      <c r="E1615" t="str">
        <f>"FES1162723025"</f>
        <v>FES1162723025</v>
      </c>
      <c r="F1615" s="3">
        <v>43782</v>
      </c>
      <c r="G1615">
        <v>202005</v>
      </c>
      <c r="H1615" t="s">
        <v>75</v>
      </c>
      <c r="I1615" t="s">
        <v>76</v>
      </c>
      <c r="J1615" t="s">
        <v>77</v>
      </c>
      <c r="K1615" t="s">
        <v>78</v>
      </c>
      <c r="L1615" t="s">
        <v>101</v>
      </c>
      <c r="M1615" t="s">
        <v>102</v>
      </c>
      <c r="N1615" t="s">
        <v>380</v>
      </c>
      <c r="O1615" t="s">
        <v>82</v>
      </c>
      <c r="P1615" t="str">
        <f>"2170717110                    "</f>
        <v xml:space="preserve">2170717110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15.02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1.9</v>
      </c>
      <c r="BJ1615">
        <v>3.3</v>
      </c>
      <c r="BK1615">
        <v>3.5</v>
      </c>
      <c r="BL1615" s="4">
        <v>88.27</v>
      </c>
      <c r="BM1615" s="4">
        <v>13.24</v>
      </c>
      <c r="BN1615" s="4">
        <v>101.51</v>
      </c>
      <c r="BO1615" s="4">
        <v>101.51</v>
      </c>
      <c r="BQ1615" t="s">
        <v>109</v>
      </c>
      <c r="BR1615" t="s">
        <v>84</v>
      </c>
      <c r="BS1615" s="3">
        <v>43783</v>
      </c>
      <c r="BT1615" s="5">
        <v>0.375</v>
      </c>
      <c r="BU1615" t="s">
        <v>2051</v>
      </c>
      <c r="BV1615" t="s">
        <v>86</v>
      </c>
      <c r="BY1615">
        <v>16426.939999999999</v>
      </c>
      <c r="CA1615" t="s">
        <v>359</v>
      </c>
      <c r="CC1615" t="s">
        <v>102</v>
      </c>
      <c r="CD1615">
        <v>184</v>
      </c>
      <c r="CE1615" t="s">
        <v>1598</v>
      </c>
      <c r="CF1615" s="3">
        <v>43787</v>
      </c>
      <c r="CI1615">
        <v>1</v>
      </c>
      <c r="CJ1615">
        <v>1</v>
      </c>
      <c r="CK1615">
        <v>21</v>
      </c>
      <c r="CL1615" t="s">
        <v>89</v>
      </c>
    </row>
    <row r="1616" spans="1:90">
      <c r="A1616" t="s">
        <v>72</v>
      </c>
      <c r="B1616" t="s">
        <v>73</v>
      </c>
      <c r="C1616" t="s">
        <v>74</v>
      </c>
      <c r="E1616" t="str">
        <f>"FES1162722994"</f>
        <v>FES1162722994</v>
      </c>
      <c r="F1616" s="3">
        <v>43782</v>
      </c>
      <c r="G1616">
        <v>202005</v>
      </c>
      <c r="H1616" t="s">
        <v>75</v>
      </c>
      <c r="I1616" t="s">
        <v>76</v>
      </c>
      <c r="J1616" t="s">
        <v>77</v>
      </c>
      <c r="K1616" t="s">
        <v>78</v>
      </c>
      <c r="L1616" t="s">
        <v>578</v>
      </c>
      <c r="M1616" t="s">
        <v>579</v>
      </c>
      <c r="N1616" t="s">
        <v>1020</v>
      </c>
      <c r="O1616" t="s">
        <v>82</v>
      </c>
      <c r="P1616" t="str">
        <f>"2170713465                    "</f>
        <v xml:space="preserve">2170713465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8.58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1.5</v>
      </c>
      <c r="BJ1616">
        <v>0.8</v>
      </c>
      <c r="BK1616">
        <v>1.5</v>
      </c>
      <c r="BL1616" s="4">
        <v>50.45</v>
      </c>
      <c r="BM1616" s="4">
        <v>7.57</v>
      </c>
      <c r="BN1616" s="4">
        <v>58.02</v>
      </c>
      <c r="BO1616" s="4">
        <v>58.02</v>
      </c>
      <c r="BQ1616" t="s">
        <v>121</v>
      </c>
      <c r="BR1616" t="s">
        <v>84</v>
      </c>
      <c r="BS1616" s="3">
        <v>43783</v>
      </c>
      <c r="BT1616" s="5">
        <v>0.43888888888888888</v>
      </c>
      <c r="BU1616" t="s">
        <v>1305</v>
      </c>
      <c r="BV1616" t="s">
        <v>86</v>
      </c>
      <c r="BY1616">
        <v>4199.62</v>
      </c>
      <c r="CA1616" t="s">
        <v>1022</v>
      </c>
      <c r="CC1616" t="s">
        <v>579</v>
      </c>
      <c r="CD1616">
        <v>7600</v>
      </c>
      <c r="CE1616" t="s">
        <v>88</v>
      </c>
      <c r="CF1616" s="3">
        <v>43784</v>
      </c>
      <c r="CI1616">
        <v>1</v>
      </c>
      <c r="CJ1616">
        <v>1</v>
      </c>
      <c r="CK1616">
        <v>21</v>
      </c>
      <c r="CL1616" t="s">
        <v>89</v>
      </c>
    </row>
    <row r="1617" spans="1:90">
      <c r="A1617" t="s">
        <v>72</v>
      </c>
      <c r="B1617" t="s">
        <v>73</v>
      </c>
      <c r="C1617" t="s">
        <v>74</v>
      </c>
      <c r="E1617" t="str">
        <f>"FES1162723008"</f>
        <v>FES1162723008</v>
      </c>
      <c r="F1617" s="3">
        <v>43782</v>
      </c>
      <c r="G1617">
        <v>202005</v>
      </c>
      <c r="H1617" t="s">
        <v>75</v>
      </c>
      <c r="I1617" t="s">
        <v>76</v>
      </c>
      <c r="J1617" t="s">
        <v>77</v>
      </c>
      <c r="K1617" t="s">
        <v>78</v>
      </c>
      <c r="L1617" t="s">
        <v>90</v>
      </c>
      <c r="M1617" t="s">
        <v>91</v>
      </c>
      <c r="N1617" t="s">
        <v>2052</v>
      </c>
      <c r="O1617" t="s">
        <v>82</v>
      </c>
      <c r="P1617" t="str">
        <f>"2170717098                    "</f>
        <v xml:space="preserve">2170717098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15.02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2.5</v>
      </c>
      <c r="BJ1617">
        <v>3.5</v>
      </c>
      <c r="BK1617">
        <v>3.5</v>
      </c>
      <c r="BL1617" s="4">
        <v>88.27</v>
      </c>
      <c r="BM1617" s="4">
        <v>13.24</v>
      </c>
      <c r="BN1617" s="4">
        <v>101.51</v>
      </c>
      <c r="BO1617" s="4">
        <v>101.51</v>
      </c>
      <c r="BQ1617" t="s">
        <v>109</v>
      </c>
      <c r="BR1617" t="s">
        <v>84</v>
      </c>
      <c r="BS1617" s="3">
        <v>43783</v>
      </c>
      <c r="BT1617" s="5">
        <v>0.4375</v>
      </c>
      <c r="BU1617" t="s">
        <v>2053</v>
      </c>
      <c r="BV1617" t="s">
        <v>86</v>
      </c>
      <c r="BY1617">
        <v>17643.759999999998</v>
      </c>
      <c r="CA1617" t="s">
        <v>717</v>
      </c>
      <c r="CC1617" t="s">
        <v>91</v>
      </c>
      <c r="CD1617">
        <v>7925</v>
      </c>
      <c r="CE1617" t="s">
        <v>88</v>
      </c>
      <c r="CF1617" s="3">
        <v>43784</v>
      </c>
      <c r="CI1617">
        <v>1</v>
      </c>
      <c r="CJ1617">
        <v>1</v>
      </c>
      <c r="CK1617">
        <v>21</v>
      </c>
      <c r="CL1617" t="s">
        <v>89</v>
      </c>
    </row>
    <row r="1618" spans="1:90">
      <c r="A1618" t="s">
        <v>72</v>
      </c>
      <c r="B1618" t="s">
        <v>73</v>
      </c>
      <c r="C1618" t="s">
        <v>74</v>
      </c>
      <c r="E1618" t="str">
        <f>"FES1162722993"</f>
        <v>FES1162722993</v>
      </c>
      <c r="F1618" s="3">
        <v>43782</v>
      </c>
      <c r="G1618">
        <v>202005</v>
      </c>
      <c r="H1618" t="s">
        <v>75</v>
      </c>
      <c r="I1618" t="s">
        <v>76</v>
      </c>
      <c r="J1618" t="s">
        <v>77</v>
      </c>
      <c r="K1618" t="s">
        <v>78</v>
      </c>
      <c r="L1618" t="s">
        <v>339</v>
      </c>
      <c r="M1618" t="s">
        <v>340</v>
      </c>
      <c r="N1618" t="s">
        <v>2054</v>
      </c>
      <c r="O1618" t="s">
        <v>82</v>
      </c>
      <c r="P1618" t="str">
        <f>"2170714914                    "</f>
        <v xml:space="preserve">2170714914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8.58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0.9</v>
      </c>
      <c r="BJ1618">
        <v>1</v>
      </c>
      <c r="BK1618">
        <v>1</v>
      </c>
      <c r="BL1618" s="4">
        <v>50.45</v>
      </c>
      <c r="BM1618" s="4">
        <v>7.57</v>
      </c>
      <c r="BN1618" s="4">
        <v>58.02</v>
      </c>
      <c r="BO1618" s="4">
        <v>58.02</v>
      </c>
      <c r="BQ1618" t="s">
        <v>109</v>
      </c>
      <c r="BR1618" t="s">
        <v>84</v>
      </c>
      <c r="BS1618" s="3">
        <v>43783</v>
      </c>
      <c r="BT1618" s="5">
        <v>0.40347222222222223</v>
      </c>
      <c r="BU1618" t="s">
        <v>2055</v>
      </c>
      <c r="BV1618" t="s">
        <v>86</v>
      </c>
      <c r="BY1618">
        <v>4822.2700000000004</v>
      </c>
      <c r="CA1618" t="s">
        <v>343</v>
      </c>
      <c r="CC1618" t="s">
        <v>340</v>
      </c>
      <c r="CD1618">
        <v>157</v>
      </c>
      <c r="CE1618" t="s">
        <v>88</v>
      </c>
      <c r="CF1618" s="3">
        <v>43784</v>
      </c>
      <c r="CI1618">
        <v>1</v>
      </c>
      <c r="CJ1618">
        <v>1</v>
      </c>
      <c r="CK1618">
        <v>21</v>
      </c>
      <c r="CL1618" t="s">
        <v>89</v>
      </c>
    </row>
    <row r="1619" spans="1:90">
      <c r="A1619" t="s">
        <v>72</v>
      </c>
      <c r="B1619" t="s">
        <v>73</v>
      </c>
      <c r="C1619" t="s">
        <v>74</v>
      </c>
      <c r="E1619" t="str">
        <f>"FES1162722930"</f>
        <v>FES1162722930</v>
      </c>
      <c r="F1619" s="3">
        <v>43782</v>
      </c>
      <c r="G1619">
        <v>202005</v>
      </c>
      <c r="H1619" t="s">
        <v>75</v>
      </c>
      <c r="I1619" t="s">
        <v>76</v>
      </c>
      <c r="J1619" t="s">
        <v>77</v>
      </c>
      <c r="K1619" t="s">
        <v>78</v>
      </c>
      <c r="L1619" t="s">
        <v>112</v>
      </c>
      <c r="M1619" t="s">
        <v>113</v>
      </c>
      <c r="N1619" t="s">
        <v>397</v>
      </c>
      <c r="O1619" t="s">
        <v>82</v>
      </c>
      <c r="P1619" t="str">
        <f>"2170717025                    "</f>
        <v xml:space="preserve">2170717025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23.59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2.7</v>
      </c>
      <c r="BJ1619">
        <v>5.3</v>
      </c>
      <c r="BK1619">
        <v>5.5</v>
      </c>
      <c r="BL1619" s="4">
        <v>138.68</v>
      </c>
      <c r="BM1619" s="4">
        <v>20.8</v>
      </c>
      <c r="BN1619" s="4">
        <v>159.47999999999999</v>
      </c>
      <c r="BO1619" s="4">
        <v>159.47999999999999</v>
      </c>
      <c r="BQ1619" t="s">
        <v>2056</v>
      </c>
      <c r="BR1619" t="s">
        <v>84</v>
      </c>
      <c r="BS1619" s="3">
        <v>43783</v>
      </c>
      <c r="BT1619" s="5">
        <v>0.37083333333333335</v>
      </c>
      <c r="BU1619" t="s">
        <v>2057</v>
      </c>
      <c r="BV1619" t="s">
        <v>86</v>
      </c>
      <c r="BY1619">
        <v>26692.51</v>
      </c>
      <c r="CA1619" t="s">
        <v>163</v>
      </c>
      <c r="CC1619" t="s">
        <v>113</v>
      </c>
      <c r="CD1619">
        <v>4051</v>
      </c>
      <c r="CE1619" t="s">
        <v>88</v>
      </c>
      <c r="CF1619" s="3">
        <v>43784</v>
      </c>
      <c r="CI1619">
        <v>1</v>
      </c>
      <c r="CJ1619">
        <v>1</v>
      </c>
      <c r="CK1619">
        <v>21</v>
      </c>
      <c r="CL1619" t="s">
        <v>89</v>
      </c>
    </row>
    <row r="1620" spans="1:90">
      <c r="A1620" t="s">
        <v>72</v>
      </c>
      <c r="B1620" t="s">
        <v>73</v>
      </c>
      <c r="C1620" t="s">
        <v>74</v>
      </c>
      <c r="E1620" t="str">
        <f>"FES1162723004"</f>
        <v>FES1162723004</v>
      </c>
      <c r="F1620" s="3">
        <v>43782</v>
      </c>
      <c r="G1620">
        <v>202005</v>
      </c>
      <c r="H1620" t="s">
        <v>75</v>
      </c>
      <c r="I1620" t="s">
        <v>76</v>
      </c>
      <c r="J1620" t="s">
        <v>77</v>
      </c>
      <c r="K1620" t="s">
        <v>78</v>
      </c>
      <c r="L1620" t="s">
        <v>112</v>
      </c>
      <c r="M1620" t="s">
        <v>113</v>
      </c>
      <c r="N1620" t="s">
        <v>887</v>
      </c>
      <c r="O1620" t="s">
        <v>82</v>
      </c>
      <c r="P1620" t="str">
        <f>"2170717097                    "</f>
        <v xml:space="preserve">2170717097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62.19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14.1</v>
      </c>
      <c r="BJ1620">
        <v>8.1999999999999993</v>
      </c>
      <c r="BK1620">
        <v>14.5</v>
      </c>
      <c r="BL1620" s="4">
        <v>365.56</v>
      </c>
      <c r="BM1620" s="4">
        <v>54.83</v>
      </c>
      <c r="BN1620" s="4">
        <v>420.39</v>
      </c>
      <c r="BO1620" s="4">
        <v>420.39</v>
      </c>
      <c r="BQ1620" t="s">
        <v>121</v>
      </c>
      <c r="BR1620" t="s">
        <v>84</v>
      </c>
      <c r="BS1620" s="3">
        <v>43783</v>
      </c>
      <c r="BT1620" s="5">
        <v>0.32847222222222222</v>
      </c>
      <c r="BU1620" t="s">
        <v>2058</v>
      </c>
      <c r="BV1620" t="s">
        <v>86</v>
      </c>
      <c r="BY1620">
        <v>41089.51</v>
      </c>
      <c r="CA1620" t="s">
        <v>1945</v>
      </c>
      <c r="CC1620" t="s">
        <v>113</v>
      </c>
      <c r="CD1620">
        <v>4001</v>
      </c>
      <c r="CE1620" t="s">
        <v>88</v>
      </c>
      <c r="CF1620" s="3">
        <v>43784</v>
      </c>
      <c r="CI1620">
        <v>1</v>
      </c>
      <c r="CJ1620">
        <v>1</v>
      </c>
      <c r="CK1620">
        <v>21</v>
      </c>
      <c r="CL1620" t="s">
        <v>89</v>
      </c>
    </row>
    <row r="1621" spans="1:90">
      <c r="A1621" t="s">
        <v>72</v>
      </c>
      <c r="B1621" t="s">
        <v>73</v>
      </c>
      <c r="C1621" t="s">
        <v>74</v>
      </c>
      <c r="E1621" t="str">
        <f>"FES1162723020"</f>
        <v>FES1162723020</v>
      </c>
      <c r="F1621" s="3">
        <v>43782</v>
      </c>
      <c r="G1621">
        <v>202005</v>
      </c>
      <c r="H1621" t="s">
        <v>75</v>
      </c>
      <c r="I1621" t="s">
        <v>76</v>
      </c>
      <c r="J1621" t="s">
        <v>77</v>
      </c>
      <c r="K1621" t="s">
        <v>78</v>
      </c>
      <c r="L1621" t="s">
        <v>192</v>
      </c>
      <c r="M1621" t="s">
        <v>193</v>
      </c>
      <c r="N1621" t="s">
        <v>194</v>
      </c>
      <c r="O1621" t="s">
        <v>82</v>
      </c>
      <c r="P1621" t="str">
        <f>"2170706866                    "</f>
        <v xml:space="preserve">2170706866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16.63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1.9</v>
      </c>
      <c r="BJ1621">
        <v>0.7</v>
      </c>
      <c r="BK1621">
        <v>2</v>
      </c>
      <c r="BL1621" s="4">
        <v>97.75</v>
      </c>
      <c r="BM1621" s="4">
        <v>14.66</v>
      </c>
      <c r="BN1621" s="4">
        <v>112.41</v>
      </c>
      <c r="BO1621" s="4">
        <v>112.41</v>
      </c>
      <c r="BQ1621" t="s">
        <v>109</v>
      </c>
      <c r="BR1621" t="s">
        <v>84</v>
      </c>
      <c r="BS1621" s="3">
        <v>43783</v>
      </c>
      <c r="BT1621" s="5">
        <v>0.50069444444444444</v>
      </c>
      <c r="BU1621" t="s">
        <v>1936</v>
      </c>
      <c r="BV1621" t="s">
        <v>86</v>
      </c>
      <c r="BY1621">
        <v>3633.29</v>
      </c>
      <c r="CA1621" t="s">
        <v>1937</v>
      </c>
      <c r="CC1621" t="s">
        <v>193</v>
      </c>
      <c r="CD1621">
        <v>7130</v>
      </c>
      <c r="CE1621" t="s">
        <v>1598</v>
      </c>
      <c r="CF1621" s="3">
        <v>43784</v>
      </c>
      <c r="CI1621">
        <v>1</v>
      </c>
      <c r="CJ1621">
        <v>1</v>
      </c>
      <c r="CK1621">
        <v>23</v>
      </c>
      <c r="CL1621" t="s">
        <v>89</v>
      </c>
    </row>
    <row r="1622" spans="1:90">
      <c r="A1622" t="s">
        <v>72</v>
      </c>
      <c r="B1622" t="s">
        <v>73</v>
      </c>
      <c r="C1622" t="s">
        <v>74</v>
      </c>
      <c r="E1622" t="str">
        <f>"FES1162722914"</f>
        <v>FES1162722914</v>
      </c>
      <c r="F1622" s="3">
        <v>43782</v>
      </c>
      <c r="G1622">
        <v>202005</v>
      </c>
      <c r="H1622" t="s">
        <v>75</v>
      </c>
      <c r="I1622" t="s">
        <v>76</v>
      </c>
      <c r="J1622" t="s">
        <v>77</v>
      </c>
      <c r="K1622" t="s">
        <v>78</v>
      </c>
      <c r="L1622" t="s">
        <v>124</v>
      </c>
      <c r="M1622" t="s">
        <v>125</v>
      </c>
      <c r="N1622" t="s">
        <v>218</v>
      </c>
      <c r="O1622" t="s">
        <v>82</v>
      </c>
      <c r="P1622" t="str">
        <f>"2170707005                    "</f>
        <v xml:space="preserve">2170707005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8.31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3</v>
      </c>
      <c r="BJ1622">
        <v>1.3</v>
      </c>
      <c r="BK1622">
        <v>3</v>
      </c>
      <c r="BL1622" s="4">
        <v>48.86</v>
      </c>
      <c r="BM1622" s="4">
        <v>7.33</v>
      </c>
      <c r="BN1622" s="4">
        <v>56.19</v>
      </c>
      <c r="BO1622" s="4">
        <v>56.19</v>
      </c>
      <c r="BQ1622" t="s">
        <v>121</v>
      </c>
      <c r="BR1622" t="s">
        <v>84</v>
      </c>
      <c r="BS1622" s="3">
        <v>43783</v>
      </c>
      <c r="BT1622" s="5">
        <v>0.40902777777777777</v>
      </c>
      <c r="BU1622" t="s">
        <v>1995</v>
      </c>
      <c r="BV1622" t="s">
        <v>86</v>
      </c>
      <c r="BY1622">
        <v>6438.26</v>
      </c>
      <c r="CA1622" t="s">
        <v>837</v>
      </c>
      <c r="CC1622" t="s">
        <v>125</v>
      </c>
      <c r="CD1622">
        <v>2094</v>
      </c>
      <c r="CE1622" t="s">
        <v>88</v>
      </c>
      <c r="CF1622" s="3">
        <v>43784</v>
      </c>
      <c r="CI1622">
        <v>1</v>
      </c>
      <c r="CJ1622">
        <v>1</v>
      </c>
      <c r="CK1622">
        <v>22</v>
      </c>
      <c r="CL1622" t="s">
        <v>89</v>
      </c>
    </row>
    <row r="1623" spans="1:90">
      <c r="A1623" t="s">
        <v>72</v>
      </c>
      <c r="B1623" t="s">
        <v>73</v>
      </c>
      <c r="C1623" t="s">
        <v>74</v>
      </c>
      <c r="E1623" t="str">
        <f>"FES1162722963"</f>
        <v>FES1162722963</v>
      </c>
      <c r="F1623" s="3">
        <v>43782</v>
      </c>
      <c r="G1623">
        <v>202005</v>
      </c>
      <c r="H1623" t="s">
        <v>75</v>
      </c>
      <c r="I1623" t="s">
        <v>76</v>
      </c>
      <c r="J1623" t="s">
        <v>77</v>
      </c>
      <c r="K1623" t="s">
        <v>78</v>
      </c>
      <c r="L1623" t="s">
        <v>124</v>
      </c>
      <c r="M1623" t="s">
        <v>125</v>
      </c>
      <c r="N1623" t="s">
        <v>218</v>
      </c>
      <c r="O1623" t="s">
        <v>82</v>
      </c>
      <c r="P1623" t="str">
        <f>"2170717059                    "</f>
        <v xml:space="preserve">2170717059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17.149999999999999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8.4</v>
      </c>
      <c r="BJ1623">
        <v>2.7</v>
      </c>
      <c r="BK1623">
        <v>8.5</v>
      </c>
      <c r="BL1623" s="4">
        <v>100.82</v>
      </c>
      <c r="BM1623" s="4">
        <v>15.12</v>
      </c>
      <c r="BN1623" s="4">
        <v>115.94</v>
      </c>
      <c r="BO1623" s="4">
        <v>115.94</v>
      </c>
      <c r="BQ1623" t="s">
        <v>121</v>
      </c>
      <c r="BR1623" t="s">
        <v>84</v>
      </c>
      <c r="BS1623" s="3">
        <v>43783</v>
      </c>
      <c r="BT1623" s="5">
        <v>0.41319444444444442</v>
      </c>
      <c r="BU1623" t="s">
        <v>1908</v>
      </c>
      <c r="BV1623" t="s">
        <v>86</v>
      </c>
      <c r="BY1623">
        <v>13639.4</v>
      </c>
      <c r="CA1623" t="s">
        <v>837</v>
      </c>
      <c r="CC1623" t="s">
        <v>125</v>
      </c>
      <c r="CD1623">
        <v>2094</v>
      </c>
      <c r="CE1623" t="s">
        <v>88</v>
      </c>
      <c r="CF1623" s="3">
        <v>43784</v>
      </c>
      <c r="CI1623">
        <v>1</v>
      </c>
      <c r="CJ1623">
        <v>1</v>
      </c>
      <c r="CK1623">
        <v>22</v>
      </c>
      <c r="CL1623" t="s">
        <v>89</v>
      </c>
    </row>
    <row r="1624" spans="1:90">
      <c r="A1624" t="s">
        <v>72</v>
      </c>
      <c r="B1624" t="s">
        <v>73</v>
      </c>
      <c r="C1624" t="s">
        <v>74</v>
      </c>
      <c r="E1624" t="str">
        <f>"FES1162723024"</f>
        <v>FES1162723024</v>
      </c>
      <c r="F1624" s="3">
        <v>43782</v>
      </c>
      <c r="G1624">
        <v>202005</v>
      </c>
      <c r="H1624" t="s">
        <v>75</v>
      </c>
      <c r="I1624" t="s">
        <v>76</v>
      </c>
      <c r="J1624" t="s">
        <v>77</v>
      </c>
      <c r="K1624" t="s">
        <v>78</v>
      </c>
      <c r="L1624" t="s">
        <v>112</v>
      </c>
      <c r="M1624" t="s">
        <v>113</v>
      </c>
      <c r="N1624" t="s">
        <v>620</v>
      </c>
      <c r="O1624" t="s">
        <v>82</v>
      </c>
      <c r="P1624" t="str">
        <f>"2170717109                    "</f>
        <v xml:space="preserve">2170717109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8.58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1.2</v>
      </c>
      <c r="BJ1624">
        <v>0.8</v>
      </c>
      <c r="BK1624">
        <v>1.5</v>
      </c>
      <c r="BL1624" s="4">
        <v>50.45</v>
      </c>
      <c r="BM1624" s="4">
        <v>7.57</v>
      </c>
      <c r="BN1624" s="4">
        <v>58.02</v>
      </c>
      <c r="BO1624" s="4">
        <v>58.02</v>
      </c>
      <c r="BQ1624" t="s">
        <v>109</v>
      </c>
      <c r="BR1624" t="s">
        <v>84</v>
      </c>
      <c r="BS1624" s="3">
        <v>43783</v>
      </c>
      <c r="BT1624" s="5">
        <v>0.3354166666666667</v>
      </c>
      <c r="BU1624" t="s">
        <v>1971</v>
      </c>
      <c r="BV1624" t="s">
        <v>86</v>
      </c>
      <c r="BY1624">
        <v>4122.2299999999996</v>
      </c>
      <c r="CA1624" t="s">
        <v>448</v>
      </c>
      <c r="CC1624" t="s">
        <v>113</v>
      </c>
      <c r="CD1624">
        <v>4302</v>
      </c>
      <c r="CE1624" t="s">
        <v>147</v>
      </c>
      <c r="CF1624" s="3">
        <v>43784</v>
      </c>
      <c r="CI1624">
        <v>1</v>
      </c>
      <c r="CJ1624">
        <v>1</v>
      </c>
      <c r="CK1624">
        <v>21</v>
      </c>
      <c r="CL1624" t="s">
        <v>89</v>
      </c>
    </row>
    <row r="1625" spans="1:90">
      <c r="A1625" t="s">
        <v>72</v>
      </c>
      <c r="B1625" t="s">
        <v>73</v>
      </c>
      <c r="C1625" t="s">
        <v>74</v>
      </c>
      <c r="E1625" t="str">
        <f>"FES1162723018"</f>
        <v>FES1162723018</v>
      </c>
      <c r="F1625" s="3">
        <v>43782</v>
      </c>
      <c r="G1625">
        <v>202005</v>
      </c>
      <c r="H1625" t="s">
        <v>75</v>
      </c>
      <c r="I1625" t="s">
        <v>76</v>
      </c>
      <c r="J1625" t="s">
        <v>77</v>
      </c>
      <c r="K1625" t="s">
        <v>78</v>
      </c>
      <c r="L1625" t="s">
        <v>118</v>
      </c>
      <c r="M1625" t="s">
        <v>119</v>
      </c>
      <c r="N1625" t="s">
        <v>885</v>
      </c>
      <c r="O1625" t="s">
        <v>82</v>
      </c>
      <c r="P1625" t="str">
        <f>"2170712143                    "</f>
        <v xml:space="preserve">2170712143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8.58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0.1</v>
      </c>
      <c r="BJ1625">
        <v>1.1000000000000001</v>
      </c>
      <c r="BK1625">
        <v>1.5</v>
      </c>
      <c r="BL1625" s="4">
        <v>50.45</v>
      </c>
      <c r="BM1625" s="4">
        <v>7.57</v>
      </c>
      <c r="BN1625" s="4">
        <v>58.02</v>
      </c>
      <c r="BO1625" s="4">
        <v>58.02</v>
      </c>
      <c r="BQ1625" t="s">
        <v>109</v>
      </c>
      <c r="BR1625" t="s">
        <v>84</v>
      </c>
      <c r="BS1625" s="3">
        <v>43783</v>
      </c>
      <c r="BT1625" s="5">
        <v>0.37986111111111115</v>
      </c>
      <c r="BU1625" t="s">
        <v>2059</v>
      </c>
      <c r="BV1625" t="s">
        <v>86</v>
      </c>
      <c r="BY1625">
        <v>5320</v>
      </c>
      <c r="CA1625" t="s">
        <v>250</v>
      </c>
      <c r="CC1625" t="s">
        <v>119</v>
      </c>
      <c r="CD1625">
        <v>3212</v>
      </c>
      <c r="CE1625" t="s">
        <v>88</v>
      </c>
      <c r="CF1625" s="3">
        <v>43784</v>
      </c>
      <c r="CI1625">
        <v>1</v>
      </c>
      <c r="CJ1625">
        <v>1</v>
      </c>
      <c r="CK1625">
        <v>21</v>
      </c>
      <c r="CL1625" t="s">
        <v>89</v>
      </c>
    </row>
    <row r="1626" spans="1:90">
      <c r="A1626" t="s">
        <v>72</v>
      </c>
      <c r="B1626" t="s">
        <v>73</v>
      </c>
      <c r="C1626" t="s">
        <v>74</v>
      </c>
      <c r="E1626" t="str">
        <f>"FES1162723016"</f>
        <v>FES1162723016</v>
      </c>
      <c r="F1626" s="3">
        <v>43782</v>
      </c>
      <c r="G1626">
        <v>202005</v>
      </c>
      <c r="H1626" t="s">
        <v>75</v>
      </c>
      <c r="I1626" t="s">
        <v>76</v>
      </c>
      <c r="J1626" t="s">
        <v>77</v>
      </c>
      <c r="K1626" t="s">
        <v>78</v>
      </c>
      <c r="L1626" t="s">
        <v>90</v>
      </c>
      <c r="M1626" t="s">
        <v>91</v>
      </c>
      <c r="N1626" t="s">
        <v>576</v>
      </c>
      <c r="O1626" t="s">
        <v>82</v>
      </c>
      <c r="P1626" t="str">
        <f>"2170717105                    "</f>
        <v xml:space="preserve">2170717105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21.45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5</v>
      </c>
      <c r="BJ1626">
        <v>1.4</v>
      </c>
      <c r="BK1626">
        <v>5</v>
      </c>
      <c r="BL1626" s="4">
        <v>126.08</v>
      </c>
      <c r="BM1626" s="4">
        <v>18.91</v>
      </c>
      <c r="BN1626" s="4">
        <v>144.99</v>
      </c>
      <c r="BO1626" s="4">
        <v>144.99</v>
      </c>
      <c r="BQ1626" t="s">
        <v>109</v>
      </c>
      <c r="BR1626" t="s">
        <v>84</v>
      </c>
      <c r="BS1626" s="3">
        <v>43783</v>
      </c>
      <c r="BT1626" s="5">
        <v>0.37152777777777773</v>
      </c>
      <c r="BU1626" t="s">
        <v>1145</v>
      </c>
      <c r="BV1626" t="s">
        <v>86</v>
      </c>
      <c r="BY1626">
        <v>7120.8</v>
      </c>
      <c r="CA1626" t="s">
        <v>1146</v>
      </c>
      <c r="CC1626" t="s">
        <v>91</v>
      </c>
      <c r="CD1626">
        <v>7441</v>
      </c>
      <c r="CE1626" t="s">
        <v>88</v>
      </c>
      <c r="CF1626" s="3">
        <v>43784</v>
      </c>
      <c r="CI1626">
        <v>1</v>
      </c>
      <c r="CJ1626">
        <v>1</v>
      </c>
      <c r="CK1626">
        <v>21</v>
      </c>
      <c r="CL1626" t="s">
        <v>89</v>
      </c>
    </row>
    <row r="1627" spans="1:90">
      <c r="A1627" t="s">
        <v>72</v>
      </c>
      <c r="B1627" t="s">
        <v>73</v>
      </c>
      <c r="C1627" t="s">
        <v>74</v>
      </c>
      <c r="E1627" t="str">
        <f>"FES1162723011"</f>
        <v>FES1162723011</v>
      </c>
      <c r="F1627" s="3">
        <v>43782</v>
      </c>
      <c r="G1627">
        <v>202005</v>
      </c>
      <c r="H1627" t="s">
        <v>75</v>
      </c>
      <c r="I1627" t="s">
        <v>76</v>
      </c>
      <c r="J1627" t="s">
        <v>77</v>
      </c>
      <c r="K1627" t="s">
        <v>78</v>
      </c>
      <c r="L1627" t="s">
        <v>225</v>
      </c>
      <c r="M1627" t="s">
        <v>226</v>
      </c>
      <c r="N1627" t="s">
        <v>227</v>
      </c>
      <c r="O1627" t="s">
        <v>82</v>
      </c>
      <c r="P1627" t="str">
        <f>"2170717101                    "</f>
        <v xml:space="preserve">2170717101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10.73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2.1</v>
      </c>
      <c r="BJ1627">
        <v>0.8</v>
      </c>
      <c r="BK1627">
        <v>2.5</v>
      </c>
      <c r="BL1627" s="4">
        <v>63.06</v>
      </c>
      <c r="BM1627" s="4">
        <v>9.4600000000000009</v>
      </c>
      <c r="BN1627" s="4">
        <v>72.52</v>
      </c>
      <c r="BO1627" s="4">
        <v>72.52</v>
      </c>
      <c r="BQ1627" t="s">
        <v>121</v>
      </c>
      <c r="BR1627" t="s">
        <v>84</v>
      </c>
      <c r="BS1627" s="3">
        <v>43783</v>
      </c>
      <c r="BT1627" s="5">
        <v>0.33819444444444446</v>
      </c>
      <c r="BU1627" t="s">
        <v>228</v>
      </c>
      <c r="BV1627" t="s">
        <v>86</v>
      </c>
      <c r="BY1627">
        <v>3913.95</v>
      </c>
      <c r="CA1627" t="s">
        <v>229</v>
      </c>
      <c r="CC1627" t="s">
        <v>226</v>
      </c>
      <c r="CD1627">
        <v>4026</v>
      </c>
      <c r="CE1627" t="s">
        <v>88</v>
      </c>
      <c r="CF1627" s="3">
        <v>43784</v>
      </c>
      <c r="CI1627">
        <v>1</v>
      </c>
      <c r="CJ1627">
        <v>1</v>
      </c>
      <c r="CK1627">
        <v>21</v>
      </c>
      <c r="CL1627" t="s">
        <v>89</v>
      </c>
    </row>
    <row r="1628" spans="1:90">
      <c r="A1628" t="s">
        <v>72</v>
      </c>
      <c r="B1628" t="s">
        <v>73</v>
      </c>
      <c r="C1628" t="s">
        <v>74</v>
      </c>
      <c r="E1628" t="str">
        <f>"FES1162722988"</f>
        <v>FES1162722988</v>
      </c>
      <c r="F1628" s="3">
        <v>43782</v>
      </c>
      <c r="G1628">
        <v>202005</v>
      </c>
      <c r="H1628" t="s">
        <v>75</v>
      </c>
      <c r="I1628" t="s">
        <v>76</v>
      </c>
      <c r="J1628" t="s">
        <v>77</v>
      </c>
      <c r="K1628" t="s">
        <v>78</v>
      </c>
      <c r="L1628" t="s">
        <v>112</v>
      </c>
      <c r="M1628" t="s">
        <v>113</v>
      </c>
      <c r="N1628" t="s">
        <v>160</v>
      </c>
      <c r="O1628" t="s">
        <v>82</v>
      </c>
      <c r="P1628" t="str">
        <f>"2170717084                    "</f>
        <v xml:space="preserve">2170717084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12.87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1.8</v>
      </c>
      <c r="BJ1628">
        <v>2.9</v>
      </c>
      <c r="BK1628">
        <v>3</v>
      </c>
      <c r="BL1628" s="4">
        <v>75.66</v>
      </c>
      <c r="BM1628" s="4">
        <v>11.35</v>
      </c>
      <c r="BN1628" s="4">
        <v>87.01</v>
      </c>
      <c r="BO1628" s="4">
        <v>87.01</v>
      </c>
      <c r="BQ1628" t="s">
        <v>161</v>
      </c>
      <c r="BR1628" t="s">
        <v>84</v>
      </c>
      <c r="BS1628" s="3">
        <v>43783</v>
      </c>
      <c r="BT1628" s="5">
        <v>0.35833333333333334</v>
      </c>
      <c r="BU1628" t="s">
        <v>162</v>
      </c>
      <c r="BV1628" t="s">
        <v>86</v>
      </c>
      <c r="BY1628">
        <v>14305.02</v>
      </c>
      <c r="CA1628" t="s">
        <v>163</v>
      </c>
      <c r="CC1628" t="s">
        <v>113</v>
      </c>
      <c r="CD1628">
        <v>4000</v>
      </c>
      <c r="CE1628" t="s">
        <v>88</v>
      </c>
      <c r="CF1628" s="3">
        <v>43784</v>
      </c>
      <c r="CI1628">
        <v>1</v>
      </c>
      <c r="CJ1628">
        <v>1</v>
      </c>
      <c r="CK1628">
        <v>21</v>
      </c>
      <c r="CL1628" t="s">
        <v>89</v>
      </c>
    </row>
    <row r="1629" spans="1:90">
      <c r="A1629" t="s">
        <v>72</v>
      </c>
      <c r="B1629" t="s">
        <v>73</v>
      </c>
      <c r="C1629" t="s">
        <v>74</v>
      </c>
      <c r="E1629" t="str">
        <f>"FES1162722995"</f>
        <v>FES1162722995</v>
      </c>
      <c r="F1629" s="3">
        <v>43782</v>
      </c>
      <c r="G1629">
        <v>202005</v>
      </c>
      <c r="H1629" t="s">
        <v>75</v>
      </c>
      <c r="I1629" t="s">
        <v>76</v>
      </c>
      <c r="J1629" t="s">
        <v>77</v>
      </c>
      <c r="K1629" t="s">
        <v>78</v>
      </c>
      <c r="L1629" t="s">
        <v>124</v>
      </c>
      <c r="M1629" t="s">
        <v>125</v>
      </c>
      <c r="N1629" t="s">
        <v>230</v>
      </c>
      <c r="O1629" t="s">
        <v>82</v>
      </c>
      <c r="P1629" t="str">
        <f>"2170713975                    "</f>
        <v xml:space="preserve">2170713975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6.71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 s="4">
        <v>39.42</v>
      </c>
      <c r="BM1629" s="4">
        <v>5.91</v>
      </c>
      <c r="BN1629" s="4">
        <v>45.33</v>
      </c>
      <c r="BO1629" s="4">
        <v>45.33</v>
      </c>
      <c r="BQ1629" t="s">
        <v>109</v>
      </c>
      <c r="BR1629" t="s">
        <v>84</v>
      </c>
      <c r="BS1629" s="3">
        <v>43784</v>
      </c>
      <c r="BT1629" s="5">
        <v>0.41388888888888892</v>
      </c>
      <c r="BU1629" t="s">
        <v>370</v>
      </c>
      <c r="BV1629" t="s">
        <v>89</v>
      </c>
      <c r="BW1629" t="s">
        <v>319</v>
      </c>
      <c r="BX1629" t="s">
        <v>1538</v>
      </c>
      <c r="BY1629">
        <v>1200</v>
      </c>
      <c r="CC1629" t="s">
        <v>125</v>
      </c>
      <c r="CD1629">
        <v>2091</v>
      </c>
      <c r="CE1629" t="s">
        <v>147</v>
      </c>
      <c r="CF1629" s="3">
        <v>43787</v>
      </c>
      <c r="CI1629">
        <v>1</v>
      </c>
      <c r="CJ1629">
        <v>2</v>
      </c>
      <c r="CK1629">
        <v>22</v>
      </c>
      <c r="CL1629" t="s">
        <v>89</v>
      </c>
    </row>
    <row r="1630" spans="1:90">
      <c r="A1630" t="s">
        <v>72</v>
      </c>
      <c r="B1630" t="s">
        <v>73</v>
      </c>
      <c r="C1630" t="s">
        <v>74</v>
      </c>
      <c r="E1630" t="str">
        <f>"FES1162722983"</f>
        <v>FES1162722983</v>
      </c>
      <c r="F1630" s="3">
        <v>43782</v>
      </c>
      <c r="G1630">
        <v>202005</v>
      </c>
      <c r="H1630" t="s">
        <v>75</v>
      </c>
      <c r="I1630" t="s">
        <v>76</v>
      </c>
      <c r="J1630" t="s">
        <v>77</v>
      </c>
      <c r="K1630" t="s">
        <v>78</v>
      </c>
      <c r="L1630" t="s">
        <v>999</v>
      </c>
      <c r="M1630" t="s">
        <v>91</v>
      </c>
      <c r="N1630" t="s">
        <v>527</v>
      </c>
      <c r="O1630" t="s">
        <v>282</v>
      </c>
      <c r="P1630" t="str">
        <f>"217071709                     "</f>
        <v xml:space="preserve">217071709 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17.57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9</v>
      </c>
      <c r="BJ1630">
        <v>4.9000000000000004</v>
      </c>
      <c r="BK1630">
        <v>9</v>
      </c>
      <c r="BL1630" s="4">
        <v>108.28</v>
      </c>
      <c r="BM1630" s="4">
        <v>16.239999999999998</v>
      </c>
      <c r="BN1630" s="4">
        <v>124.52</v>
      </c>
      <c r="BO1630" s="4">
        <v>124.52</v>
      </c>
      <c r="BP1630" t="s">
        <v>2060</v>
      </c>
      <c r="BQ1630" t="s">
        <v>109</v>
      </c>
      <c r="BR1630" t="s">
        <v>84</v>
      </c>
      <c r="BS1630" s="3">
        <v>43784</v>
      </c>
      <c r="BT1630" s="5">
        <v>0.30486111111111108</v>
      </c>
      <c r="BU1630" t="s">
        <v>2061</v>
      </c>
      <c r="BV1630" t="s">
        <v>86</v>
      </c>
      <c r="BY1630">
        <v>24360</v>
      </c>
      <c r="CA1630" t="s">
        <v>221</v>
      </c>
      <c r="CC1630" t="s">
        <v>91</v>
      </c>
      <c r="CD1630">
        <v>7405</v>
      </c>
      <c r="CE1630" t="s">
        <v>88</v>
      </c>
      <c r="CF1630" s="3">
        <v>43787</v>
      </c>
      <c r="CI1630">
        <v>2</v>
      </c>
      <c r="CJ1630">
        <v>2</v>
      </c>
      <c r="CK1630" t="s">
        <v>1002</v>
      </c>
      <c r="CL1630" t="s">
        <v>89</v>
      </c>
    </row>
    <row r="1631" spans="1:90">
      <c r="A1631" t="s">
        <v>72</v>
      </c>
      <c r="B1631" t="s">
        <v>73</v>
      </c>
      <c r="C1631" t="s">
        <v>74</v>
      </c>
      <c r="E1631" t="str">
        <f>"FES1162722814"</f>
        <v>FES1162722814</v>
      </c>
      <c r="F1631" s="3">
        <v>43782</v>
      </c>
      <c r="G1631">
        <v>202005</v>
      </c>
      <c r="H1631" t="s">
        <v>75</v>
      </c>
      <c r="I1631" t="s">
        <v>76</v>
      </c>
      <c r="J1631" t="s">
        <v>77</v>
      </c>
      <c r="K1631" t="s">
        <v>78</v>
      </c>
      <c r="L1631" t="s">
        <v>106</v>
      </c>
      <c r="M1631" t="s">
        <v>107</v>
      </c>
      <c r="N1631" t="s">
        <v>850</v>
      </c>
      <c r="O1631" t="s">
        <v>282</v>
      </c>
      <c r="P1631" t="str">
        <f>"2170711752                    "</f>
        <v xml:space="preserve">2170711752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22.84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21.7</v>
      </c>
      <c r="BJ1631">
        <v>16.2</v>
      </c>
      <c r="BK1631">
        <v>22</v>
      </c>
      <c r="BL1631" s="4">
        <v>139.24</v>
      </c>
      <c r="BM1631" s="4">
        <v>20.89</v>
      </c>
      <c r="BN1631" s="4">
        <v>160.13</v>
      </c>
      <c r="BO1631" s="4">
        <v>160.13</v>
      </c>
      <c r="BQ1631" t="s">
        <v>109</v>
      </c>
      <c r="BR1631" t="s">
        <v>84</v>
      </c>
      <c r="BS1631" s="3">
        <v>43784</v>
      </c>
      <c r="BT1631" s="5">
        <v>0.33680555555555558</v>
      </c>
      <c r="BU1631" t="s">
        <v>2062</v>
      </c>
      <c r="BV1631" t="s">
        <v>86</v>
      </c>
      <c r="BY1631">
        <v>80946.58</v>
      </c>
      <c r="CA1631" t="s">
        <v>111</v>
      </c>
      <c r="CC1631" t="s">
        <v>107</v>
      </c>
      <c r="CD1631">
        <v>6001</v>
      </c>
      <c r="CE1631" t="s">
        <v>88</v>
      </c>
      <c r="CF1631" s="3">
        <v>43787</v>
      </c>
      <c r="CI1631">
        <v>2</v>
      </c>
      <c r="CJ1631">
        <v>2</v>
      </c>
      <c r="CK1631" t="s">
        <v>1002</v>
      </c>
      <c r="CL1631" t="s">
        <v>89</v>
      </c>
    </row>
    <row r="1632" spans="1:90">
      <c r="A1632" t="s">
        <v>72</v>
      </c>
      <c r="B1632" t="s">
        <v>73</v>
      </c>
      <c r="C1632" t="s">
        <v>74</v>
      </c>
      <c r="E1632" t="str">
        <f>"FES1162722839"</f>
        <v>FES1162722839</v>
      </c>
      <c r="F1632" s="3">
        <v>43782</v>
      </c>
      <c r="G1632">
        <v>202005</v>
      </c>
      <c r="H1632" t="s">
        <v>75</v>
      </c>
      <c r="I1632" t="s">
        <v>76</v>
      </c>
      <c r="J1632" t="s">
        <v>77</v>
      </c>
      <c r="K1632" t="s">
        <v>78</v>
      </c>
      <c r="L1632" t="s">
        <v>999</v>
      </c>
      <c r="M1632" t="s">
        <v>91</v>
      </c>
      <c r="N1632" t="s">
        <v>538</v>
      </c>
      <c r="O1632" t="s">
        <v>282</v>
      </c>
      <c r="P1632" t="str">
        <f>"2170716931                    "</f>
        <v xml:space="preserve">2170716931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17.57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9.6999999999999993</v>
      </c>
      <c r="BJ1632">
        <v>4.3</v>
      </c>
      <c r="BK1632">
        <v>10</v>
      </c>
      <c r="BL1632" s="4">
        <v>108.28</v>
      </c>
      <c r="BM1632" s="4">
        <v>16.239999999999998</v>
      </c>
      <c r="BN1632" s="4">
        <v>124.52</v>
      </c>
      <c r="BO1632" s="4">
        <v>124.52</v>
      </c>
      <c r="BP1632" t="s">
        <v>757</v>
      </c>
      <c r="BQ1632" t="s">
        <v>109</v>
      </c>
      <c r="BR1632" t="s">
        <v>84</v>
      </c>
      <c r="BS1632" s="3">
        <v>43784</v>
      </c>
      <c r="BT1632" s="5">
        <v>0.43611111111111112</v>
      </c>
      <c r="BU1632" t="s">
        <v>2063</v>
      </c>
      <c r="BV1632" t="s">
        <v>86</v>
      </c>
      <c r="BY1632">
        <v>21667.73</v>
      </c>
      <c r="CA1632" t="s">
        <v>2064</v>
      </c>
      <c r="CC1632" t="s">
        <v>91</v>
      </c>
      <c r="CD1632">
        <v>7530</v>
      </c>
      <c r="CE1632" t="s">
        <v>88</v>
      </c>
      <c r="CF1632" s="3">
        <v>43787</v>
      </c>
      <c r="CI1632">
        <v>2</v>
      </c>
      <c r="CJ1632">
        <v>2</v>
      </c>
      <c r="CK1632" t="s">
        <v>1002</v>
      </c>
      <c r="CL1632" t="s">
        <v>89</v>
      </c>
    </row>
    <row r="1633" spans="1:90">
      <c r="A1633" t="s">
        <v>1353</v>
      </c>
      <c r="B1633" t="s">
        <v>73</v>
      </c>
      <c r="C1633" t="s">
        <v>74</v>
      </c>
      <c r="E1633" t="str">
        <f>"009939391503"</f>
        <v>009939391503</v>
      </c>
      <c r="F1633" s="3">
        <v>43782</v>
      </c>
      <c r="G1633">
        <v>202005</v>
      </c>
      <c r="H1633" t="s">
        <v>112</v>
      </c>
      <c r="I1633" t="s">
        <v>113</v>
      </c>
      <c r="J1633" t="s">
        <v>2065</v>
      </c>
      <c r="K1633" t="s">
        <v>78</v>
      </c>
      <c r="L1633" t="s">
        <v>90</v>
      </c>
      <c r="M1633" t="s">
        <v>91</v>
      </c>
      <c r="N1633" t="s">
        <v>2066</v>
      </c>
      <c r="O1633" t="s">
        <v>82</v>
      </c>
      <c r="P1633" t="str">
        <f>"                              "</f>
        <v xml:space="preserve">          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8.58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0.4</v>
      </c>
      <c r="BK1633">
        <v>1</v>
      </c>
      <c r="BL1633" s="4">
        <v>50.45</v>
      </c>
      <c r="BM1633" s="4">
        <v>7.57</v>
      </c>
      <c r="BN1633" s="4">
        <v>58.02</v>
      </c>
      <c r="BO1633" s="4">
        <v>58.02</v>
      </c>
      <c r="BS1633" s="3">
        <v>43783</v>
      </c>
      <c r="BT1633" s="5">
        <v>0.30833333333333335</v>
      </c>
      <c r="BU1633" t="s">
        <v>2033</v>
      </c>
      <c r="BV1633" t="s">
        <v>86</v>
      </c>
      <c r="BY1633">
        <v>1755</v>
      </c>
      <c r="BZ1633" t="s">
        <v>27</v>
      </c>
      <c r="CA1633" t="s">
        <v>221</v>
      </c>
      <c r="CC1633" t="s">
        <v>91</v>
      </c>
      <c r="CD1633">
        <v>7500</v>
      </c>
      <c r="CE1633" t="s">
        <v>88</v>
      </c>
      <c r="CF1633" s="3">
        <v>43784</v>
      </c>
      <c r="CI1633">
        <v>1</v>
      </c>
      <c r="CJ1633">
        <v>1</v>
      </c>
      <c r="CK1633">
        <v>21</v>
      </c>
      <c r="CL1633" t="s">
        <v>89</v>
      </c>
    </row>
    <row r="1634" spans="1:90">
      <c r="A1634" t="s">
        <v>72</v>
      </c>
      <c r="B1634" t="s">
        <v>73</v>
      </c>
      <c r="C1634" t="s">
        <v>74</v>
      </c>
      <c r="E1634" t="str">
        <f>"FES1162723033"</f>
        <v>FES1162723033</v>
      </c>
      <c r="F1634" s="3">
        <v>43783</v>
      </c>
      <c r="G1634">
        <v>202005</v>
      </c>
      <c r="H1634" t="s">
        <v>75</v>
      </c>
      <c r="I1634" t="s">
        <v>76</v>
      </c>
      <c r="J1634" t="s">
        <v>77</v>
      </c>
      <c r="K1634" t="s">
        <v>78</v>
      </c>
      <c r="L1634" t="s">
        <v>546</v>
      </c>
      <c r="M1634" t="s">
        <v>547</v>
      </c>
      <c r="N1634" t="s">
        <v>1968</v>
      </c>
      <c r="O1634" t="s">
        <v>82</v>
      </c>
      <c r="P1634" t="str">
        <f>"2170717115                    "</f>
        <v xml:space="preserve">2170717115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11.53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4.8</v>
      </c>
      <c r="BJ1634">
        <v>1.7</v>
      </c>
      <c r="BK1634">
        <v>5</v>
      </c>
      <c r="BL1634" s="4">
        <v>67.760000000000005</v>
      </c>
      <c r="BM1634" s="4">
        <v>10.16</v>
      </c>
      <c r="BN1634" s="4">
        <v>77.92</v>
      </c>
      <c r="BO1634" s="4">
        <v>77.92</v>
      </c>
      <c r="BQ1634" t="s">
        <v>121</v>
      </c>
      <c r="BR1634" t="s">
        <v>84</v>
      </c>
      <c r="BS1634" s="3">
        <v>43784</v>
      </c>
      <c r="BT1634" s="5">
        <v>0.34027777777777773</v>
      </c>
      <c r="BU1634" t="s">
        <v>1774</v>
      </c>
      <c r="BV1634" t="s">
        <v>86</v>
      </c>
      <c r="BY1634">
        <v>8393.2199999999993</v>
      </c>
      <c r="CC1634" t="s">
        <v>547</v>
      </c>
      <c r="CD1634">
        <v>1724</v>
      </c>
      <c r="CE1634" t="s">
        <v>88</v>
      </c>
      <c r="CF1634" s="3">
        <v>43787</v>
      </c>
      <c r="CI1634">
        <v>1</v>
      </c>
      <c r="CJ1634">
        <v>1</v>
      </c>
      <c r="CK1634">
        <v>22</v>
      </c>
      <c r="CL1634" t="s">
        <v>89</v>
      </c>
    </row>
    <row r="1635" spans="1:90">
      <c r="A1635" t="s">
        <v>72</v>
      </c>
      <c r="B1635" t="s">
        <v>73</v>
      </c>
      <c r="C1635" t="s">
        <v>74</v>
      </c>
      <c r="E1635" t="str">
        <f>"FES1162723134"</f>
        <v>FES1162723134</v>
      </c>
      <c r="F1635" s="3">
        <v>43783</v>
      </c>
      <c r="G1635">
        <v>202005</v>
      </c>
      <c r="H1635" t="s">
        <v>75</v>
      </c>
      <c r="I1635" t="s">
        <v>76</v>
      </c>
      <c r="J1635" t="s">
        <v>77</v>
      </c>
      <c r="K1635" t="s">
        <v>78</v>
      </c>
      <c r="L1635" t="s">
        <v>124</v>
      </c>
      <c r="M1635" t="s">
        <v>125</v>
      </c>
      <c r="N1635" t="s">
        <v>218</v>
      </c>
      <c r="O1635" t="s">
        <v>82</v>
      </c>
      <c r="P1635" t="str">
        <f>"2170717149                    "</f>
        <v xml:space="preserve">2170717149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6.71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1.4</v>
      </c>
      <c r="BJ1635">
        <v>0.9</v>
      </c>
      <c r="BK1635">
        <v>1.5</v>
      </c>
      <c r="BL1635" s="4">
        <v>39.42</v>
      </c>
      <c r="BM1635" s="4">
        <v>5.91</v>
      </c>
      <c r="BN1635" s="4">
        <v>45.33</v>
      </c>
      <c r="BO1635" s="4">
        <v>45.33</v>
      </c>
      <c r="BQ1635" t="s">
        <v>121</v>
      </c>
      <c r="BR1635" t="s">
        <v>84</v>
      </c>
      <c r="BS1635" s="3">
        <v>43784</v>
      </c>
      <c r="BT1635" s="5">
        <v>0.39027777777777778</v>
      </c>
      <c r="BU1635" t="s">
        <v>838</v>
      </c>
      <c r="BV1635" t="s">
        <v>86</v>
      </c>
      <c r="BY1635">
        <v>4345.6000000000004</v>
      </c>
      <c r="CC1635" t="s">
        <v>125</v>
      </c>
      <c r="CD1635">
        <v>2094</v>
      </c>
      <c r="CE1635" t="s">
        <v>88</v>
      </c>
      <c r="CF1635" s="3">
        <v>43788</v>
      </c>
      <c r="CI1635">
        <v>1</v>
      </c>
      <c r="CJ1635">
        <v>1</v>
      </c>
      <c r="CK1635">
        <v>22</v>
      </c>
      <c r="CL1635" t="s">
        <v>89</v>
      </c>
    </row>
    <row r="1636" spans="1:90">
      <c r="A1636" t="s">
        <v>72</v>
      </c>
      <c r="B1636" t="s">
        <v>73</v>
      </c>
      <c r="C1636" t="s">
        <v>74</v>
      </c>
      <c r="E1636" t="str">
        <f>"FES1162723098"</f>
        <v>FES1162723098</v>
      </c>
      <c r="F1636" s="3">
        <v>43783</v>
      </c>
      <c r="G1636">
        <v>202005</v>
      </c>
      <c r="H1636" t="s">
        <v>75</v>
      </c>
      <c r="I1636" t="s">
        <v>76</v>
      </c>
      <c r="J1636" t="s">
        <v>77</v>
      </c>
      <c r="K1636" t="s">
        <v>78</v>
      </c>
      <c r="L1636" t="s">
        <v>482</v>
      </c>
      <c r="M1636" t="s">
        <v>483</v>
      </c>
      <c r="N1636" t="s">
        <v>544</v>
      </c>
      <c r="O1636" t="s">
        <v>82</v>
      </c>
      <c r="P1636" t="str">
        <f>"2170716388                    "</f>
        <v xml:space="preserve">2170716388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6.71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 s="4">
        <v>39.42</v>
      </c>
      <c r="BM1636" s="4">
        <v>5.91</v>
      </c>
      <c r="BN1636" s="4">
        <v>45.33</v>
      </c>
      <c r="BO1636" s="4">
        <v>45.33</v>
      </c>
      <c r="BQ1636" t="s">
        <v>545</v>
      </c>
      <c r="BR1636" t="s">
        <v>84</v>
      </c>
      <c r="BS1636" s="3">
        <v>43784</v>
      </c>
      <c r="BT1636" s="5">
        <v>0.5</v>
      </c>
      <c r="BU1636" t="s">
        <v>231</v>
      </c>
      <c r="BV1636" t="s">
        <v>89</v>
      </c>
      <c r="BW1636" t="s">
        <v>319</v>
      </c>
      <c r="BX1636" t="s">
        <v>481</v>
      </c>
      <c r="BY1636">
        <v>1200</v>
      </c>
      <c r="CC1636" t="s">
        <v>483</v>
      </c>
      <c r="CD1636">
        <v>1459</v>
      </c>
      <c r="CE1636" t="s">
        <v>147</v>
      </c>
      <c r="CF1636" s="3">
        <v>43788</v>
      </c>
      <c r="CI1636">
        <v>1</v>
      </c>
      <c r="CJ1636">
        <v>1</v>
      </c>
      <c r="CK1636">
        <v>22</v>
      </c>
      <c r="CL1636" t="s">
        <v>89</v>
      </c>
    </row>
    <row r="1637" spans="1:90">
      <c r="A1637" t="s">
        <v>72</v>
      </c>
      <c r="B1637" t="s">
        <v>73</v>
      </c>
      <c r="C1637" t="s">
        <v>74</v>
      </c>
      <c r="E1637" t="str">
        <f>"FES1162723219"</f>
        <v>FES1162723219</v>
      </c>
      <c r="F1637" s="3">
        <v>43783</v>
      </c>
      <c r="G1637">
        <v>202005</v>
      </c>
      <c r="H1637" t="s">
        <v>75</v>
      </c>
      <c r="I1637" t="s">
        <v>76</v>
      </c>
      <c r="J1637" t="s">
        <v>77</v>
      </c>
      <c r="K1637" t="s">
        <v>78</v>
      </c>
      <c r="L1637" t="s">
        <v>90</v>
      </c>
      <c r="M1637" t="s">
        <v>91</v>
      </c>
      <c r="N1637" t="s">
        <v>2067</v>
      </c>
      <c r="O1637" t="s">
        <v>82</v>
      </c>
      <c r="P1637" t="str">
        <f>"2170716809                    "</f>
        <v xml:space="preserve">2170716809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15.02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3.5</v>
      </c>
      <c r="BJ1637">
        <v>1.6</v>
      </c>
      <c r="BK1637">
        <v>3.5</v>
      </c>
      <c r="BL1637" s="4">
        <v>88.27</v>
      </c>
      <c r="BM1637" s="4">
        <v>13.24</v>
      </c>
      <c r="BN1637" s="4">
        <v>101.51</v>
      </c>
      <c r="BO1637" s="4">
        <v>101.51</v>
      </c>
      <c r="BQ1637" t="s">
        <v>121</v>
      </c>
      <c r="BR1637" t="s">
        <v>84</v>
      </c>
      <c r="BS1637" s="3">
        <v>43784</v>
      </c>
      <c r="BT1637" s="5">
        <v>0.37083333333333335</v>
      </c>
      <c r="BU1637" t="s">
        <v>1753</v>
      </c>
      <c r="BV1637" t="s">
        <v>86</v>
      </c>
      <c r="BY1637">
        <v>8171.28</v>
      </c>
      <c r="CA1637" t="s">
        <v>1238</v>
      </c>
      <c r="CC1637" t="s">
        <v>91</v>
      </c>
      <c r="CD1637">
        <v>7441</v>
      </c>
      <c r="CE1637" t="s">
        <v>88</v>
      </c>
      <c r="CF1637" s="3">
        <v>43787</v>
      </c>
      <c r="CI1637">
        <v>1</v>
      </c>
      <c r="CJ1637">
        <v>1</v>
      </c>
      <c r="CK1637">
        <v>21</v>
      </c>
      <c r="CL1637" t="s">
        <v>89</v>
      </c>
    </row>
    <row r="1638" spans="1:90">
      <c r="A1638" t="s">
        <v>72</v>
      </c>
      <c r="B1638" t="s">
        <v>73</v>
      </c>
      <c r="C1638" t="s">
        <v>74</v>
      </c>
      <c r="E1638" t="str">
        <f>"FES1162723210"</f>
        <v>FES1162723210</v>
      </c>
      <c r="F1638" s="3">
        <v>43783</v>
      </c>
      <c r="G1638">
        <v>202005</v>
      </c>
      <c r="H1638" t="s">
        <v>75</v>
      </c>
      <c r="I1638" t="s">
        <v>76</v>
      </c>
      <c r="J1638" t="s">
        <v>77</v>
      </c>
      <c r="K1638" t="s">
        <v>78</v>
      </c>
      <c r="L1638" t="s">
        <v>172</v>
      </c>
      <c r="M1638" t="s">
        <v>173</v>
      </c>
      <c r="N1638" t="s">
        <v>174</v>
      </c>
      <c r="O1638" t="s">
        <v>82</v>
      </c>
      <c r="P1638" t="str">
        <f>"2170717236                    "</f>
        <v xml:space="preserve">2170717236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12.07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 s="4">
        <v>70.95</v>
      </c>
      <c r="BM1638" s="4">
        <v>10.64</v>
      </c>
      <c r="BN1638" s="4">
        <v>81.59</v>
      </c>
      <c r="BO1638" s="4">
        <v>81.59</v>
      </c>
      <c r="BQ1638" t="s">
        <v>109</v>
      </c>
      <c r="BR1638" t="s">
        <v>84</v>
      </c>
      <c r="BS1638" s="3">
        <v>43784</v>
      </c>
      <c r="BT1638" s="5">
        <v>0.43124999999999997</v>
      </c>
      <c r="BU1638" t="s">
        <v>231</v>
      </c>
      <c r="BV1638" t="s">
        <v>86</v>
      </c>
      <c r="BY1638">
        <v>1200</v>
      </c>
      <c r="CC1638" t="s">
        <v>173</v>
      </c>
      <c r="CD1638">
        <v>1739</v>
      </c>
      <c r="CE1638" t="s">
        <v>147</v>
      </c>
      <c r="CF1638" s="3">
        <v>43788</v>
      </c>
      <c r="CI1638">
        <v>1</v>
      </c>
      <c r="CJ1638">
        <v>1</v>
      </c>
      <c r="CK1638">
        <v>24</v>
      </c>
      <c r="CL1638" t="s">
        <v>89</v>
      </c>
    </row>
    <row r="1639" spans="1:90">
      <c r="A1639" t="s">
        <v>72</v>
      </c>
      <c r="B1639" t="s">
        <v>73</v>
      </c>
      <c r="C1639" t="s">
        <v>74</v>
      </c>
      <c r="E1639" t="str">
        <f>"FES1162723212"</f>
        <v>FES1162723212</v>
      </c>
      <c r="F1639" s="3">
        <v>43783</v>
      </c>
      <c r="G1639">
        <v>202005</v>
      </c>
      <c r="H1639" t="s">
        <v>75</v>
      </c>
      <c r="I1639" t="s">
        <v>76</v>
      </c>
      <c r="J1639" t="s">
        <v>77</v>
      </c>
      <c r="K1639" t="s">
        <v>78</v>
      </c>
      <c r="L1639" t="s">
        <v>431</v>
      </c>
      <c r="M1639" t="s">
        <v>432</v>
      </c>
      <c r="N1639" t="s">
        <v>433</v>
      </c>
      <c r="O1639" t="s">
        <v>82</v>
      </c>
      <c r="P1639" t="str">
        <f>"2170717240                    "</f>
        <v xml:space="preserve">2170717240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8.58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 s="4">
        <v>50.45</v>
      </c>
      <c r="BM1639" s="4">
        <v>7.57</v>
      </c>
      <c r="BN1639" s="4">
        <v>58.02</v>
      </c>
      <c r="BO1639" s="4">
        <v>58.02</v>
      </c>
      <c r="BR1639" t="s">
        <v>84</v>
      </c>
      <c r="BS1639" s="3">
        <v>43784</v>
      </c>
      <c r="BT1639" s="5">
        <v>0.51041666666666663</v>
      </c>
      <c r="BU1639" t="s">
        <v>2068</v>
      </c>
      <c r="BV1639" t="s">
        <v>86</v>
      </c>
      <c r="BY1639">
        <v>1200</v>
      </c>
      <c r="CA1639" t="s">
        <v>435</v>
      </c>
      <c r="CC1639" t="s">
        <v>432</v>
      </c>
      <c r="CD1639">
        <v>3699</v>
      </c>
      <c r="CE1639" t="s">
        <v>147</v>
      </c>
      <c r="CF1639" s="3">
        <v>43787</v>
      </c>
      <c r="CI1639">
        <v>1</v>
      </c>
      <c r="CJ1639">
        <v>1</v>
      </c>
      <c r="CK1639">
        <v>21</v>
      </c>
      <c r="CL1639" t="s">
        <v>89</v>
      </c>
    </row>
    <row r="1640" spans="1:90">
      <c r="A1640" t="s">
        <v>72</v>
      </c>
      <c r="B1640" t="s">
        <v>73</v>
      </c>
      <c r="C1640" t="s">
        <v>74</v>
      </c>
      <c r="E1640" t="str">
        <f>"FES1162723202"</f>
        <v>FES1162723202</v>
      </c>
      <c r="F1640" s="3">
        <v>43783</v>
      </c>
      <c r="G1640">
        <v>202005</v>
      </c>
      <c r="H1640" t="s">
        <v>75</v>
      </c>
      <c r="I1640" t="s">
        <v>76</v>
      </c>
      <c r="J1640" t="s">
        <v>77</v>
      </c>
      <c r="K1640" t="s">
        <v>78</v>
      </c>
      <c r="L1640" t="s">
        <v>101</v>
      </c>
      <c r="M1640" t="s">
        <v>102</v>
      </c>
      <c r="N1640" t="s">
        <v>2016</v>
      </c>
      <c r="O1640" t="s">
        <v>82</v>
      </c>
      <c r="P1640" t="str">
        <f>"2170717227                    "</f>
        <v xml:space="preserve">2170717227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8.58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1.2</v>
      </c>
      <c r="BJ1640">
        <v>0.9</v>
      </c>
      <c r="BK1640">
        <v>1.5</v>
      </c>
      <c r="BL1640" s="4">
        <v>50.45</v>
      </c>
      <c r="BM1640" s="4">
        <v>7.57</v>
      </c>
      <c r="BN1640" s="4">
        <v>58.02</v>
      </c>
      <c r="BO1640" s="4">
        <v>58.02</v>
      </c>
      <c r="BQ1640" t="s">
        <v>109</v>
      </c>
      <c r="BR1640" t="s">
        <v>84</v>
      </c>
      <c r="BS1640" s="3">
        <v>43784</v>
      </c>
      <c r="BT1640" s="5">
        <v>0.39027777777777778</v>
      </c>
      <c r="BU1640" t="s">
        <v>2017</v>
      </c>
      <c r="BV1640" t="s">
        <v>86</v>
      </c>
      <c r="BY1640">
        <v>4275.08</v>
      </c>
      <c r="CC1640" t="s">
        <v>102</v>
      </c>
      <c r="CD1640">
        <v>200</v>
      </c>
      <c r="CE1640" t="s">
        <v>88</v>
      </c>
      <c r="CF1640" s="3">
        <v>43788</v>
      </c>
      <c r="CI1640">
        <v>1</v>
      </c>
      <c r="CJ1640">
        <v>1</v>
      </c>
      <c r="CK1640">
        <v>21</v>
      </c>
      <c r="CL1640" t="s">
        <v>89</v>
      </c>
    </row>
    <row r="1641" spans="1:90">
      <c r="A1641" t="s">
        <v>72</v>
      </c>
      <c r="B1641" t="s">
        <v>73</v>
      </c>
      <c r="C1641" t="s">
        <v>74</v>
      </c>
      <c r="E1641" t="str">
        <f>"FES1162723201"</f>
        <v>FES1162723201</v>
      </c>
      <c r="F1641" s="3">
        <v>43783</v>
      </c>
      <c r="G1641">
        <v>202005</v>
      </c>
      <c r="H1641" t="s">
        <v>75</v>
      </c>
      <c r="I1641" t="s">
        <v>76</v>
      </c>
      <c r="J1641" t="s">
        <v>77</v>
      </c>
      <c r="K1641" t="s">
        <v>78</v>
      </c>
      <c r="L1641" t="s">
        <v>75</v>
      </c>
      <c r="M1641" t="s">
        <v>76</v>
      </c>
      <c r="N1641" t="s">
        <v>236</v>
      </c>
      <c r="O1641" t="s">
        <v>82</v>
      </c>
      <c r="P1641" t="str">
        <f>"2170717226                    "</f>
        <v xml:space="preserve">2170717226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6.71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1.8</v>
      </c>
      <c r="BJ1641">
        <v>0.9</v>
      </c>
      <c r="BK1641">
        <v>2</v>
      </c>
      <c r="BL1641" s="4">
        <v>39.42</v>
      </c>
      <c r="BM1641" s="4">
        <v>5.91</v>
      </c>
      <c r="BN1641" s="4">
        <v>45.33</v>
      </c>
      <c r="BO1641" s="4">
        <v>45.33</v>
      </c>
      <c r="BQ1641" t="s">
        <v>109</v>
      </c>
      <c r="BR1641" t="s">
        <v>84</v>
      </c>
      <c r="BS1641" s="3">
        <v>43784</v>
      </c>
      <c r="BT1641" s="5">
        <v>0.3263888888888889</v>
      </c>
      <c r="BU1641" t="s">
        <v>237</v>
      </c>
      <c r="BV1641" t="s">
        <v>86</v>
      </c>
      <c r="BY1641">
        <v>4494.59</v>
      </c>
      <c r="CA1641" t="s">
        <v>238</v>
      </c>
      <c r="CC1641" t="s">
        <v>76</v>
      </c>
      <c r="CD1641">
        <v>1665</v>
      </c>
      <c r="CE1641" t="s">
        <v>88</v>
      </c>
      <c r="CF1641" s="3">
        <v>43787</v>
      </c>
      <c r="CI1641">
        <v>1</v>
      </c>
      <c r="CJ1641">
        <v>1</v>
      </c>
      <c r="CK1641">
        <v>22</v>
      </c>
      <c r="CL1641" t="s">
        <v>89</v>
      </c>
    </row>
    <row r="1642" spans="1:90">
      <c r="A1642" t="s">
        <v>72</v>
      </c>
      <c r="B1642" t="s">
        <v>73</v>
      </c>
      <c r="C1642" t="s">
        <v>74</v>
      </c>
      <c r="E1642" t="str">
        <f>"FES1162723211"</f>
        <v>FES1162723211</v>
      </c>
      <c r="F1642" s="3">
        <v>43783</v>
      </c>
      <c r="G1642">
        <v>202005</v>
      </c>
      <c r="H1642" t="s">
        <v>75</v>
      </c>
      <c r="I1642" t="s">
        <v>76</v>
      </c>
      <c r="J1642" t="s">
        <v>77</v>
      </c>
      <c r="K1642" t="s">
        <v>78</v>
      </c>
      <c r="L1642" t="s">
        <v>176</v>
      </c>
      <c r="M1642" t="s">
        <v>177</v>
      </c>
      <c r="N1642" t="s">
        <v>1090</v>
      </c>
      <c r="O1642" t="s">
        <v>82</v>
      </c>
      <c r="P1642" t="str">
        <f>"2170717209                    "</f>
        <v xml:space="preserve">2170717209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8.58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 s="4">
        <v>50.45</v>
      </c>
      <c r="BM1642" s="4">
        <v>7.57</v>
      </c>
      <c r="BN1642" s="4">
        <v>58.02</v>
      </c>
      <c r="BO1642" s="4">
        <v>58.02</v>
      </c>
      <c r="BQ1642" t="s">
        <v>121</v>
      </c>
      <c r="BR1642" t="s">
        <v>84</v>
      </c>
      <c r="BS1642" s="3">
        <v>43787</v>
      </c>
      <c r="BT1642" s="5">
        <v>0.53472222222222221</v>
      </c>
      <c r="BU1642" t="s">
        <v>2069</v>
      </c>
      <c r="BV1642" t="s">
        <v>89</v>
      </c>
      <c r="BW1642" t="s">
        <v>364</v>
      </c>
      <c r="BX1642" t="s">
        <v>1505</v>
      </c>
      <c r="BY1642">
        <v>1200</v>
      </c>
      <c r="CC1642" t="s">
        <v>177</v>
      </c>
      <c r="CD1642">
        <v>3610</v>
      </c>
      <c r="CE1642" t="s">
        <v>147</v>
      </c>
      <c r="CF1642" s="3">
        <v>43790</v>
      </c>
      <c r="CI1642">
        <v>1</v>
      </c>
      <c r="CJ1642">
        <v>2</v>
      </c>
      <c r="CK1642">
        <v>21</v>
      </c>
      <c r="CL1642" t="s">
        <v>89</v>
      </c>
    </row>
    <row r="1643" spans="1:90">
      <c r="A1643" t="s">
        <v>72</v>
      </c>
      <c r="B1643" t="s">
        <v>73</v>
      </c>
      <c r="C1643" t="s">
        <v>74</v>
      </c>
      <c r="E1643" t="str">
        <f>"FES1162723254"</f>
        <v>FES1162723254</v>
      </c>
      <c r="F1643" s="3">
        <v>43783</v>
      </c>
      <c r="G1643">
        <v>202005</v>
      </c>
      <c r="H1643" t="s">
        <v>75</v>
      </c>
      <c r="I1643" t="s">
        <v>76</v>
      </c>
      <c r="J1643" t="s">
        <v>77</v>
      </c>
      <c r="K1643" t="s">
        <v>78</v>
      </c>
      <c r="L1643" t="s">
        <v>112</v>
      </c>
      <c r="M1643" t="s">
        <v>113</v>
      </c>
      <c r="N1643" t="s">
        <v>272</v>
      </c>
      <c r="O1643" t="s">
        <v>82</v>
      </c>
      <c r="P1643" t="str">
        <f>"2170717274                    "</f>
        <v xml:space="preserve">2170717274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8.58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 s="4">
        <v>50.45</v>
      </c>
      <c r="BM1643" s="4">
        <v>7.57</v>
      </c>
      <c r="BN1643" s="4">
        <v>58.02</v>
      </c>
      <c r="BO1643" s="4">
        <v>58.02</v>
      </c>
      <c r="BQ1643" t="s">
        <v>142</v>
      </c>
      <c r="BR1643" t="s">
        <v>84</v>
      </c>
      <c r="BS1643" s="3">
        <v>43784</v>
      </c>
      <c r="BT1643" s="5">
        <v>0.3263888888888889</v>
      </c>
      <c r="BU1643" t="s">
        <v>2070</v>
      </c>
      <c r="BV1643" t="s">
        <v>86</v>
      </c>
      <c r="BY1643">
        <v>1200</v>
      </c>
      <c r="CA1643" t="s">
        <v>2071</v>
      </c>
      <c r="CC1643" t="s">
        <v>113</v>
      </c>
      <c r="CD1643">
        <v>4064</v>
      </c>
      <c r="CE1643" t="s">
        <v>147</v>
      </c>
      <c r="CF1643" s="3">
        <v>43787</v>
      </c>
      <c r="CI1643">
        <v>1</v>
      </c>
      <c r="CJ1643">
        <v>1</v>
      </c>
      <c r="CK1643">
        <v>21</v>
      </c>
      <c r="CL1643" t="s">
        <v>89</v>
      </c>
    </row>
    <row r="1644" spans="1:90">
      <c r="A1644" t="s">
        <v>72</v>
      </c>
      <c r="B1644" t="s">
        <v>73</v>
      </c>
      <c r="C1644" t="s">
        <v>74</v>
      </c>
      <c r="E1644" t="str">
        <f>"FES1162723224"</f>
        <v>FES1162723224</v>
      </c>
      <c r="F1644" s="3">
        <v>43783</v>
      </c>
      <c r="G1644">
        <v>202005</v>
      </c>
      <c r="H1644" t="s">
        <v>75</v>
      </c>
      <c r="I1644" t="s">
        <v>76</v>
      </c>
      <c r="J1644" t="s">
        <v>77</v>
      </c>
      <c r="K1644" t="s">
        <v>78</v>
      </c>
      <c r="L1644" t="s">
        <v>101</v>
      </c>
      <c r="M1644" t="s">
        <v>102</v>
      </c>
      <c r="N1644" t="s">
        <v>1274</v>
      </c>
      <c r="O1644" t="s">
        <v>82</v>
      </c>
      <c r="P1644" t="str">
        <f>"2170717252                    "</f>
        <v xml:space="preserve">2170717252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8.58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1.6</v>
      </c>
      <c r="BJ1644">
        <v>1</v>
      </c>
      <c r="BK1644">
        <v>2</v>
      </c>
      <c r="BL1644" s="4">
        <v>50.45</v>
      </c>
      <c r="BM1644" s="4">
        <v>7.57</v>
      </c>
      <c r="BN1644" s="4">
        <v>58.02</v>
      </c>
      <c r="BO1644" s="4">
        <v>58.02</v>
      </c>
      <c r="BQ1644" t="s">
        <v>121</v>
      </c>
      <c r="BR1644" t="s">
        <v>84</v>
      </c>
      <c r="BS1644" s="3">
        <v>43784</v>
      </c>
      <c r="BT1644" s="5">
        <v>0.37083333333333335</v>
      </c>
      <c r="BU1644" t="s">
        <v>2072</v>
      </c>
      <c r="BV1644" t="s">
        <v>86</v>
      </c>
      <c r="BY1644">
        <v>5224.03</v>
      </c>
      <c r="CA1644" t="s">
        <v>916</v>
      </c>
      <c r="CC1644" t="s">
        <v>102</v>
      </c>
      <c r="CD1644">
        <v>84</v>
      </c>
      <c r="CE1644" t="s">
        <v>88</v>
      </c>
      <c r="CF1644" s="3">
        <v>43787</v>
      </c>
      <c r="CI1644">
        <v>1</v>
      </c>
      <c r="CJ1644">
        <v>1</v>
      </c>
      <c r="CK1644">
        <v>21</v>
      </c>
      <c r="CL1644" t="s">
        <v>89</v>
      </c>
    </row>
    <row r="1645" spans="1:90">
      <c r="A1645" t="s">
        <v>72</v>
      </c>
      <c r="B1645" t="s">
        <v>73</v>
      </c>
      <c r="C1645" t="s">
        <v>74</v>
      </c>
      <c r="E1645" t="str">
        <f>"FES1162723241"</f>
        <v>FES1162723241</v>
      </c>
      <c r="F1645" s="3">
        <v>43783</v>
      </c>
      <c r="G1645">
        <v>202005</v>
      </c>
      <c r="H1645" t="s">
        <v>75</v>
      </c>
      <c r="I1645" t="s">
        <v>76</v>
      </c>
      <c r="J1645" t="s">
        <v>77</v>
      </c>
      <c r="K1645" t="s">
        <v>78</v>
      </c>
      <c r="L1645" t="s">
        <v>90</v>
      </c>
      <c r="M1645" t="s">
        <v>91</v>
      </c>
      <c r="N1645" t="s">
        <v>1481</v>
      </c>
      <c r="O1645" t="s">
        <v>82</v>
      </c>
      <c r="P1645" t="str">
        <f>"2170716653                    "</f>
        <v xml:space="preserve">2170716653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8.58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1.4</v>
      </c>
      <c r="BJ1645">
        <v>1.3</v>
      </c>
      <c r="BK1645">
        <v>1.5</v>
      </c>
      <c r="BL1645" s="4">
        <v>50.45</v>
      </c>
      <c r="BM1645" s="4">
        <v>7.57</v>
      </c>
      <c r="BN1645" s="4">
        <v>58.02</v>
      </c>
      <c r="BO1645" s="4">
        <v>58.02</v>
      </c>
      <c r="BQ1645" t="s">
        <v>246</v>
      </c>
      <c r="BR1645" t="s">
        <v>84</v>
      </c>
      <c r="BS1645" s="3">
        <v>43784</v>
      </c>
      <c r="BT1645" s="5">
        <v>0.3666666666666667</v>
      </c>
      <c r="BU1645" t="s">
        <v>1482</v>
      </c>
      <c r="BV1645" t="s">
        <v>86</v>
      </c>
      <c r="BY1645">
        <v>6479.06</v>
      </c>
      <c r="CA1645" t="s">
        <v>1238</v>
      </c>
      <c r="CC1645" t="s">
        <v>91</v>
      </c>
      <c r="CD1645">
        <v>7441</v>
      </c>
      <c r="CE1645" t="s">
        <v>88</v>
      </c>
      <c r="CF1645" s="3">
        <v>43787</v>
      </c>
      <c r="CI1645">
        <v>1</v>
      </c>
      <c r="CJ1645">
        <v>1</v>
      </c>
      <c r="CK1645">
        <v>21</v>
      </c>
      <c r="CL1645" t="s">
        <v>89</v>
      </c>
    </row>
    <row r="1646" spans="1:90">
      <c r="A1646" t="s">
        <v>72</v>
      </c>
      <c r="B1646" t="s">
        <v>73</v>
      </c>
      <c r="C1646" t="s">
        <v>74</v>
      </c>
      <c r="E1646" t="str">
        <f>"FES1162723242"</f>
        <v>FES1162723242</v>
      </c>
      <c r="F1646" s="3">
        <v>43783</v>
      </c>
      <c r="G1646">
        <v>202005</v>
      </c>
      <c r="H1646" t="s">
        <v>75</v>
      </c>
      <c r="I1646" t="s">
        <v>76</v>
      </c>
      <c r="J1646" t="s">
        <v>77</v>
      </c>
      <c r="K1646" t="s">
        <v>78</v>
      </c>
      <c r="L1646" t="s">
        <v>90</v>
      </c>
      <c r="M1646" t="s">
        <v>91</v>
      </c>
      <c r="N1646" t="s">
        <v>2073</v>
      </c>
      <c r="O1646" t="s">
        <v>82</v>
      </c>
      <c r="P1646" t="str">
        <f>"2170716647                    "</f>
        <v xml:space="preserve">2170716647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47.18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10.7</v>
      </c>
      <c r="BJ1646">
        <v>3.1</v>
      </c>
      <c r="BK1646">
        <v>11</v>
      </c>
      <c r="BL1646" s="4">
        <v>277.33</v>
      </c>
      <c r="BM1646" s="4">
        <v>41.6</v>
      </c>
      <c r="BN1646" s="4">
        <v>318.93</v>
      </c>
      <c r="BO1646" s="4">
        <v>318.93</v>
      </c>
      <c r="BQ1646" t="s">
        <v>121</v>
      </c>
      <c r="BR1646" t="s">
        <v>84</v>
      </c>
      <c r="BS1646" s="3">
        <v>43784</v>
      </c>
      <c r="BT1646" s="5">
        <v>0.48333333333333334</v>
      </c>
      <c r="BU1646" t="s">
        <v>2074</v>
      </c>
      <c r="BV1646" t="s">
        <v>89</v>
      </c>
      <c r="BW1646" t="s">
        <v>596</v>
      </c>
      <c r="BX1646" t="s">
        <v>365</v>
      </c>
      <c r="BY1646">
        <v>15514.74</v>
      </c>
      <c r="CA1646" t="s">
        <v>515</v>
      </c>
      <c r="CC1646" t="s">
        <v>91</v>
      </c>
      <c r="CD1646">
        <v>7499</v>
      </c>
      <c r="CE1646" t="s">
        <v>88</v>
      </c>
      <c r="CF1646" s="3">
        <v>43787</v>
      </c>
      <c r="CI1646">
        <v>1</v>
      </c>
      <c r="CJ1646">
        <v>1</v>
      </c>
      <c r="CK1646">
        <v>21</v>
      </c>
      <c r="CL1646" t="s">
        <v>89</v>
      </c>
    </row>
    <row r="1647" spans="1:90">
      <c r="A1647" t="s">
        <v>72</v>
      </c>
      <c r="B1647" t="s">
        <v>73</v>
      </c>
      <c r="C1647" t="s">
        <v>74</v>
      </c>
      <c r="E1647" t="str">
        <f>"FES1162723262"</f>
        <v>FES1162723262</v>
      </c>
      <c r="F1647" s="3">
        <v>43783</v>
      </c>
      <c r="G1647">
        <v>202005</v>
      </c>
      <c r="H1647" t="s">
        <v>75</v>
      </c>
      <c r="I1647" t="s">
        <v>76</v>
      </c>
      <c r="J1647" t="s">
        <v>77</v>
      </c>
      <c r="K1647" t="s">
        <v>78</v>
      </c>
      <c r="L1647" t="s">
        <v>106</v>
      </c>
      <c r="M1647" t="s">
        <v>107</v>
      </c>
      <c r="N1647" t="s">
        <v>489</v>
      </c>
      <c r="O1647" t="s">
        <v>82</v>
      </c>
      <c r="P1647" t="str">
        <f>"2170714819                    "</f>
        <v xml:space="preserve">2170714819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68.62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16</v>
      </c>
      <c r="BJ1647">
        <v>13.5</v>
      </c>
      <c r="BK1647">
        <v>16</v>
      </c>
      <c r="BL1647" s="4">
        <v>403.37</v>
      </c>
      <c r="BM1647" s="4">
        <v>60.51</v>
      </c>
      <c r="BN1647" s="4">
        <v>463.88</v>
      </c>
      <c r="BO1647" s="4">
        <v>463.88</v>
      </c>
      <c r="BQ1647" t="s">
        <v>121</v>
      </c>
      <c r="BR1647" t="s">
        <v>84</v>
      </c>
      <c r="BS1647" s="3">
        <v>43784</v>
      </c>
      <c r="BT1647" s="5">
        <v>0.35625000000000001</v>
      </c>
      <c r="BU1647" t="s">
        <v>2075</v>
      </c>
      <c r="BV1647" t="s">
        <v>86</v>
      </c>
      <c r="BY1647">
        <v>67400.259999999995</v>
      </c>
      <c r="CA1647" t="s">
        <v>773</v>
      </c>
      <c r="CC1647" t="s">
        <v>107</v>
      </c>
      <c r="CD1647">
        <v>6001</v>
      </c>
      <c r="CE1647" t="s">
        <v>88</v>
      </c>
      <c r="CF1647" s="3">
        <v>43787</v>
      </c>
      <c r="CI1647">
        <v>1</v>
      </c>
      <c r="CJ1647">
        <v>1</v>
      </c>
      <c r="CK1647">
        <v>21</v>
      </c>
      <c r="CL1647" t="s">
        <v>89</v>
      </c>
    </row>
    <row r="1648" spans="1:90">
      <c r="A1648" t="s">
        <v>72</v>
      </c>
      <c r="B1648" t="s">
        <v>73</v>
      </c>
      <c r="C1648" t="s">
        <v>74</v>
      </c>
      <c r="E1648" t="str">
        <f>"FES1162723267"</f>
        <v>FES1162723267</v>
      </c>
      <c r="F1648" s="3">
        <v>43783</v>
      </c>
      <c r="G1648">
        <v>202005</v>
      </c>
      <c r="H1648" t="s">
        <v>75</v>
      </c>
      <c r="I1648" t="s">
        <v>76</v>
      </c>
      <c r="J1648" t="s">
        <v>77</v>
      </c>
      <c r="K1648" t="s">
        <v>78</v>
      </c>
      <c r="L1648" t="s">
        <v>90</v>
      </c>
      <c r="M1648" t="s">
        <v>91</v>
      </c>
      <c r="N1648" t="s">
        <v>950</v>
      </c>
      <c r="O1648" t="s">
        <v>82</v>
      </c>
      <c r="P1648" t="str">
        <f>"2170717291                    "</f>
        <v xml:space="preserve">2170717291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19.3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4.5</v>
      </c>
      <c r="BJ1648">
        <v>1.3</v>
      </c>
      <c r="BK1648">
        <v>4.5</v>
      </c>
      <c r="BL1648" s="4">
        <v>113.47</v>
      </c>
      <c r="BM1648" s="4">
        <v>17.02</v>
      </c>
      <c r="BN1648" s="4">
        <v>130.49</v>
      </c>
      <c r="BO1648" s="4">
        <v>130.49</v>
      </c>
      <c r="BQ1648" t="s">
        <v>121</v>
      </c>
      <c r="BR1648" t="s">
        <v>84</v>
      </c>
      <c r="BS1648" s="3">
        <v>43784</v>
      </c>
      <c r="BT1648" s="5">
        <v>0.32569444444444445</v>
      </c>
      <c r="BU1648" t="s">
        <v>1692</v>
      </c>
      <c r="BV1648" t="s">
        <v>86</v>
      </c>
      <c r="BY1648">
        <v>6271.81</v>
      </c>
      <c r="CA1648" t="s">
        <v>1309</v>
      </c>
      <c r="CC1648" t="s">
        <v>91</v>
      </c>
      <c r="CD1648">
        <v>7530</v>
      </c>
      <c r="CE1648" t="s">
        <v>88</v>
      </c>
      <c r="CF1648" s="3">
        <v>43787</v>
      </c>
      <c r="CI1648">
        <v>1</v>
      </c>
      <c r="CJ1648">
        <v>1</v>
      </c>
      <c r="CK1648">
        <v>21</v>
      </c>
      <c r="CL1648" t="s">
        <v>89</v>
      </c>
    </row>
    <row r="1649" spans="1:90">
      <c r="A1649" t="s">
        <v>72</v>
      </c>
      <c r="B1649" t="s">
        <v>73</v>
      </c>
      <c r="C1649" t="s">
        <v>74</v>
      </c>
      <c r="E1649" t="str">
        <f>"FES1162723256"</f>
        <v>FES1162723256</v>
      </c>
      <c r="F1649" s="3">
        <v>43783</v>
      </c>
      <c r="G1649">
        <v>202005</v>
      </c>
      <c r="H1649" t="s">
        <v>75</v>
      </c>
      <c r="I1649" t="s">
        <v>76</v>
      </c>
      <c r="J1649" t="s">
        <v>77</v>
      </c>
      <c r="K1649" t="s">
        <v>78</v>
      </c>
      <c r="L1649" t="s">
        <v>124</v>
      </c>
      <c r="M1649" t="s">
        <v>125</v>
      </c>
      <c r="N1649" t="s">
        <v>1870</v>
      </c>
      <c r="O1649" t="s">
        <v>82</v>
      </c>
      <c r="P1649" t="str">
        <f>"2170717277                    "</f>
        <v xml:space="preserve">2170717277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13.94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6.1</v>
      </c>
      <c r="BJ1649">
        <v>2.4</v>
      </c>
      <c r="BK1649">
        <v>6.5</v>
      </c>
      <c r="BL1649" s="4">
        <v>81.93</v>
      </c>
      <c r="BM1649" s="4">
        <v>12.29</v>
      </c>
      <c r="BN1649" s="4">
        <v>94.22</v>
      </c>
      <c r="BO1649" s="4">
        <v>94.22</v>
      </c>
      <c r="BQ1649" t="s">
        <v>121</v>
      </c>
      <c r="BR1649" t="s">
        <v>84</v>
      </c>
      <c r="BS1649" s="3">
        <v>43784</v>
      </c>
      <c r="BT1649" s="5">
        <v>0.37013888888888885</v>
      </c>
      <c r="BU1649" t="s">
        <v>2076</v>
      </c>
      <c r="BV1649" t="s">
        <v>86</v>
      </c>
      <c r="BY1649">
        <v>11765.19</v>
      </c>
      <c r="CC1649" t="s">
        <v>125</v>
      </c>
      <c r="CD1649">
        <v>2013</v>
      </c>
      <c r="CE1649" t="s">
        <v>88</v>
      </c>
      <c r="CI1649">
        <v>1</v>
      </c>
      <c r="CJ1649">
        <v>1</v>
      </c>
      <c r="CK1649">
        <v>22</v>
      </c>
      <c r="CL1649" t="s">
        <v>89</v>
      </c>
    </row>
    <row r="1650" spans="1:90">
      <c r="A1650" t="s">
        <v>72</v>
      </c>
      <c r="B1650" t="s">
        <v>73</v>
      </c>
      <c r="C1650" t="s">
        <v>74</v>
      </c>
      <c r="E1650" t="str">
        <f>"FES1162723168"</f>
        <v>FES1162723168</v>
      </c>
      <c r="F1650" s="3">
        <v>43783</v>
      </c>
      <c r="G1650">
        <v>202005</v>
      </c>
      <c r="H1650" t="s">
        <v>75</v>
      </c>
      <c r="I1650" t="s">
        <v>76</v>
      </c>
      <c r="J1650" t="s">
        <v>77</v>
      </c>
      <c r="K1650" t="s">
        <v>78</v>
      </c>
      <c r="L1650" t="s">
        <v>101</v>
      </c>
      <c r="M1650" t="s">
        <v>102</v>
      </c>
      <c r="N1650" t="s">
        <v>1782</v>
      </c>
      <c r="O1650" t="s">
        <v>82</v>
      </c>
      <c r="P1650" t="str">
        <f>"2170717195                    "</f>
        <v xml:space="preserve">2170717195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8.58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 s="4">
        <v>50.45</v>
      </c>
      <c r="BM1650" s="4">
        <v>7.57</v>
      </c>
      <c r="BN1650" s="4">
        <v>58.02</v>
      </c>
      <c r="BO1650" s="4">
        <v>58.02</v>
      </c>
      <c r="BQ1650" t="s">
        <v>1783</v>
      </c>
      <c r="BR1650" t="s">
        <v>84</v>
      </c>
      <c r="BS1650" s="3">
        <v>43784</v>
      </c>
      <c r="BT1650" s="5">
        <v>0.3611111111111111</v>
      </c>
      <c r="BU1650" t="s">
        <v>1609</v>
      </c>
      <c r="BV1650" t="s">
        <v>86</v>
      </c>
      <c r="BY1650">
        <v>1200</v>
      </c>
      <c r="CC1650" t="s">
        <v>102</v>
      </c>
      <c r="CD1650">
        <v>200</v>
      </c>
      <c r="CE1650" t="s">
        <v>147</v>
      </c>
      <c r="CF1650" s="3">
        <v>43788</v>
      </c>
      <c r="CI1650">
        <v>1</v>
      </c>
      <c r="CJ1650">
        <v>1</v>
      </c>
      <c r="CK1650">
        <v>21</v>
      </c>
      <c r="CL1650" t="s">
        <v>89</v>
      </c>
    </row>
    <row r="1651" spans="1:90">
      <c r="A1651" t="s">
        <v>72</v>
      </c>
      <c r="B1651" t="s">
        <v>73</v>
      </c>
      <c r="C1651" t="s">
        <v>74</v>
      </c>
      <c r="E1651" t="str">
        <f>"FES1162723234"</f>
        <v>FES1162723234</v>
      </c>
      <c r="F1651" s="3">
        <v>43783</v>
      </c>
      <c r="G1651">
        <v>202005</v>
      </c>
      <c r="H1651" t="s">
        <v>75</v>
      </c>
      <c r="I1651" t="s">
        <v>76</v>
      </c>
      <c r="J1651" t="s">
        <v>77</v>
      </c>
      <c r="K1651" t="s">
        <v>78</v>
      </c>
      <c r="L1651" t="s">
        <v>101</v>
      </c>
      <c r="M1651" t="s">
        <v>102</v>
      </c>
      <c r="N1651" t="s">
        <v>181</v>
      </c>
      <c r="O1651" t="s">
        <v>82</v>
      </c>
      <c r="P1651" t="str">
        <f>"2170717261                    "</f>
        <v xml:space="preserve">2170717261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8.58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 s="4">
        <v>50.45</v>
      </c>
      <c r="BM1651" s="4">
        <v>7.57</v>
      </c>
      <c r="BN1651" s="4">
        <v>58.02</v>
      </c>
      <c r="BO1651" s="4">
        <v>58.02</v>
      </c>
      <c r="BQ1651" t="s">
        <v>121</v>
      </c>
      <c r="BR1651" t="s">
        <v>84</v>
      </c>
      <c r="BS1651" s="3">
        <v>43784</v>
      </c>
      <c r="BT1651" s="5">
        <v>0.39930555555555558</v>
      </c>
      <c r="BU1651" t="s">
        <v>1980</v>
      </c>
      <c r="BV1651" t="s">
        <v>86</v>
      </c>
      <c r="BY1651">
        <v>1200</v>
      </c>
      <c r="CC1651" t="s">
        <v>102</v>
      </c>
      <c r="CD1651">
        <v>200</v>
      </c>
      <c r="CE1651" t="s">
        <v>147</v>
      </c>
      <c r="CF1651" s="3">
        <v>43788</v>
      </c>
      <c r="CI1651">
        <v>1</v>
      </c>
      <c r="CJ1651">
        <v>1</v>
      </c>
      <c r="CK1651">
        <v>21</v>
      </c>
      <c r="CL1651" t="s">
        <v>89</v>
      </c>
    </row>
    <row r="1652" spans="1:90">
      <c r="A1652" t="s">
        <v>72</v>
      </c>
      <c r="B1652" t="s">
        <v>73</v>
      </c>
      <c r="C1652" t="s">
        <v>74</v>
      </c>
      <c r="E1652" t="str">
        <f>"FES1162723237"</f>
        <v>FES1162723237</v>
      </c>
      <c r="F1652" s="3">
        <v>43783</v>
      </c>
      <c r="G1652">
        <v>202005</v>
      </c>
      <c r="H1652" t="s">
        <v>75</v>
      </c>
      <c r="I1652" t="s">
        <v>76</v>
      </c>
      <c r="J1652" t="s">
        <v>77</v>
      </c>
      <c r="K1652" t="s">
        <v>78</v>
      </c>
      <c r="L1652" t="s">
        <v>605</v>
      </c>
      <c r="M1652" t="s">
        <v>606</v>
      </c>
      <c r="N1652" t="s">
        <v>785</v>
      </c>
      <c r="O1652" t="s">
        <v>82</v>
      </c>
      <c r="P1652" t="str">
        <f>"2170717266                    "</f>
        <v xml:space="preserve">2170717266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12.07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 s="4">
        <v>70.95</v>
      </c>
      <c r="BM1652" s="4">
        <v>10.64</v>
      </c>
      <c r="BN1652" s="4">
        <v>81.59</v>
      </c>
      <c r="BO1652" s="4">
        <v>81.59</v>
      </c>
      <c r="BQ1652" t="s">
        <v>109</v>
      </c>
      <c r="BR1652" t="s">
        <v>84</v>
      </c>
      <c r="BS1652" s="3">
        <v>43784</v>
      </c>
      <c r="BT1652" s="5">
        <v>0.53472222222222221</v>
      </c>
      <c r="BU1652" t="s">
        <v>179</v>
      </c>
      <c r="BV1652" t="s">
        <v>86</v>
      </c>
      <c r="BY1652">
        <v>1200</v>
      </c>
      <c r="CC1652" t="s">
        <v>606</v>
      </c>
      <c r="CD1652">
        <v>407</v>
      </c>
      <c r="CE1652" t="s">
        <v>147</v>
      </c>
      <c r="CF1652" s="3">
        <v>43788</v>
      </c>
      <c r="CI1652">
        <v>1</v>
      </c>
      <c r="CJ1652">
        <v>1</v>
      </c>
      <c r="CK1652">
        <v>24</v>
      </c>
      <c r="CL1652" t="s">
        <v>89</v>
      </c>
    </row>
    <row r="1653" spans="1:90">
      <c r="A1653" t="s">
        <v>72</v>
      </c>
      <c r="B1653" t="s">
        <v>73</v>
      </c>
      <c r="C1653" t="s">
        <v>74</v>
      </c>
      <c r="E1653" t="str">
        <f>"FES1162723246"</f>
        <v>FES1162723246</v>
      </c>
      <c r="F1653" s="3">
        <v>43783</v>
      </c>
      <c r="G1653">
        <v>202005</v>
      </c>
      <c r="H1653" t="s">
        <v>75</v>
      </c>
      <c r="I1653" t="s">
        <v>76</v>
      </c>
      <c r="J1653" t="s">
        <v>77</v>
      </c>
      <c r="K1653" t="s">
        <v>78</v>
      </c>
      <c r="L1653" t="s">
        <v>101</v>
      </c>
      <c r="M1653" t="s">
        <v>102</v>
      </c>
      <c r="N1653" t="s">
        <v>2016</v>
      </c>
      <c r="O1653" t="s">
        <v>82</v>
      </c>
      <c r="P1653" t="str">
        <f>"2170717269                    "</f>
        <v xml:space="preserve">2170717269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8.58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 s="4">
        <v>50.45</v>
      </c>
      <c r="BM1653" s="4">
        <v>7.57</v>
      </c>
      <c r="BN1653" s="4">
        <v>58.02</v>
      </c>
      <c r="BO1653" s="4">
        <v>58.02</v>
      </c>
      <c r="BQ1653" t="s">
        <v>109</v>
      </c>
      <c r="BR1653" t="s">
        <v>84</v>
      </c>
      <c r="BS1653" s="3">
        <v>43784</v>
      </c>
      <c r="BT1653" s="5">
        <v>0.39027777777777778</v>
      </c>
      <c r="BU1653" t="s">
        <v>2017</v>
      </c>
      <c r="BV1653" t="s">
        <v>86</v>
      </c>
      <c r="BY1653">
        <v>1200</v>
      </c>
      <c r="CC1653" t="s">
        <v>102</v>
      </c>
      <c r="CD1653">
        <v>200</v>
      </c>
      <c r="CE1653" t="s">
        <v>147</v>
      </c>
      <c r="CF1653" s="3">
        <v>43788</v>
      </c>
      <c r="CI1653">
        <v>1</v>
      </c>
      <c r="CJ1653">
        <v>1</v>
      </c>
      <c r="CK1653">
        <v>21</v>
      </c>
      <c r="CL1653" t="s">
        <v>89</v>
      </c>
    </row>
    <row r="1654" spans="1:90">
      <c r="A1654" t="s">
        <v>72</v>
      </c>
      <c r="B1654" t="s">
        <v>73</v>
      </c>
      <c r="C1654" t="s">
        <v>74</v>
      </c>
      <c r="E1654" t="str">
        <f>"FES1162723218"</f>
        <v>FES1162723218</v>
      </c>
      <c r="F1654" s="3">
        <v>43783</v>
      </c>
      <c r="G1654">
        <v>202005</v>
      </c>
      <c r="H1654" t="s">
        <v>75</v>
      </c>
      <c r="I1654" t="s">
        <v>76</v>
      </c>
      <c r="J1654" t="s">
        <v>77</v>
      </c>
      <c r="K1654" t="s">
        <v>78</v>
      </c>
      <c r="L1654" t="s">
        <v>90</v>
      </c>
      <c r="M1654" t="s">
        <v>91</v>
      </c>
      <c r="N1654" t="s">
        <v>674</v>
      </c>
      <c r="O1654" t="s">
        <v>82</v>
      </c>
      <c r="P1654" t="str">
        <f>"2170714985                    "</f>
        <v xml:space="preserve">2170714985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42.89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2</v>
      </c>
      <c r="BI1654">
        <v>9.6999999999999993</v>
      </c>
      <c r="BJ1654">
        <v>5.6</v>
      </c>
      <c r="BK1654">
        <v>10</v>
      </c>
      <c r="BL1654" s="4">
        <v>252.12</v>
      </c>
      <c r="BM1654" s="4">
        <v>37.82</v>
      </c>
      <c r="BN1654" s="4">
        <v>289.94</v>
      </c>
      <c r="BO1654" s="4">
        <v>289.94</v>
      </c>
      <c r="BQ1654" t="s">
        <v>109</v>
      </c>
      <c r="BR1654" t="s">
        <v>84</v>
      </c>
      <c r="BS1654" s="3">
        <v>43784</v>
      </c>
      <c r="BT1654" s="5">
        <v>0.3576388888888889</v>
      </c>
      <c r="BU1654" t="s">
        <v>1363</v>
      </c>
      <c r="BV1654" t="s">
        <v>86</v>
      </c>
      <c r="BY1654">
        <v>28224.27</v>
      </c>
      <c r="CA1654" t="s">
        <v>1121</v>
      </c>
      <c r="CC1654" t="s">
        <v>91</v>
      </c>
      <c r="CD1654">
        <v>7764</v>
      </c>
      <c r="CE1654" t="s">
        <v>1892</v>
      </c>
      <c r="CF1654" s="3">
        <v>43787</v>
      </c>
      <c r="CI1654">
        <v>1</v>
      </c>
      <c r="CJ1654">
        <v>1</v>
      </c>
      <c r="CK1654">
        <v>21</v>
      </c>
      <c r="CL1654" t="s">
        <v>89</v>
      </c>
    </row>
    <row r="1655" spans="1:90">
      <c r="A1655" t="s">
        <v>72</v>
      </c>
      <c r="B1655" t="s">
        <v>73</v>
      </c>
      <c r="C1655" t="s">
        <v>74</v>
      </c>
      <c r="E1655" t="str">
        <f>"FES1162723078"</f>
        <v>FES1162723078</v>
      </c>
      <c r="F1655" s="3">
        <v>43783</v>
      </c>
      <c r="G1655">
        <v>202005</v>
      </c>
      <c r="H1655" t="s">
        <v>75</v>
      </c>
      <c r="I1655" t="s">
        <v>76</v>
      </c>
      <c r="J1655" t="s">
        <v>77</v>
      </c>
      <c r="K1655" t="s">
        <v>78</v>
      </c>
      <c r="L1655" t="s">
        <v>75</v>
      </c>
      <c r="M1655" t="s">
        <v>76</v>
      </c>
      <c r="N1655" t="s">
        <v>240</v>
      </c>
      <c r="O1655" t="s">
        <v>82</v>
      </c>
      <c r="P1655" t="str">
        <f>"2170714713                    "</f>
        <v xml:space="preserve">2170714713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9.1199999999999992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1.1000000000000001</v>
      </c>
      <c r="BJ1655">
        <v>3.1</v>
      </c>
      <c r="BK1655">
        <v>3.5</v>
      </c>
      <c r="BL1655" s="4">
        <v>53.59</v>
      </c>
      <c r="BM1655" s="4">
        <v>8.0399999999999991</v>
      </c>
      <c r="BN1655" s="4">
        <v>61.63</v>
      </c>
      <c r="BO1655" s="4">
        <v>61.63</v>
      </c>
      <c r="BQ1655" t="s">
        <v>109</v>
      </c>
      <c r="BR1655" t="s">
        <v>84</v>
      </c>
      <c r="BS1655" s="3">
        <v>43784</v>
      </c>
      <c r="BT1655" s="5">
        <v>0.3263888888888889</v>
      </c>
      <c r="BU1655" t="s">
        <v>2077</v>
      </c>
      <c r="BV1655" t="s">
        <v>86</v>
      </c>
      <c r="BY1655">
        <v>15381.34</v>
      </c>
      <c r="CC1655" t="s">
        <v>76</v>
      </c>
      <c r="CD1655">
        <v>1601</v>
      </c>
      <c r="CE1655" t="s">
        <v>88</v>
      </c>
      <c r="CF1655" s="3">
        <v>43787</v>
      </c>
      <c r="CI1655">
        <v>1</v>
      </c>
      <c r="CJ1655">
        <v>1</v>
      </c>
      <c r="CK1655">
        <v>22</v>
      </c>
      <c r="CL1655" t="s">
        <v>89</v>
      </c>
    </row>
    <row r="1656" spans="1:90">
      <c r="A1656" t="s">
        <v>72</v>
      </c>
      <c r="B1656" t="s">
        <v>73</v>
      </c>
      <c r="C1656" t="s">
        <v>74</v>
      </c>
      <c r="E1656" t="str">
        <f>"FES1162723251"</f>
        <v>FES1162723251</v>
      </c>
      <c r="F1656" s="3">
        <v>43783</v>
      </c>
      <c r="G1656">
        <v>202005</v>
      </c>
      <c r="H1656" t="s">
        <v>75</v>
      </c>
      <c r="I1656" t="s">
        <v>76</v>
      </c>
      <c r="J1656" t="s">
        <v>77</v>
      </c>
      <c r="K1656" t="s">
        <v>78</v>
      </c>
      <c r="L1656" t="s">
        <v>133</v>
      </c>
      <c r="M1656" t="s">
        <v>134</v>
      </c>
      <c r="N1656" t="s">
        <v>135</v>
      </c>
      <c r="O1656" t="s">
        <v>82</v>
      </c>
      <c r="P1656" t="str">
        <f>"2170717010                    "</f>
        <v xml:space="preserve">2170717010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23.59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5.2</v>
      </c>
      <c r="BJ1656">
        <v>1.6</v>
      </c>
      <c r="BK1656">
        <v>5.5</v>
      </c>
      <c r="BL1656" s="4">
        <v>138.68</v>
      </c>
      <c r="BM1656" s="4">
        <v>20.8</v>
      </c>
      <c r="BN1656" s="4">
        <v>159.47999999999999</v>
      </c>
      <c r="BO1656" s="4">
        <v>159.47999999999999</v>
      </c>
      <c r="BQ1656" t="s">
        <v>109</v>
      </c>
      <c r="BR1656" t="s">
        <v>84</v>
      </c>
      <c r="BS1656" s="3">
        <v>43784</v>
      </c>
      <c r="BT1656" s="5">
        <v>0.35416666666666669</v>
      </c>
      <c r="BU1656" t="s">
        <v>2078</v>
      </c>
      <c r="BV1656" t="s">
        <v>86</v>
      </c>
      <c r="BY1656">
        <v>8166.78</v>
      </c>
      <c r="CA1656" t="s">
        <v>1109</v>
      </c>
      <c r="CC1656" t="s">
        <v>134</v>
      </c>
      <c r="CD1656">
        <v>5201</v>
      </c>
      <c r="CE1656" t="s">
        <v>88</v>
      </c>
      <c r="CF1656" s="3">
        <v>43787</v>
      </c>
      <c r="CI1656">
        <v>1</v>
      </c>
      <c r="CJ1656">
        <v>1</v>
      </c>
      <c r="CK1656">
        <v>21</v>
      </c>
      <c r="CL1656" t="s">
        <v>89</v>
      </c>
    </row>
    <row r="1657" spans="1:90">
      <c r="A1657" t="s">
        <v>72</v>
      </c>
      <c r="B1657" t="s">
        <v>73</v>
      </c>
      <c r="C1657" t="s">
        <v>74</v>
      </c>
      <c r="E1657" t="str">
        <f>"FES1162723132"</f>
        <v>FES1162723132</v>
      </c>
      <c r="F1657" s="3">
        <v>43783</v>
      </c>
      <c r="G1657">
        <v>202005</v>
      </c>
      <c r="H1657" t="s">
        <v>75</v>
      </c>
      <c r="I1657" t="s">
        <v>76</v>
      </c>
      <c r="J1657" t="s">
        <v>77</v>
      </c>
      <c r="K1657" t="s">
        <v>78</v>
      </c>
      <c r="L1657" t="s">
        <v>124</v>
      </c>
      <c r="M1657" t="s">
        <v>125</v>
      </c>
      <c r="N1657" t="s">
        <v>218</v>
      </c>
      <c r="O1657" t="s">
        <v>82</v>
      </c>
      <c r="P1657" t="str">
        <f>"217077146                     "</f>
        <v xml:space="preserve">217077146 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6.71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1.1000000000000001</v>
      </c>
      <c r="BJ1657">
        <v>0.5</v>
      </c>
      <c r="BK1657">
        <v>1.5</v>
      </c>
      <c r="BL1657" s="4">
        <v>39.42</v>
      </c>
      <c r="BM1657" s="4">
        <v>5.91</v>
      </c>
      <c r="BN1657" s="4">
        <v>45.33</v>
      </c>
      <c r="BO1657" s="4">
        <v>45.33</v>
      </c>
      <c r="BQ1657" t="s">
        <v>121</v>
      </c>
      <c r="BR1657" t="s">
        <v>84</v>
      </c>
      <c r="BS1657" s="3">
        <v>43784</v>
      </c>
      <c r="BT1657" s="5">
        <v>0.39027777777777778</v>
      </c>
      <c r="BU1657" t="s">
        <v>838</v>
      </c>
      <c r="BV1657" t="s">
        <v>86</v>
      </c>
      <c r="BY1657">
        <v>2725.09</v>
      </c>
      <c r="CC1657" t="s">
        <v>125</v>
      </c>
      <c r="CD1657">
        <v>2094</v>
      </c>
      <c r="CE1657" t="s">
        <v>88</v>
      </c>
      <c r="CF1657" s="3">
        <v>43788</v>
      </c>
      <c r="CI1657">
        <v>1</v>
      </c>
      <c r="CJ1657">
        <v>1</v>
      </c>
      <c r="CK1657">
        <v>22</v>
      </c>
      <c r="CL1657" t="s">
        <v>89</v>
      </c>
    </row>
    <row r="1658" spans="1:90">
      <c r="A1658" t="s">
        <v>72</v>
      </c>
      <c r="B1658" t="s">
        <v>73</v>
      </c>
      <c r="C1658" t="s">
        <v>74</v>
      </c>
      <c r="E1658" t="str">
        <f>"FES1162723250"</f>
        <v>FES1162723250</v>
      </c>
      <c r="F1658" s="3">
        <v>43783</v>
      </c>
      <c r="G1658">
        <v>202005</v>
      </c>
      <c r="H1658" t="s">
        <v>75</v>
      </c>
      <c r="I1658" t="s">
        <v>76</v>
      </c>
      <c r="J1658" t="s">
        <v>77</v>
      </c>
      <c r="K1658" t="s">
        <v>78</v>
      </c>
      <c r="L1658" t="s">
        <v>75</v>
      </c>
      <c r="M1658" t="s">
        <v>76</v>
      </c>
      <c r="N1658" t="s">
        <v>2079</v>
      </c>
      <c r="O1658" t="s">
        <v>82</v>
      </c>
      <c r="P1658" t="str">
        <f>"21707169698                   "</f>
        <v xml:space="preserve">21707169698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6.71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 s="4">
        <v>39.42</v>
      </c>
      <c r="BM1658" s="4">
        <v>5.91</v>
      </c>
      <c r="BN1658" s="4">
        <v>45.33</v>
      </c>
      <c r="BO1658" s="4">
        <v>45.33</v>
      </c>
      <c r="BQ1658" t="s">
        <v>121</v>
      </c>
      <c r="BR1658" t="s">
        <v>84</v>
      </c>
      <c r="BS1658" s="3">
        <v>43784</v>
      </c>
      <c r="BT1658" s="5">
        <v>0.3298611111111111</v>
      </c>
      <c r="BU1658" t="s">
        <v>2080</v>
      </c>
      <c r="BV1658" t="s">
        <v>86</v>
      </c>
      <c r="BY1658">
        <v>1200</v>
      </c>
      <c r="CA1658" t="s">
        <v>1998</v>
      </c>
      <c r="CC1658" t="s">
        <v>76</v>
      </c>
      <c r="CD1658">
        <v>1609</v>
      </c>
      <c r="CE1658" t="s">
        <v>147</v>
      </c>
      <c r="CF1658" s="3">
        <v>43787</v>
      </c>
      <c r="CI1658">
        <v>1</v>
      </c>
      <c r="CJ1658">
        <v>1</v>
      </c>
      <c r="CK1658">
        <v>22</v>
      </c>
      <c r="CL1658" t="s">
        <v>89</v>
      </c>
    </row>
    <row r="1659" spans="1:90">
      <c r="A1659" t="s">
        <v>72</v>
      </c>
      <c r="B1659" t="s">
        <v>73</v>
      </c>
      <c r="C1659" t="s">
        <v>74</v>
      </c>
      <c r="E1659" t="str">
        <f>"FES1162723209"</f>
        <v>FES1162723209</v>
      </c>
      <c r="F1659" s="3">
        <v>43783</v>
      </c>
      <c r="G1659">
        <v>202005</v>
      </c>
      <c r="H1659" t="s">
        <v>75</v>
      </c>
      <c r="I1659" t="s">
        <v>76</v>
      </c>
      <c r="J1659" t="s">
        <v>77</v>
      </c>
      <c r="K1659" t="s">
        <v>78</v>
      </c>
      <c r="L1659" t="s">
        <v>90</v>
      </c>
      <c r="M1659" t="s">
        <v>91</v>
      </c>
      <c r="N1659" t="s">
        <v>576</v>
      </c>
      <c r="O1659" t="s">
        <v>82</v>
      </c>
      <c r="P1659" t="str">
        <f>"2170717235                    "</f>
        <v xml:space="preserve">2170717235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8.58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 s="4">
        <v>50.45</v>
      </c>
      <c r="BM1659" s="4">
        <v>7.57</v>
      </c>
      <c r="BN1659" s="4">
        <v>58.02</v>
      </c>
      <c r="BO1659" s="4">
        <v>58.02</v>
      </c>
      <c r="BQ1659" t="s">
        <v>109</v>
      </c>
      <c r="BR1659" t="s">
        <v>84</v>
      </c>
      <c r="BS1659" s="3">
        <v>43784</v>
      </c>
      <c r="BT1659" s="5">
        <v>0.34722222222222227</v>
      </c>
      <c r="BU1659" t="s">
        <v>2081</v>
      </c>
      <c r="BV1659" t="s">
        <v>86</v>
      </c>
      <c r="BY1659">
        <v>1200</v>
      </c>
      <c r="CA1659" t="s">
        <v>213</v>
      </c>
      <c r="CC1659" t="s">
        <v>91</v>
      </c>
      <c r="CD1659">
        <v>7441</v>
      </c>
      <c r="CE1659" t="s">
        <v>147</v>
      </c>
      <c r="CF1659" s="3">
        <v>43787</v>
      </c>
      <c r="CI1659">
        <v>1</v>
      </c>
      <c r="CJ1659">
        <v>1</v>
      </c>
      <c r="CK1659">
        <v>21</v>
      </c>
      <c r="CL1659" t="s">
        <v>89</v>
      </c>
    </row>
    <row r="1660" spans="1:90">
      <c r="A1660" t="s">
        <v>72</v>
      </c>
      <c r="B1660" t="s">
        <v>73</v>
      </c>
      <c r="C1660" t="s">
        <v>74</v>
      </c>
      <c r="E1660" t="str">
        <f>"FES1162723205"</f>
        <v>FES1162723205</v>
      </c>
      <c r="F1660" s="3">
        <v>43783</v>
      </c>
      <c r="G1660">
        <v>202005</v>
      </c>
      <c r="H1660" t="s">
        <v>75</v>
      </c>
      <c r="I1660" t="s">
        <v>76</v>
      </c>
      <c r="J1660" t="s">
        <v>77</v>
      </c>
      <c r="K1660" t="s">
        <v>78</v>
      </c>
      <c r="L1660" t="s">
        <v>202</v>
      </c>
      <c r="M1660" t="s">
        <v>203</v>
      </c>
      <c r="N1660" t="s">
        <v>1654</v>
      </c>
      <c r="O1660" t="s">
        <v>82</v>
      </c>
      <c r="P1660" t="str">
        <f>"2170717232                    "</f>
        <v xml:space="preserve">2170717232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6.71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 s="4">
        <v>39.42</v>
      </c>
      <c r="BM1660" s="4">
        <v>5.91</v>
      </c>
      <c r="BN1660" s="4">
        <v>45.33</v>
      </c>
      <c r="BO1660" s="4">
        <v>45.33</v>
      </c>
      <c r="BQ1660" t="s">
        <v>1655</v>
      </c>
      <c r="BR1660" t="s">
        <v>84</v>
      </c>
      <c r="BS1660" s="3">
        <v>43784</v>
      </c>
      <c r="BT1660" s="5">
        <v>0.3888888888888889</v>
      </c>
      <c r="BU1660" t="s">
        <v>1656</v>
      </c>
      <c r="BV1660" t="s">
        <v>86</v>
      </c>
      <c r="BY1660">
        <v>1200</v>
      </c>
      <c r="CC1660" t="s">
        <v>203</v>
      </c>
      <c r="CD1660">
        <v>1422</v>
      </c>
      <c r="CE1660" t="s">
        <v>147</v>
      </c>
      <c r="CF1660" s="3">
        <v>43787</v>
      </c>
      <c r="CI1660">
        <v>1</v>
      </c>
      <c r="CJ1660">
        <v>1</v>
      </c>
      <c r="CK1660">
        <v>22</v>
      </c>
      <c r="CL1660" t="s">
        <v>89</v>
      </c>
    </row>
    <row r="1661" spans="1:90">
      <c r="A1661" t="s">
        <v>72</v>
      </c>
      <c r="B1661" t="s">
        <v>73</v>
      </c>
      <c r="C1661" t="s">
        <v>74</v>
      </c>
      <c r="E1661" t="str">
        <f>"FES1162723206"</f>
        <v>FES1162723206</v>
      </c>
      <c r="F1661" s="3">
        <v>43783</v>
      </c>
      <c r="G1661">
        <v>202005</v>
      </c>
      <c r="H1661" t="s">
        <v>75</v>
      </c>
      <c r="I1661" t="s">
        <v>76</v>
      </c>
      <c r="J1661" t="s">
        <v>77</v>
      </c>
      <c r="K1661" t="s">
        <v>78</v>
      </c>
      <c r="L1661" t="s">
        <v>482</v>
      </c>
      <c r="M1661" t="s">
        <v>483</v>
      </c>
      <c r="N1661" t="s">
        <v>449</v>
      </c>
      <c r="O1661" t="s">
        <v>756</v>
      </c>
      <c r="P1661" t="str">
        <f>"2170717233                    "</f>
        <v xml:space="preserve">2170717233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8.2100000000000009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5.0999999999999996</v>
      </c>
      <c r="BJ1661">
        <v>2.4</v>
      </c>
      <c r="BK1661">
        <v>6</v>
      </c>
      <c r="BL1661" s="4">
        <v>48.26</v>
      </c>
      <c r="BM1661" s="4">
        <v>7.24</v>
      </c>
      <c r="BN1661" s="4">
        <v>55.5</v>
      </c>
      <c r="BO1661" s="4">
        <v>55.5</v>
      </c>
      <c r="BP1661" t="s">
        <v>757</v>
      </c>
      <c r="BQ1661" t="s">
        <v>109</v>
      </c>
      <c r="BR1661" t="s">
        <v>84</v>
      </c>
      <c r="BS1661" s="3">
        <v>43784</v>
      </c>
      <c r="BT1661" s="5">
        <v>0.4375</v>
      </c>
      <c r="BU1661" t="s">
        <v>1111</v>
      </c>
      <c r="BV1661" t="s">
        <v>86</v>
      </c>
      <c r="BY1661">
        <v>12235.39</v>
      </c>
      <c r="CC1661" t="s">
        <v>483</v>
      </c>
      <c r="CD1661">
        <v>1459</v>
      </c>
      <c r="CE1661" t="s">
        <v>88</v>
      </c>
      <c r="CF1661" s="3">
        <v>43788</v>
      </c>
      <c r="CI1661">
        <v>1</v>
      </c>
      <c r="CJ1661">
        <v>1</v>
      </c>
      <c r="CK1661">
        <v>32</v>
      </c>
      <c r="CL1661" t="s">
        <v>89</v>
      </c>
    </row>
    <row r="1662" spans="1:90">
      <c r="A1662" t="s">
        <v>72</v>
      </c>
      <c r="B1662" t="s">
        <v>73</v>
      </c>
      <c r="C1662" t="s">
        <v>74</v>
      </c>
      <c r="E1662" t="str">
        <f>"FES1162723034"</f>
        <v>FES1162723034</v>
      </c>
      <c r="F1662" s="3">
        <v>43783</v>
      </c>
      <c r="G1662">
        <v>202005</v>
      </c>
      <c r="H1662" t="s">
        <v>75</v>
      </c>
      <c r="I1662" t="s">
        <v>76</v>
      </c>
      <c r="J1662" t="s">
        <v>77</v>
      </c>
      <c r="K1662" t="s">
        <v>78</v>
      </c>
      <c r="L1662" t="s">
        <v>124</v>
      </c>
      <c r="M1662" t="s">
        <v>125</v>
      </c>
      <c r="N1662" t="s">
        <v>230</v>
      </c>
      <c r="O1662" t="s">
        <v>82</v>
      </c>
      <c r="P1662" t="str">
        <f>"2170713795                    "</f>
        <v xml:space="preserve">2170713795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6.71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 s="4">
        <v>39.42</v>
      </c>
      <c r="BM1662" s="4">
        <v>5.91</v>
      </c>
      <c r="BN1662" s="4">
        <v>45.33</v>
      </c>
      <c r="BO1662" s="4">
        <v>45.33</v>
      </c>
      <c r="BQ1662" t="s">
        <v>109</v>
      </c>
      <c r="BR1662" t="s">
        <v>84</v>
      </c>
      <c r="BS1662" s="3">
        <v>43784</v>
      </c>
      <c r="BT1662" s="5">
        <v>0.41388888888888892</v>
      </c>
      <c r="BU1662" t="s">
        <v>370</v>
      </c>
      <c r="BV1662" t="s">
        <v>86</v>
      </c>
      <c r="BY1662">
        <v>1200</v>
      </c>
      <c r="CC1662" t="s">
        <v>125</v>
      </c>
      <c r="CD1662">
        <v>2091</v>
      </c>
      <c r="CE1662" t="s">
        <v>147</v>
      </c>
      <c r="CF1662" s="3">
        <v>43787</v>
      </c>
      <c r="CI1662">
        <v>1</v>
      </c>
      <c r="CJ1662">
        <v>1</v>
      </c>
      <c r="CK1662">
        <v>22</v>
      </c>
      <c r="CL1662" t="s">
        <v>89</v>
      </c>
    </row>
    <row r="1663" spans="1:90">
      <c r="A1663" t="s">
        <v>72</v>
      </c>
      <c r="B1663" t="s">
        <v>73</v>
      </c>
      <c r="C1663" t="s">
        <v>74</v>
      </c>
      <c r="E1663" t="str">
        <f>"FES1162723065"</f>
        <v>FES1162723065</v>
      </c>
      <c r="F1663" s="3">
        <v>43783</v>
      </c>
      <c r="G1663">
        <v>202005</v>
      </c>
      <c r="H1663" t="s">
        <v>75</v>
      </c>
      <c r="I1663" t="s">
        <v>76</v>
      </c>
      <c r="J1663" t="s">
        <v>77</v>
      </c>
      <c r="K1663" t="s">
        <v>78</v>
      </c>
      <c r="L1663" t="s">
        <v>546</v>
      </c>
      <c r="M1663" t="s">
        <v>547</v>
      </c>
      <c r="N1663" t="s">
        <v>979</v>
      </c>
      <c r="O1663" t="s">
        <v>82</v>
      </c>
      <c r="P1663" t="str">
        <f>"2170714490                    "</f>
        <v xml:space="preserve">2170714490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6.71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 s="4">
        <v>39.42</v>
      </c>
      <c r="BM1663" s="4">
        <v>5.91</v>
      </c>
      <c r="BN1663" s="4">
        <v>45.33</v>
      </c>
      <c r="BO1663" s="4">
        <v>45.33</v>
      </c>
      <c r="BQ1663" t="s">
        <v>121</v>
      </c>
      <c r="BR1663" t="s">
        <v>84</v>
      </c>
      <c r="BS1663" s="3">
        <v>43784</v>
      </c>
      <c r="BT1663" s="5">
        <v>0.3576388888888889</v>
      </c>
      <c r="BU1663" t="s">
        <v>2082</v>
      </c>
      <c r="BV1663" t="s">
        <v>86</v>
      </c>
      <c r="BY1663">
        <v>1200</v>
      </c>
      <c r="CC1663" t="s">
        <v>547</v>
      </c>
      <c r="CD1663">
        <v>1709</v>
      </c>
      <c r="CE1663" t="s">
        <v>147</v>
      </c>
      <c r="CF1663" s="3">
        <v>43787</v>
      </c>
      <c r="CI1663">
        <v>1</v>
      </c>
      <c r="CJ1663">
        <v>1</v>
      </c>
      <c r="CK1663">
        <v>22</v>
      </c>
      <c r="CL1663" t="s">
        <v>89</v>
      </c>
    </row>
    <row r="1664" spans="1:90">
      <c r="A1664" t="s">
        <v>72</v>
      </c>
      <c r="B1664" t="s">
        <v>73</v>
      </c>
      <c r="C1664" t="s">
        <v>74</v>
      </c>
      <c r="E1664" t="str">
        <f>"FES1162723264"</f>
        <v>FES1162723264</v>
      </c>
      <c r="F1664" s="3">
        <v>43783</v>
      </c>
      <c r="G1664">
        <v>202005</v>
      </c>
      <c r="H1664" t="s">
        <v>75</v>
      </c>
      <c r="I1664" t="s">
        <v>76</v>
      </c>
      <c r="J1664" t="s">
        <v>77</v>
      </c>
      <c r="K1664" t="s">
        <v>78</v>
      </c>
      <c r="L1664" t="s">
        <v>133</v>
      </c>
      <c r="M1664" t="s">
        <v>134</v>
      </c>
      <c r="N1664" t="s">
        <v>310</v>
      </c>
      <c r="O1664" t="s">
        <v>82</v>
      </c>
      <c r="P1664" t="str">
        <f>"2170717287                    "</f>
        <v xml:space="preserve">2170717287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8.58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 s="4">
        <v>50.45</v>
      </c>
      <c r="BM1664" s="4">
        <v>7.57</v>
      </c>
      <c r="BN1664" s="4">
        <v>58.02</v>
      </c>
      <c r="BO1664" s="4">
        <v>58.02</v>
      </c>
      <c r="BQ1664" t="s">
        <v>121</v>
      </c>
      <c r="BR1664" t="s">
        <v>84</v>
      </c>
      <c r="BS1664" s="3">
        <v>43784</v>
      </c>
      <c r="BT1664" s="5">
        <v>0.36458333333333331</v>
      </c>
      <c r="BU1664" t="s">
        <v>1421</v>
      </c>
      <c r="BV1664" t="s">
        <v>86</v>
      </c>
      <c r="BY1664">
        <v>1200</v>
      </c>
      <c r="CA1664" t="s">
        <v>1109</v>
      </c>
      <c r="CC1664" t="s">
        <v>134</v>
      </c>
      <c r="CD1664">
        <v>5201</v>
      </c>
      <c r="CE1664" t="s">
        <v>147</v>
      </c>
      <c r="CF1664" s="3">
        <v>43787</v>
      </c>
      <c r="CI1664">
        <v>1</v>
      </c>
      <c r="CJ1664">
        <v>1</v>
      </c>
      <c r="CK1664">
        <v>21</v>
      </c>
      <c r="CL1664" t="s">
        <v>89</v>
      </c>
    </row>
    <row r="1665" spans="1:90">
      <c r="A1665" t="s">
        <v>72</v>
      </c>
      <c r="B1665" t="s">
        <v>73</v>
      </c>
      <c r="C1665" t="s">
        <v>74</v>
      </c>
      <c r="E1665" t="str">
        <f>"FES1162723240"</f>
        <v>FES1162723240</v>
      </c>
      <c r="F1665" s="3">
        <v>43783</v>
      </c>
      <c r="G1665">
        <v>202005</v>
      </c>
      <c r="H1665" t="s">
        <v>75</v>
      </c>
      <c r="I1665" t="s">
        <v>76</v>
      </c>
      <c r="J1665" t="s">
        <v>77</v>
      </c>
      <c r="K1665" t="s">
        <v>78</v>
      </c>
      <c r="L1665" t="s">
        <v>90</v>
      </c>
      <c r="M1665" t="s">
        <v>91</v>
      </c>
      <c r="N1665" t="s">
        <v>401</v>
      </c>
      <c r="O1665" t="s">
        <v>82</v>
      </c>
      <c r="P1665" t="str">
        <f>"2170717076                    "</f>
        <v xml:space="preserve">2170717076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19.3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2</v>
      </c>
      <c r="BJ1665">
        <v>4.0999999999999996</v>
      </c>
      <c r="BK1665">
        <v>4.5</v>
      </c>
      <c r="BL1665" s="4">
        <v>113.47</v>
      </c>
      <c r="BM1665" s="4">
        <v>17.02</v>
      </c>
      <c r="BN1665" s="4">
        <v>130.49</v>
      </c>
      <c r="BO1665" s="4">
        <v>130.49</v>
      </c>
      <c r="BQ1665" t="s">
        <v>109</v>
      </c>
      <c r="BR1665" t="s">
        <v>84</v>
      </c>
      <c r="BS1665" s="3">
        <v>43784</v>
      </c>
      <c r="BT1665" s="5">
        <v>0.3347222222222222</v>
      </c>
      <c r="BU1665" t="s">
        <v>402</v>
      </c>
      <c r="BV1665" t="s">
        <v>86</v>
      </c>
      <c r="BY1665">
        <v>20358</v>
      </c>
      <c r="CA1665" t="s">
        <v>221</v>
      </c>
      <c r="CC1665" t="s">
        <v>91</v>
      </c>
      <c r="CD1665">
        <v>7441</v>
      </c>
      <c r="CE1665" t="s">
        <v>88</v>
      </c>
      <c r="CF1665" s="3">
        <v>43787</v>
      </c>
      <c r="CI1665">
        <v>1</v>
      </c>
      <c r="CJ1665">
        <v>1</v>
      </c>
      <c r="CK1665">
        <v>21</v>
      </c>
      <c r="CL1665" t="s">
        <v>89</v>
      </c>
    </row>
    <row r="1666" spans="1:90">
      <c r="A1666" t="s">
        <v>72</v>
      </c>
      <c r="B1666" t="s">
        <v>73</v>
      </c>
      <c r="C1666" t="s">
        <v>74</v>
      </c>
      <c r="E1666" t="str">
        <f>"FES1162722223"</f>
        <v>FES1162722223</v>
      </c>
      <c r="F1666" s="3">
        <v>43783</v>
      </c>
      <c r="G1666">
        <v>202005</v>
      </c>
      <c r="H1666" t="s">
        <v>75</v>
      </c>
      <c r="I1666" t="s">
        <v>76</v>
      </c>
      <c r="J1666" t="s">
        <v>77</v>
      </c>
      <c r="K1666" t="s">
        <v>78</v>
      </c>
      <c r="L1666" t="s">
        <v>90</v>
      </c>
      <c r="M1666" t="s">
        <v>91</v>
      </c>
      <c r="N1666" t="s">
        <v>674</v>
      </c>
      <c r="O1666" t="s">
        <v>82</v>
      </c>
      <c r="P1666" t="str">
        <f>"2170713889                    "</f>
        <v xml:space="preserve">2170713889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8.58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1.1000000000000001</v>
      </c>
      <c r="BJ1666">
        <v>0.9</v>
      </c>
      <c r="BK1666">
        <v>1.5</v>
      </c>
      <c r="BL1666" s="4">
        <v>50.45</v>
      </c>
      <c r="BM1666" s="4">
        <v>7.57</v>
      </c>
      <c r="BN1666" s="4">
        <v>58.02</v>
      </c>
      <c r="BO1666" s="4">
        <v>58.02</v>
      </c>
      <c r="BQ1666" t="s">
        <v>109</v>
      </c>
      <c r="BR1666" t="s">
        <v>84</v>
      </c>
      <c r="BS1666" s="3">
        <v>43784</v>
      </c>
      <c r="BT1666" s="5">
        <v>0.3576388888888889</v>
      </c>
      <c r="BU1666" t="s">
        <v>1363</v>
      </c>
      <c r="BV1666" t="s">
        <v>86</v>
      </c>
      <c r="BY1666">
        <v>4526.3500000000004</v>
      </c>
      <c r="CA1666" t="s">
        <v>1121</v>
      </c>
      <c r="CC1666" t="s">
        <v>91</v>
      </c>
      <c r="CD1666">
        <v>7764</v>
      </c>
      <c r="CE1666" t="s">
        <v>88</v>
      </c>
      <c r="CF1666" s="3">
        <v>43787</v>
      </c>
      <c r="CI1666">
        <v>1</v>
      </c>
      <c r="CJ1666">
        <v>1</v>
      </c>
      <c r="CK1666">
        <v>21</v>
      </c>
      <c r="CL1666" t="s">
        <v>89</v>
      </c>
    </row>
    <row r="1667" spans="1:90">
      <c r="A1667" t="s">
        <v>72</v>
      </c>
      <c r="B1667" t="s">
        <v>73</v>
      </c>
      <c r="C1667" t="s">
        <v>74</v>
      </c>
      <c r="E1667" t="str">
        <f>"FES1162723252"</f>
        <v>FES1162723252</v>
      </c>
      <c r="F1667" s="3">
        <v>43783</v>
      </c>
      <c r="G1667">
        <v>202005</v>
      </c>
      <c r="H1667" t="s">
        <v>75</v>
      </c>
      <c r="I1667" t="s">
        <v>76</v>
      </c>
      <c r="J1667" t="s">
        <v>77</v>
      </c>
      <c r="K1667" t="s">
        <v>78</v>
      </c>
      <c r="L1667" t="s">
        <v>192</v>
      </c>
      <c r="M1667" t="s">
        <v>193</v>
      </c>
      <c r="N1667" t="s">
        <v>194</v>
      </c>
      <c r="O1667" t="s">
        <v>82</v>
      </c>
      <c r="P1667" t="str">
        <f>"2170717038                    "</f>
        <v xml:space="preserve">2170717038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16.63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1.1000000000000001</v>
      </c>
      <c r="BJ1667">
        <v>0.9</v>
      </c>
      <c r="BK1667">
        <v>1.5</v>
      </c>
      <c r="BL1667" s="4">
        <v>97.75</v>
      </c>
      <c r="BM1667" s="4">
        <v>14.66</v>
      </c>
      <c r="BN1667" s="4">
        <v>112.41</v>
      </c>
      <c r="BO1667" s="4">
        <v>112.41</v>
      </c>
      <c r="BQ1667" t="s">
        <v>109</v>
      </c>
      <c r="BR1667" t="s">
        <v>84</v>
      </c>
      <c r="BS1667" s="3">
        <v>43784</v>
      </c>
      <c r="BT1667" s="5">
        <v>0.4597222222222222</v>
      </c>
      <c r="BU1667" t="s">
        <v>195</v>
      </c>
      <c r="BV1667" t="s">
        <v>86</v>
      </c>
      <c r="BY1667">
        <v>4464.4399999999996</v>
      </c>
      <c r="CA1667" t="s">
        <v>1364</v>
      </c>
      <c r="CC1667" t="s">
        <v>193</v>
      </c>
      <c r="CD1667">
        <v>7130</v>
      </c>
      <c r="CE1667" t="s">
        <v>88</v>
      </c>
      <c r="CF1667" s="3">
        <v>43787</v>
      </c>
      <c r="CI1667">
        <v>1</v>
      </c>
      <c r="CJ1667">
        <v>1</v>
      </c>
      <c r="CK1667">
        <v>23</v>
      </c>
      <c r="CL1667" t="s">
        <v>89</v>
      </c>
    </row>
    <row r="1668" spans="1:90">
      <c r="A1668" t="s">
        <v>72</v>
      </c>
      <c r="B1668" t="s">
        <v>73</v>
      </c>
      <c r="C1668" t="s">
        <v>74</v>
      </c>
      <c r="E1668" t="str">
        <f>"FES1162723243"</f>
        <v>FES1162723243</v>
      </c>
      <c r="F1668" s="3">
        <v>43783</v>
      </c>
      <c r="G1668">
        <v>202005</v>
      </c>
      <c r="H1668" t="s">
        <v>75</v>
      </c>
      <c r="I1668" t="s">
        <v>76</v>
      </c>
      <c r="J1668" t="s">
        <v>77</v>
      </c>
      <c r="K1668" t="s">
        <v>78</v>
      </c>
      <c r="L1668" t="s">
        <v>90</v>
      </c>
      <c r="M1668" t="s">
        <v>91</v>
      </c>
      <c r="N1668" t="s">
        <v>2073</v>
      </c>
      <c r="O1668" t="s">
        <v>82</v>
      </c>
      <c r="P1668" t="str">
        <f>"2170716648                    "</f>
        <v xml:space="preserve">2170716648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47.18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10.8</v>
      </c>
      <c r="BJ1668">
        <v>3.3</v>
      </c>
      <c r="BK1668">
        <v>11</v>
      </c>
      <c r="BL1668" s="4">
        <v>277.33</v>
      </c>
      <c r="BM1668" s="4">
        <v>41.6</v>
      </c>
      <c r="BN1668" s="4">
        <v>318.93</v>
      </c>
      <c r="BO1668" s="4">
        <v>318.93</v>
      </c>
      <c r="BQ1668" t="s">
        <v>121</v>
      </c>
      <c r="BR1668" t="s">
        <v>84</v>
      </c>
      <c r="BS1668" s="3">
        <v>43784</v>
      </c>
      <c r="BT1668" s="5">
        <v>0.48333333333333334</v>
      </c>
      <c r="BU1668" t="s">
        <v>2074</v>
      </c>
      <c r="BV1668" t="s">
        <v>89</v>
      </c>
      <c r="BW1668" t="s">
        <v>596</v>
      </c>
      <c r="BX1668" t="s">
        <v>365</v>
      </c>
      <c r="BY1668">
        <v>16526.75</v>
      </c>
      <c r="CA1668" t="s">
        <v>515</v>
      </c>
      <c r="CC1668" t="s">
        <v>91</v>
      </c>
      <c r="CD1668">
        <v>7499</v>
      </c>
      <c r="CE1668" t="s">
        <v>88</v>
      </c>
      <c r="CF1668" s="3">
        <v>43787</v>
      </c>
      <c r="CI1668">
        <v>1</v>
      </c>
      <c r="CJ1668">
        <v>1</v>
      </c>
      <c r="CK1668">
        <v>21</v>
      </c>
      <c r="CL1668" t="s">
        <v>89</v>
      </c>
    </row>
    <row r="1669" spans="1:90">
      <c r="A1669" t="s">
        <v>72</v>
      </c>
      <c r="B1669" t="s">
        <v>73</v>
      </c>
      <c r="C1669" t="s">
        <v>74</v>
      </c>
      <c r="E1669" t="str">
        <f>"FES1162722966"</f>
        <v>FES1162722966</v>
      </c>
      <c r="F1669" s="3">
        <v>43783</v>
      </c>
      <c r="G1669">
        <v>202005</v>
      </c>
      <c r="H1669" t="s">
        <v>75</v>
      </c>
      <c r="I1669" t="s">
        <v>76</v>
      </c>
      <c r="J1669" t="s">
        <v>77</v>
      </c>
      <c r="K1669" t="s">
        <v>78</v>
      </c>
      <c r="L1669" t="s">
        <v>124</v>
      </c>
      <c r="M1669" t="s">
        <v>125</v>
      </c>
      <c r="N1669" t="s">
        <v>218</v>
      </c>
      <c r="O1669" t="s">
        <v>82</v>
      </c>
      <c r="P1669" t="str">
        <f>"2170717062                    "</f>
        <v xml:space="preserve">2170717062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6.71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 s="4">
        <v>39.42</v>
      </c>
      <c r="BM1669" s="4">
        <v>5.91</v>
      </c>
      <c r="BN1669" s="4">
        <v>45.33</v>
      </c>
      <c r="BO1669" s="4">
        <v>45.33</v>
      </c>
      <c r="BQ1669" t="s">
        <v>121</v>
      </c>
      <c r="BR1669" t="s">
        <v>84</v>
      </c>
      <c r="BS1669" s="3">
        <v>43784</v>
      </c>
      <c r="BT1669" s="5">
        <v>0.39166666666666666</v>
      </c>
      <c r="BU1669" t="s">
        <v>838</v>
      </c>
      <c r="BV1669" t="s">
        <v>86</v>
      </c>
      <c r="BY1669">
        <v>1200</v>
      </c>
      <c r="CC1669" t="s">
        <v>125</v>
      </c>
      <c r="CD1669">
        <v>2094</v>
      </c>
      <c r="CE1669" t="s">
        <v>147</v>
      </c>
      <c r="CF1669" s="3">
        <v>43788</v>
      </c>
      <c r="CI1669">
        <v>1</v>
      </c>
      <c r="CJ1669">
        <v>1</v>
      </c>
      <c r="CK1669">
        <v>22</v>
      </c>
      <c r="CL1669" t="s">
        <v>89</v>
      </c>
    </row>
    <row r="1670" spans="1:90">
      <c r="A1670" t="s">
        <v>72</v>
      </c>
      <c r="B1670" t="s">
        <v>73</v>
      </c>
      <c r="C1670" t="s">
        <v>74</v>
      </c>
      <c r="E1670" t="str">
        <f>"FES1162723010"</f>
        <v>FES1162723010</v>
      </c>
      <c r="F1670" s="3">
        <v>43783</v>
      </c>
      <c r="G1670">
        <v>202005</v>
      </c>
      <c r="H1670" t="s">
        <v>75</v>
      </c>
      <c r="I1670" t="s">
        <v>76</v>
      </c>
      <c r="J1670" t="s">
        <v>77</v>
      </c>
      <c r="K1670" t="s">
        <v>78</v>
      </c>
      <c r="L1670" t="s">
        <v>124</v>
      </c>
      <c r="M1670" t="s">
        <v>125</v>
      </c>
      <c r="N1670" t="s">
        <v>2083</v>
      </c>
      <c r="O1670" t="s">
        <v>82</v>
      </c>
      <c r="P1670" t="str">
        <f>"2170717100                    "</f>
        <v xml:space="preserve">2170717100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6.71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 s="4">
        <v>39.42</v>
      </c>
      <c r="BM1670" s="4">
        <v>5.91</v>
      </c>
      <c r="BN1670" s="4">
        <v>45.33</v>
      </c>
      <c r="BO1670" s="4">
        <v>45.33</v>
      </c>
      <c r="BR1670" t="s">
        <v>84</v>
      </c>
      <c r="BS1670" s="3">
        <v>43784</v>
      </c>
      <c r="BT1670" s="5">
        <v>0.33333333333333331</v>
      </c>
      <c r="BU1670" t="s">
        <v>2084</v>
      </c>
      <c r="BV1670" t="s">
        <v>86</v>
      </c>
      <c r="BY1670">
        <v>1200</v>
      </c>
      <c r="CC1670" t="s">
        <v>125</v>
      </c>
      <c r="CD1670">
        <v>1832</v>
      </c>
      <c r="CE1670" t="s">
        <v>147</v>
      </c>
      <c r="CF1670" s="3">
        <v>43787</v>
      </c>
      <c r="CI1670">
        <v>1</v>
      </c>
      <c r="CJ1670">
        <v>1</v>
      </c>
      <c r="CK1670">
        <v>22</v>
      </c>
      <c r="CL1670" t="s">
        <v>89</v>
      </c>
    </row>
    <row r="1671" spans="1:90">
      <c r="A1671" t="s">
        <v>72</v>
      </c>
      <c r="B1671" t="s">
        <v>73</v>
      </c>
      <c r="C1671" t="s">
        <v>74</v>
      </c>
      <c r="E1671" t="str">
        <f>"FES1162723057"</f>
        <v>FES1162723057</v>
      </c>
      <c r="F1671" s="3">
        <v>43783</v>
      </c>
      <c r="G1671">
        <v>202005</v>
      </c>
      <c r="H1671" t="s">
        <v>75</v>
      </c>
      <c r="I1671" t="s">
        <v>76</v>
      </c>
      <c r="J1671" t="s">
        <v>77</v>
      </c>
      <c r="K1671" t="s">
        <v>78</v>
      </c>
      <c r="L1671" t="s">
        <v>124</v>
      </c>
      <c r="M1671" t="s">
        <v>125</v>
      </c>
      <c r="N1671" t="s">
        <v>218</v>
      </c>
      <c r="O1671" t="s">
        <v>82</v>
      </c>
      <c r="P1671" t="str">
        <f>"21707143774                   "</f>
        <v xml:space="preserve">21707143774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6.71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 s="4">
        <v>39.42</v>
      </c>
      <c r="BM1671" s="4">
        <v>5.91</v>
      </c>
      <c r="BN1671" s="4">
        <v>45.33</v>
      </c>
      <c r="BO1671" s="4">
        <v>45.33</v>
      </c>
      <c r="BQ1671" t="s">
        <v>121</v>
      </c>
      <c r="BR1671" t="s">
        <v>84</v>
      </c>
      <c r="BS1671" s="3">
        <v>43784</v>
      </c>
      <c r="BT1671" s="5">
        <v>0.3923611111111111</v>
      </c>
      <c r="BU1671" t="s">
        <v>838</v>
      </c>
      <c r="BV1671" t="s">
        <v>86</v>
      </c>
      <c r="BY1671">
        <v>1200</v>
      </c>
      <c r="CC1671" t="s">
        <v>125</v>
      </c>
      <c r="CD1671">
        <v>2094</v>
      </c>
      <c r="CE1671" t="s">
        <v>147</v>
      </c>
      <c r="CF1671" s="3">
        <v>43788</v>
      </c>
      <c r="CI1671">
        <v>1</v>
      </c>
      <c r="CJ1671">
        <v>1</v>
      </c>
      <c r="CK1671">
        <v>22</v>
      </c>
      <c r="CL1671" t="s">
        <v>89</v>
      </c>
    </row>
    <row r="1672" spans="1:90">
      <c r="A1672" t="s">
        <v>72</v>
      </c>
      <c r="B1672" t="s">
        <v>73</v>
      </c>
      <c r="C1672" t="s">
        <v>74</v>
      </c>
      <c r="E1672" t="str">
        <f>"FES1162723204"</f>
        <v>FES1162723204</v>
      </c>
      <c r="F1672" s="3">
        <v>43783</v>
      </c>
      <c r="G1672">
        <v>202005</v>
      </c>
      <c r="H1672" t="s">
        <v>75</v>
      </c>
      <c r="I1672" t="s">
        <v>76</v>
      </c>
      <c r="J1672" t="s">
        <v>77</v>
      </c>
      <c r="K1672" t="s">
        <v>78</v>
      </c>
      <c r="L1672" t="s">
        <v>202</v>
      </c>
      <c r="M1672" t="s">
        <v>203</v>
      </c>
      <c r="N1672" t="s">
        <v>2085</v>
      </c>
      <c r="O1672" t="s">
        <v>82</v>
      </c>
      <c r="P1672" t="str">
        <f>"2170717230                    "</f>
        <v xml:space="preserve">2170717230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6.71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 s="4">
        <v>39.42</v>
      </c>
      <c r="BM1672" s="4">
        <v>5.91</v>
      </c>
      <c r="BN1672" s="4">
        <v>45.33</v>
      </c>
      <c r="BO1672" s="4">
        <v>45.33</v>
      </c>
      <c r="BQ1672" t="s">
        <v>832</v>
      </c>
      <c r="BR1672" t="s">
        <v>84</v>
      </c>
      <c r="BS1672" s="3">
        <v>43784</v>
      </c>
      <c r="BT1672" s="5">
        <v>0.34027777777777773</v>
      </c>
      <c r="BU1672" t="s">
        <v>2086</v>
      </c>
      <c r="BV1672" t="s">
        <v>86</v>
      </c>
      <c r="BY1672">
        <v>1200</v>
      </c>
      <c r="CC1672" t="s">
        <v>203</v>
      </c>
      <c r="CD1672">
        <v>1406</v>
      </c>
      <c r="CE1672" t="s">
        <v>147</v>
      </c>
      <c r="CF1672" s="3">
        <v>43787</v>
      </c>
      <c r="CI1672">
        <v>1</v>
      </c>
      <c r="CJ1672">
        <v>1</v>
      </c>
      <c r="CK1672">
        <v>22</v>
      </c>
      <c r="CL1672" t="s">
        <v>89</v>
      </c>
    </row>
    <row r="1673" spans="1:90">
      <c r="A1673" t="s">
        <v>72</v>
      </c>
      <c r="B1673" t="s">
        <v>73</v>
      </c>
      <c r="C1673" t="s">
        <v>74</v>
      </c>
      <c r="E1673" t="str">
        <f>"FES1162723063"</f>
        <v>FES1162723063</v>
      </c>
      <c r="F1673" s="3">
        <v>43783</v>
      </c>
      <c r="G1673">
        <v>202005</v>
      </c>
      <c r="H1673" t="s">
        <v>75</v>
      </c>
      <c r="I1673" t="s">
        <v>76</v>
      </c>
      <c r="J1673" t="s">
        <v>77</v>
      </c>
      <c r="K1673" t="s">
        <v>78</v>
      </c>
      <c r="L1673" t="s">
        <v>344</v>
      </c>
      <c r="M1673" t="s">
        <v>345</v>
      </c>
      <c r="N1673" t="s">
        <v>550</v>
      </c>
      <c r="O1673" t="s">
        <v>82</v>
      </c>
      <c r="P1673" t="str">
        <f>"2170714464                    "</f>
        <v xml:space="preserve">2170714464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6.71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 s="4">
        <v>39.42</v>
      </c>
      <c r="BM1673" s="4">
        <v>5.91</v>
      </c>
      <c r="BN1673" s="4">
        <v>45.33</v>
      </c>
      <c r="BO1673" s="4">
        <v>45.33</v>
      </c>
      <c r="BQ1673" t="s">
        <v>109</v>
      </c>
      <c r="BR1673" t="s">
        <v>84</v>
      </c>
      <c r="BS1673" s="3">
        <v>43784</v>
      </c>
      <c r="BT1673" s="5">
        <v>0.41736111111111113</v>
      </c>
      <c r="BU1673" t="s">
        <v>551</v>
      </c>
      <c r="BV1673" t="s">
        <v>86</v>
      </c>
      <c r="BY1673">
        <v>1200</v>
      </c>
      <c r="CC1673" t="s">
        <v>345</v>
      </c>
      <c r="CD1673">
        <v>2163</v>
      </c>
      <c r="CE1673" t="s">
        <v>147</v>
      </c>
      <c r="CF1673" s="3">
        <v>43787</v>
      </c>
      <c r="CI1673">
        <v>1</v>
      </c>
      <c r="CJ1673">
        <v>1</v>
      </c>
      <c r="CK1673">
        <v>22</v>
      </c>
      <c r="CL1673" t="s">
        <v>89</v>
      </c>
    </row>
    <row r="1674" spans="1:90">
      <c r="A1674" t="s">
        <v>72</v>
      </c>
      <c r="B1674" t="s">
        <v>73</v>
      </c>
      <c r="C1674" t="s">
        <v>74</v>
      </c>
      <c r="E1674" t="str">
        <f>"FES1162723097"</f>
        <v>FES1162723097</v>
      </c>
      <c r="F1674" s="3">
        <v>43783</v>
      </c>
      <c r="G1674">
        <v>202005</v>
      </c>
      <c r="H1674" t="s">
        <v>75</v>
      </c>
      <c r="I1674" t="s">
        <v>76</v>
      </c>
      <c r="J1674" t="s">
        <v>77</v>
      </c>
      <c r="K1674" t="s">
        <v>78</v>
      </c>
      <c r="L1674" t="s">
        <v>546</v>
      </c>
      <c r="M1674" t="s">
        <v>547</v>
      </c>
      <c r="N1674" t="s">
        <v>2087</v>
      </c>
      <c r="O1674" t="s">
        <v>82</v>
      </c>
      <c r="P1674" t="str">
        <f>"2170716311                    "</f>
        <v xml:space="preserve">2170716311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6.71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 s="4">
        <v>39.42</v>
      </c>
      <c r="BM1674" s="4">
        <v>5.91</v>
      </c>
      <c r="BN1674" s="4">
        <v>45.33</v>
      </c>
      <c r="BO1674" s="4">
        <v>45.33</v>
      </c>
      <c r="BR1674" t="s">
        <v>84</v>
      </c>
      <c r="BS1674" s="3">
        <v>43784</v>
      </c>
      <c r="BT1674" s="5">
        <v>0.3611111111111111</v>
      </c>
      <c r="BU1674" t="s">
        <v>2088</v>
      </c>
      <c r="BV1674" t="s">
        <v>86</v>
      </c>
      <c r="BY1674">
        <v>1200</v>
      </c>
      <c r="CC1674" t="s">
        <v>547</v>
      </c>
      <c r="CD1674">
        <v>1725</v>
      </c>
      <c r="CE1674" t="s">
        <v>147</v>
      </c>
      <c r="CF1674" s="3">
        <v>43787</v>
      </c>
      <c r="CI1674">
        <v>1</v>
      </c>
      <c r="CJ1674">
        <v>1</v>
      </c>
      <c r="CK1674">
        <v>22</v>
      </c>
      <c r="CL1674" t="s">
        <v>89</v>
      </c>
    </row>
    <row r="1675" spans="1:90">
      <c r="A1675" t="s">
        <v>72</v>
      </c>
      <c r="B1675" t="s">
        <v>73</v>
      </c>
      <c r="C1675" t="s">
        <v>74</v>
      </c>
      <c r="E1675" t="str">
        <f>"FES1162723257"</f>
        <v>FES1162723257</v>
      </c>
      <c r="F1675" s="3">
        <v>43783</v>
      </c>
      <c r="G1675">
        <v>202005</v>
      </c>
      <c r="H1675" t="s">
        <v>75</v>
      </c>
      <c r="I1675" t="s">
        <v>76</v>
      </c>
      <c r="J1675" t="s">
        <v>77</v>
      </c>
      <c r="K1675" t="s">
        <v>78</v>
      </c>
      <c r="L1675" t="s">
        <v>546</v>
      </c>
      <c r="M1675" t="s">
        <v>547</v>
      </c>
      <c r="N1675" t="s">
        <v>2089</v>
      </c>
      <c r="O1675" t="s">
        <v>82</v>
      </c>
      <c r="P1675" t="str">
        <f>"2170716918                    "</f>
        <v xml:space="preserve">2170716918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6.71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1.9</v>
      </c>
      <c r="BJ1675">
        <v>0.7</v>
      </c>
      <c r="BK1675">
        <v>2</v>
      </c>
      <c r="BL1675" s="4">
        <v>39.42</v>
      </c>
      <c r="BM1675" s="4">
        <v>5.91</v>
      </c>
      <c r="BN1675" s="4">
        <v>45.33</v>
      </c>
      <c r="BO1675" s="4">
        <v>45.33</v>
      </c>
      <c r="BQ1675" t="s">
        <v>121</v>
      </c>
      <c r="BR1675" t="s">
        <v>84</v>
      </c>
      <c r="BS1675" s="3">
        <v>43784</v>
      </c>
      <c r="BT1675" s="5">
        <v>0.41666666666666669</v>
      </c>
      <c r="BU1675" t="s">
        <v>2090</v>
      </c>
      <c r="BV1675" t="s">
        <v>86</v>
      </c>
      <c r="BY1675">
        <v>3456.68</v>
      </c>
      <c r="CC1675" t="s">
        <v>547</v>
      </c>
      <c r="CD1675">
        <v>1725</v>
      </c>
      <c r="CE1675" t="s">
        <v>88</v>
      </c>
      <c r="CF1675" s="3">
        <v>43787</v>
      </c>
      <c r="CI1675">
        <v>1</v>
      </c>
      <c r="CJ1675">
        <v>1</v>
      </c>
      <c r="CK1675">
        <v>22</v>
      </c>
      <c r="CL1675" t="s">
        <v>89</v>
      </c>
    </row>
    <row r="1676" spans="1:90">
      <c r="A1676" t="s">
        <v>72</v>
      </c>
      <c r="B1676" t="s">
        <v>73</v>
      </c>
      <c r="C1676" t="s">
        <v>74</v>
      </c>
      <c r="E1676" t="str">
        <f>"FES1162723015"</f>
        <v>FES1162723015</v>
      </c>
      <c r="F1676" s="3">
        <v>43783</v>
      </c>
      <c r="G1676">
        <v>202005</v>
      </c>
      <c r="H1676" t="s">
        <v>75</v>
      </c>
      <c r="I1676" t="s">
        <v>76</v>
      </c>
      <c r="J1676" t="s">
        <v>77</v>
      </c>
      <c r="K1676" t="s">
        <v>78</v>
      </c>
      <c r="L1676" t="s">
        <v>482</v>
      </c>
      <c r="M1676" t="s">
        <v>483</v>
      </c>
      <c r="N1676" t="s">
        <v>2091</v>
      </c>
      <c r="O1676" t="s">
        <v>82</v>
      </c>
      <c r="P1676" t="str">
        <f>"2170717104                    "</f>
        <v xml:space="preserve">2170717104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6.71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 s="4">
        <v>39.42</v>
      </c>
      <c r="BM1676" s="4">
        <v>5.91</v>
      </c>
      <c r="BN1676" s="4">
        <v>45.33</v>
      </c>
      <c r="BO1676" s="4">
        <v>45.33</v>
      </c>
      <c r="BQ1676" t="s">
        <v>109</v>
      </c>
      <c r="BR1676" t="s">
        <v>84</v>
      </c>
      <c r="BS1676" s="3">
        <v>43784</v>
      </c>
      <c r="BT1676" s="5">
        <v>0.28125</v>
      </c>
      <c r="BU1676" t="s">
        <v>2092</v>
      </c>
      <c r="BV1676" t="s">
        <v>86</v>
      </c>
      <c r="BY1676">
        <v>1200</v>
      </c>
      <c r="CA1676" t="s">
        <v>486</v>
      </c>
      <c r="CC1676" t="s">
        <v>483</v>
      </c>
      <c r="CD1676">
        <v>1459</v>
      </c>
      <c r="CE1676" t="s">
        <v>147</v>
      </c>
      <c r="CF1676" s="3">
        <v>43787</v>
      </c>
      <c r="CI1676">
        <v>1</v>
      </c>
      <c r="CJ1676">
        <v>1</v>
      </c>
      <c r="CK1676">
        <v>22</v>
      </c>
      <c r="CL1676" t="s">
        <v>89</v>
      </c>
    </row>
    <row r="1677" spans="1:90">
      <c r="A1677" t="s">
        <v>72</v>
      </c>
      <c r="B1677" t="s">
        <v>73</v>
      </c>
      <c r="C1677" t="s">
        <v>74</v>
      </c>
      <c r="E1677" t="str">
        <f>"FES1162723238"</f>
        <v>FES1162723238</v>
      </c>
      <c r="F1677" s="3">
        <v>43783</v>
      </c>
      <c r="G1677">
        <v>202005</v>
      </c>
      <c r="H1677" t="s">
        <v>75</v>
      </c>
      <c r="I1677" t="s">
        <v>76</v>
      </c>
      <c r="J1677" t="s">
        <v>77</v>
      </c>
      <c r="K1677" t="s">
        <v>78</v>
      </c>
      <c r="L1677" t="s">
        <v>79</v>
      </c>
      <c r="M1677" t="s">
        <v>80</v>
      </c>
      <c r="N1677" t="s">
        <v>458</v>
      </c>
      <c r="O1677" t="s">
        <v>82</v>
      </c>
      <c r="P1677" t="str">
        <f>"2170715347                    "</f>
        <v xml:space="preserve">2170715347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8.58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 s="4">
        <v>50.45</v>
      </c>
      <c r="BM1677" s="4">
        <v>7.57</v>
      </c>
      <c r="BN1677" s="4">
        <v>58.02</v>
      </c>
      <c r="BO1677" s="4">
        <v>58.02</v>
      </c>
      <c r="BQ1677" t="s">
        <v>109</v>
      </c>
      <c r="BR1677" t="s">
        <v>84</v>
      </c>
      <c r="BS1677" s="3">
        <v>43784</v>
      </c>
      <c r="BT1677" s="5">
        <v>0.36458333333333331</v>
      </c>
      <c r="BU1677" t="s">
        <v>2093</v>
      </c>
      <c r="BV1677" t="s">
        <v>86</v>
      </c>
      <c r="BY1677">
        <v>1200</v>
      </c>
      <c r="CA1677" t="s">
        <v>854</v>
      </c>
      <c r="CC1677" t="s">
        <v>80</v>
      </c>
      <c r="CD1677">
        <v>6230</v>
      </c>
      <c r="CE1677" t="s">
        <v>147</v>
      </c>
      <c r="CF1677" s="3">
        <v>43787</v>
      </c>
      <c r="CI1677">
        <v>1</v>
      </c>
      <c r="CJ1677">
        <v>1</v>
      </c>
      <c r="CK1677">
        <v>21</v>
      </c>
      <c r="CL1677" t="s">
        <v>89</v>
      </c>
    </row>
    <row r="1678" spans="1:90">
      <c r="A1678" t="s">
        <v>72</v>
      </c>
      <c r="B1678" t="s">
        <v>73</v>
      </c>
      <c r="C1678" t="s">
        <v>74</v>
      </c>
      <c r="E1678" t="str">
        <f>"FES1162723225"</f>
        <v>FES1162723225</v>
      </c>
      <c r="F1678" s="3">
        <v>43783</v>
      </c>
      <c r="G1678">
        <v>202005</v>
      </c>
      <c r="H1678" t="s">
        <v>75</v>
      </c>
      <c r="I1678" t="s">
        <v>76</v>
      </c>
      <c r="J1678" t="s">
        <v>77</v>
      </c>
      <c r="K1678" t="s">
        <v>78</v>
      </c>
      <c r="L1678" t="s">
        <v>106</v>
      </c>
      <c r="M1678" t="s">
        <v>107</v>
      </c>
      <c r="N1678" t="s">
        <v>771</v>
      </c>
      <c r="O1678" t="s">
        <v>82</v>
      </c>
      <c r="P1678" t="str">
        <f>"2170717253                    "</f>
        <v xml:space="preserve">2170717253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8.58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 s="4">
        <v>50.45</v>
      </c>
      <c r="BM1678" s="4">
        <v>7.57</v>
      </c>
      <c r="BN1678" s="4">
        <v>58.02</v>
      </c>
      <c r="BO1678" s="4">
        <v>58.02</v>
      </c>
      <c r="BQ1678" t="s">
        <v>109</v>
      </c>
      <c r="BR1678" t="s">
        <v>84</v>
      </c>
      <c r="BS1678" s="3">
        <v>43784</v>
      </c>
      <c r="BT1678" s="5">
        <v>0.39513888888888887</v>
      </c>
      <c r="BU1678" t="s">
        <v>2094</v>
      </c>
      <c r="BV1678" t="s">
        <v>86</v>
      </c>
      <c r="BY1678">
        <v>1200</v>
      </c>
      <c r="CA1678" t="s">
        <v>773</v>
      </c>
      <c r="CC1678" t="s">
        <v>107</v>
      </c>
      <c r="CD1678">
        <v>6012</v>
      </c>
      <c r="CE1678" t="s">
        <v>147</v>
      </c>
      <c r="CF1678" s="3">
        <v>43787</v>
      </c>
      <c r="CI1678">
        <v>1</v>
      </c>
      <c r="CJ1678">
        <v>1</v>
      </c>
      <c r="CK1678">
        <v>21</v>
      </c>
      <c r="CL1678" t="s">
        <v>89</v>
      </c>
    </row>
    <row r="1679" spans="1:90">
      <c r="A1679" t="s">
        <v>72</v>
      </c>
      <c r="B1679" t="s">
        <v>73</v>
      </c>
      <c r="C1679" t="s">
        <v>74</v>
      </c>
      <c r="E1679" t="str">
        <f>"FES1162723221"</f>
        <v>FES1162723221</v>
      </c>
      <c r="F1679" s="3">
        <v>43783</v>
      </c>
      <c r="G1679">
        <v>202005</v>
      </c>
      <c r="H1679" t="s">
        <v>75</v>
      </c>
      <c r="I1679" t="s">
        <v>76</v>
      </c>
      <c r="J1679" t="s">
        <v>77</v>
      </c>
      <c r="K1679" t="s">
        <v>78</v>
      </c>
      <c r="L1679" t="s">
        <v>106</v>
      </c>
      <c r="M1679" t="s">
        <v>107</v>
      </c>
      <c r="N1679" t="s">
        <v>108</v>
      </c>
      <c r="O1679" t="s">
        <v>82</v>
      </c>
      <c r="P1679" t="str">
        <f>"217071249                     "</f>
        <v xml:space="preserve">217071249 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8.58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 s="4">
        <v>50.45</v>
      </c>
      <c r="BM1679" s="4">
        <v>7.57</v>
      </c>
      <c r="BN1679" s="4">
        <v>58.02</v>
      </c>
      <c r="BO1679" s="4">
        <v>58.02</v>
      </c>
      <c r="BQ1679" t="s">
        <v>109</v>
      </c>
      <c r="BR1679" t="s">
        <v>84</v>
      </c>
      <c r="BS1679" s="3">
        <v>43784</v>
      </c>
      <c r="BT1679" s="5">
        <v>0.35972222222222222</v>
      </c>
      <c r="BU1679" t="s">
        <v>1526</v>
      </c>
      <c r="BV1679" t="s">
        <v>86</v>
      </c>
      <c r="BY1679">
        <v>1200</v>
      </c>
      <c r="CA1679" t="s">
        <v>111</v>
      </c>
      <c r="CC1679" t="s">
        <v>107</v>
      </c>
      <c r="CD1679">
        <v>6001</v>
      </c>
      <c r="CE1679" t="s">
        <v>147</v>
      </c>
      <c r="CF1679" s="3">
        <v>43787</v>
      </c>
      <c r="CI1679">
        <v>1</v>
      </c>
      <c r="CJ1679">
        <v>1</v>
      </c>
      <c r="CK1679">
        <v>21</v>
      </c>
      <c r="CL1679" t="s">
        <v>89</v>
      </c>
    </row>
    <row r="1680" spans="1:90">
      <c r="A1680" t="s">
        <v>72</v>
      </c>
      <c r="B1680" t="s">
        <v>73</v>
      </c>
      <c r="C1680" t="s">
        <v>74</v>
      </c>
      <c r="E1680" t="str">
        <f>"FES1162723228"</f>
        <v>FES1162723228</v>
      </c>
      <c r="F1680" s="3">
        <v>43783</v>
      </c>
      <c r="G1680">
        <v>202005</v>
      </c>
      <c r="H1680" t="s">
        <v>75</v>
      </c>
      <c r="I1680" t="s">
        <v>76</v>
      </c>
      <c r="J1680" t="s">
        <v>77</v>
      </c>
      <c r="K1680" t="s">
        <v>78</v>
      </c>
      <c r="L1680" t="s">
        <v>106</v>
      </c>
      <c r="M1680" t="s">
        <v>107</v>
      </c>
      <c r="N1680" t="s">
        <v>771</v>
      </c>
      <c r="O1680" t="s">
        <v>82</v>
      </c>
      <c r="P1680" t="str">
        <f>"2170717255                    "</f>
        <v xml:space="preserve">2170717255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8.58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 s="4">
        <v>50.45</v>
      </c>
      <c r="BM1680" s="4">
        <v>7.57</v>
      </c>
      <c r="BN1680" s="4">
        <v>58.02</v>
      </c>
      <c r="BO1680" s="4">
        <v>58.02</v>
      </c>
      <c r="BQ1680" t="s">
        <v>109</v>
      </c>
      <c r="BR1680" t="s">
        <v>84</v>
      </c>
      <c r="BS1680" s="3">
        <v>43784</v>
      </c>
      <c r="BT1680" s="5">
        <v>0.39513888888888887</v>
      </c>
      <c r="BU1680" t="s">
        <v>2094</v>
      </c>
      <c r="BV1680" t="s">
        <v>86</v>
      </c>
      <c r="BY1680">
        <v>1200</v>
      </c>
      <c r="CA1680" t="s">
        <v>773</v>
      </c>
      <c r="CC1680" t="s">
        <v>107</v>
      </c>
      <c r="CD1680">
        <v>6012</v>
      </c>
      <c r="CE1680" t="s">
        <v>147</v>
      </c>
      <c r="CF1680" s="3">
        <v>43787</v>
      </c>
      <c r="CI1680">
        <v>1</v>
      </c>
      <c r="CJ1680">
        <v>1</v>
      </c>
      <c r="CK1680">
        <v>21</v>
      </c>
      <c r="CL1680" t="s">
        <v>89</v>
      </c>
    </row>
    <row r="1681" spans="1:90">
      <c r="A1681" t="s">
        <v>72</v>
      </c>
      <c r="B1681" t="s">
        <v>73</v>
      </c>
      <c r="C1681" t="s">
        <v>74</v>
      </c>
      <c r="E1681" t="str">
        <f>"FES1162723222"</f>
        <v>FES1162723222</v>
      </c>
      <c r="F1681" s="3">
        <v>43783</v>
      </c>
      <c r="G1681">
        <v>202005</v>
      </c>
      <c r="H1681" t="s">
        <v>75</v>
      </c>
      <c r="I1681" t="s">
        <v>76</v>
      </c>
      <c r="J1681" t="s">
        <v>77</v>
      </c>
      <c r="K1681" t="s">
        <v>78</v>
      </c>
      <c r="L1681" t="s">
        <v>106</v>
      </c>
      <c r="M1681" t="s">
        <v>107</v>
      </c>
      <c r="N1681" t="s">
        <v>771</v>
      </c>
      <c r="O1681" t="s">
        <v>82</v>
      </c>
      <c r="P1681" t="str">
        <f>"217071250                     "</f>
        <v xml:space="preserve">217071250 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8.58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 s="4">
        <v>50.45</v>
      </c>
      <c r="BM1681" s="4">
        <v>7.57</v>
      </c>
      <c r="BN1681" s="4">
        <v>58.02</v>
      </c>
      <c r="BO1681" s="4">
        <v>58.02</v>
      </c>
      <c r="BQ1681" t="s">
        <v>109</v>
      </c>
      <c r="BR1681" t="s">
        <v>84</v>
      </c>
      <c r="BS1681" s="3">
        <v>43784</v>
      </c>
      <c r="BT1681" s="5">
        <v>0.39513888888888887</v>
      </c>
      <c r="BU1681" t="s">
        <v>2094</v>
      </c>
      <c r="BV1681" t="s">
        <v>86</v>
      </c>
      <c r="BY1681">
        <v>1200</v>
      </c>
      <c r="CA1681" t="s">
        <v>773</v>
      </c>
      <c r="CC1681" t="s">
        <v>107</v>
      </c>
      <c r="CD1681">
        <v>6012</v>
      </c>
      <c r="CE1681" t="s">
        <v>147</v>
      </c>
      <c r="CF1681" s="3">
        <v>43787</v>
      </c>
      <c r="CI1681">
        <v>1</v>
      </c>
      <c r="CJ1681">
        <v>1</v>
      </c>
      <c r="CK1681">
        <v>21</v>
      </c>
      <c r="CL1681" t="s">
        <v>89</v>
      </c>
    </row>
    <row r="1682" spans="1:90">
      <c r="A1682" t="s">
        <v>72</v>
      </c>
      <c r="B1682" t="s">
        <v>73</v>
      </c>
      <c r="C1682" t="s">
        <v>74</v>
      </c>
      <c r="E1682" t="str">
        <f>"FES1162723133"</f>
        <v>FES1162723133</v>
      </c>
      <c r="F1682" s="3">
        <v>43783</v>
      </c>
      <c r="G1682">
        <v>202005</v>
      </c>
      <c r="H1682" t="s">
        <v>75</v>
      </c>
      <c r="I1682" t="s">
        <v>76</v>
      </c>
      <c r="J1682" t="s">
        <v>77</v>
      </c>
      <c r="K1682" t="s">
        <v>78</v>
      </c>
      <c r="L1682" t="s">
        <v>124</v>
      </c>
      <c r="M1682" t="s">
        <v>125</v>
      </c>
      <c r="N1682" t="s">
        <v>218</v>
      </c>
      <c r="O1682" t="s">
        <v>82</v>
      </c>
      <c r="P1682" t="str">
        <f>"2170717148                    "</f>
        <v xml:space="preserve">2170717148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6.71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 s="4">
        <v>39.42</v>
      </c>
      <c r="BM1682" s="4">
        <v>5.91</v>
      </c>
      <c r="BN1682" s="4">
        <v>45.33</v>
      </c>
      <c r="BO1682" s="4">
        <v>45.33</v>
      </c>
      <c r="BQ1682" t="s">
        <v>121</v>
      </c>
      <c r="BR1682" t="s">
        <v>84</v>
      </c>
      <c r="BS1682" s="3">
        <v>43784</v>
      </c>
      <c r="BT1682" s="5">
        <v>0.39097222222222222</v>
      </c>
      <c r="BU1682" t="s">
        <v>838</v>
      </c>
      <c r="BV1682" t="s">
        <v>86</v>
      </c>
      <c r="BY1682">
        <v>1200</v>
      </c>
      <c r="CC1682" t="s">
        <v>125</v>
      </c>
      <c r="CD1682">
        <v>2094</v>
      </c>
      <c r="CE1682" t="s">
        <v>147</v>
      </c>
      <c r="CF1682" s="3">
        <v>43788</v>
      </c>
      <c r="CI1682">
        <v>1</v>
      </c>
      <c r="CJ1682">
        <v>1</v>
      </c>
      <c r="CK1682">
        <v>22</v>
      </c>
      <c r="CL1682" t="s">
        <v>89</v>
      </c>
    </row>
    <row r="1683" spans="1:90">
      <c r="A1683" t="s">
        <v>72</v>
      </c>
      <c r="B1683" t="s">
        <v>73</v>
      </c>
      <c r="C1683" t="s">
        <v>74</v>
      </c>
      <c r="E1683" t="str">
        <f>"FES1162723245"</f>
        <v>FES1162723245</v>
      </c>
      <c r="F1683" s="3">
        <v>43783</v>
      </c>
      <c r="G1683">
        <v>202005</v>
      </c>
      <c r="H1683" t="s">
        <v>75</v>
      </c>
      <c r="I1683" t="s">
        <v>76</v>
      </c>
      <c r="J1683" t="s">
        <v>77</v>
      </c>
      <c r="K1683" t="s">
        <v>78</v>
      </c>
      <c r="L1683" t="s">
        <v>2095</v>
      </c>
      <c r="M1683" t="s">
        <v>2096</v>
      </c>
      <c r="N1683" t="s">
        <v>2097</v>
      </c>
      <c r="O1683" t="s">
        <v>82</v>
      </c>
      <c r="P1683" t="str">
        <f>"2170717268                    "</f>
        <v xml:space="preserve">2170717268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8.58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 s="4">
        <v>50.45</v>
      </c>
      <c r="BM1683" s="4">
        <v>7.57</v>
      </c>
      <c r="BN1683" s="4">
        <v>58.02</v>
      </c>
      <c r="BO1683" s="4">
        <v>58.02</v>
      </c>
      <c r="BR1683" t="s">
        <v>84</v>
      </c>
      <c r="BS1683" s="3">
        <v>43784</v>
      </c>
      <c r="BT1683" s="5">
        <v>0.375</v>
      </c>
      <c r="BU1683" t="s">
        <v>2098</v>
      </c>
      <c r="BV1683" t="s">
        <v>86</v>
      </c>
      <c r="BY1683">
        <v>1200</v>
      </c>
      <c r="CA1683" t="s">
        <v>2099</v>
      </c>
      <c r="CC1683" t="s">
        <v>2096</v>
      </c>
      <c r="CD1683">
        <v>8301</v>
      </c>
      <c r="CE1683" t="s">
        <v>147</v>
      </c>
      <c r="CF1683" s="3">
        <v>43788</v>
      </c>
      <c r="CI1683">
        <v>1</v>
      </c>
      <c r="CJ1683">
        <v>1</v>
      </c>
      <c r="CK1683">
        <v>21</v>
      </c>
      <c r="CL1683" t="s">
        <v>89</v>
      </c>
    </row>
    <row r="1684" spans="1:90">
      <c r="A1684" t="s">
        <v>72</v>
      </c>
      <c r="B1684" t="s">
        <v>73</v>
      </c>
      <c r="C1684" t="s">
        <v>74</v>
      </c>
      <c r="E1684" t="str">
        <f>"FES1162723268"</f>
        <v>FES1162723268</v>
      </c>
      <c r="F1684" s="3">
        <v>43783</v>
      </c>
      <c r="G1684">
        <v>202005</v>
      </c>
      <c r="H1684" t="s">
        <v>75</v>
      </c>
      <c r="I1684" t="s">
        <v>76</v>
      </c>
      <c r="J1684" t="s">
        <v>77</v>
      </c>
      <c r="K1684" t="s">
        <v>78</v>
      </c>
      <c r="L1684" t="s">
        <v>106</v>
      </c>
      <c r="M1684" t="s">
        <v>107</v>
      </c>
      <c r="N1684" t="s">
        <v>308</v>
      </c>
      <c r="O1684" t="s">
        <v>82</v>
      </c>
      <c r="P1684" t="str">
        <f>"2170717292                    "</f>
        <v xml:space="preserve">2170717292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8.58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 s="4">
        <v>50.45</v>
      </c>
      <c r="BM1684" s="4">
        <v>7.57</v>
      </c>
      <c r="BN1684" s="4">
        <v>58.02</v>
      </c>
      <c r="BO1684" s="4">
        <v>58.02</v>
      </c>
      <c r="BQ1684" t="s">
        <v>121</v>
      </c>
      <c r="BR1684" t="s">
        <v>84</v>
      </c>
      <c r="BS1684" s="3">
        <v>43784</v>
      </c>
      <c r="BT1684" s="5">
        <v>0.39444444444444443</v>
      </c>
      <c r="BU1684" t="s">
        <v>2100</v>
      </c>
      <c r="BV1684" t="s">
        <v>86</v>
      </c>
      <c r="BY1684">
        <v>1200</v>
      </c>
      <c r="CA1684" t="s">
        <v>111</v>
      </c>
      <c r="CC1684" t="s">
        <v>107</v>
      </c>
      <c r="CD1684">
        <v>6001</v>
      </c>
      <c r="CE1684" t="s">
        <v>147</v>
      </c>
      <c r="CF1684" s="3">
        <v>43787</v>
      </c>
      <c r="CI1684">
        <v>1</v>
      </c>
      <c r="CJ1684">
        <v>1</v>
      </c>
      <c r="CK1684">
        <v>21</v>
      </c>
      <c r="CL1684" t="s">
        <v>89</v>
      </c>
    </row>
    <row r="1685" spans="1:90">
      <c r="A1685" t="s">
        <v>72</v>
      </c>
      <c r="B1685" t="s">
        <v>73</v>
      </c>
      <c r="C1685" t="s">
        <v>74</v>
      </c>
      <c r="E1685" t="str">
        <f>"FES1162723260"</f>
        <v>FES1162723260</v>
      </c>
      <c r="F1685" s="3">
        <v>43783</v>
      </c>
      <c r="G1685">
        <v>202005</v>
      </c>
      <c r="H1685" t="s">
        <v>75</v>
      </c>
      <c r="I1685" t="s">
        <v>76</v>
      </c>
      <c r="J1685" t="s">
        <v>77</v>
      </c>
      <c r="K1685" t="s">
        <v>78</v>
      </c>
      <c r="L1685" t="s">
        <v>405</v>
      </c>
      <c r="M1685" t="s">
        <v>406</v>
      </c>
      <c r="N1685" t="s">
        <v>934</v>
      </c>
      <c r="O1685" t="s">
        <v>82</v>
      </c>
      <c r="P1685" t="str">
        <f>"2170717017                    "</f>
        <v xml:space="preserve">2170717017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12.07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 s="4">
        <v>70.95</v>
      </c>
      <c r="BM1685" s="4">
        <v>10.64</v>
      </c>
      <c r="BN1685" s="4">
        <v>81.59</v>
      </c>
      <c r="BO1685" s="4">
        <v>81.59</v>
      </c>
      <c r="BQ1685" t="s">
        <v>109</v>
      </c>
      <c r="BR1685" t="s">
        <v>84</v>
      </c>
      <c r="BS1685" s="3">
        <v>43784</v>
      </c>
      <c r="BT1685" s="5">
        <v>0.37222222222222223</v>
      </c>
      <c r="BU1685" t="s">
        <v>1466</v>
      </c>
      <c r="BV1685" t="s">
        <v>86</v>
      </c>
      <c r="BY1685">
        <v>1200</v>
      </c>
      <c r="CA1685" t="s">
        <v>873</v>
      </c>
      <c r="CC1685" t="s">
        <v>406</v>
      </c>
      <c r="CD1685">
        <v>250</v>
      </c>
      <c r="CE1685" t="s">
        <v>147</v>
      </c>
      <c r="CF1685" s="3">
        <v>43788</v>
      </c>
      <c r="CI1685">
        <v>1</v>
      </c>
      <c r="CJ1685">
        <v>1</v>
      </c>
      <c r="CK1685">
        <v>24</v>
      </c>
      <c r="CL1685" t="s">
        <v>89</v>
      </c>
    </row>
    <row r="1686" spans="1:90">
      <c r="A1686" t="s">
        <v>72</v>
      </c>
      <c r="B1686" t="s">
        <v>73</v>
      </c>
      <c r="C1686" t="s">
        <v>74</v>
      </c>
      <c r="E1686" t="str">
        <f>"FES1162723258"</f>
        <v>FES1162723258</v>
      </c>
      <c r="F1686" s="3">
        <v>43783</v>
      </c>
      <c r="G1686">
        <v>202005</v>
      </c>
      <c r="H1686" t="s">
        <v>75</v>
      </c>
      <c r="I1686" t="s">
        <v>76</v>
      </c>
      <c r="J1686" t="s">
        <v>77</v>
      </c>
      <c r="K1686" t="s">
        <v>78</v>
      </c>
      <c r="L1686" t="s">
        <v>405</v>
      </c>
      <c r="M1686" t="s">
        <v>406</v>
      </c>
      <c r="N1686" t="s">
        <v>934</v>
      </c>
      <c r="O1686" t="s">
        <v>82</v>
      </c>
      <c r="P1686" t="str">
        <f>"2170716990                    "</f>
        <v xml:space="preserve">2170716990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12.07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 s="4">
        <v>70.95</v>
      </c>
      <c r="BM1686" s="4">
        <v>10.64</v>
      </c>
      <c r="BN1686" s="4">
        <v>81.59</v>
      </c>
      <c r="BO1686" s="4">
        <v>81.59</v>
      </c>
      <c r="BQ1686" t="s">
        <v>109</v>
      </c>
      <c r="BR1686" t="s">
        <v>84</v>
      </c>
      <c r="BS1686" s="3">
        <v>43784</v>
      </c>
      <c r="BT1686" s="5">
        <v>0.37222222222222223</v>
      </c>
      <c r="BU1686" t="s">
        <v>1466</v>
      </c>
      <c r="BV1686" t="s">
        <v>86</v>
      </c>
      <c r="BY1686">
        <v>1200</v>
      </c>
      <c r="CA1686" t="s">
        <v>873</v>
      </c>
      <c r="CC1686" t="s">
        <v>406</v>
      </c>
      <c r="CD1686">
        <v>250</v>
      </c>
      <c r="CE1686" t="s">
        <v>147</v>
      </c>
      <c r="CF1686" s="3">
        <v>43788</v>
      </c>
      <c r="CI1686">
        <v>1</v>
      </c>
      <c r="CJ1686">
        <v>1</v>
      </c>
      <c r="CK1686">
        <v>24</v>
      </c>
      <c r="CL1686" t="s">
        <v>89</v>
      </c>
    </row>
    <row r="1687" spans="1:90">
      <c r="A1687" t="s">
        <v>72</v>
      </c>
      <c r="B1687" t="s">
        <v>73</v>
      </c>
      <c r="C1687" t="s">
        <v>74</v>
      </c>
      <c r="E1687" t="str">
        <f>"FES1162723259"</f>
        <v>FES1162723259</v>
      </c>
      <c r="F1687" s="3">
        <v>43783</v>
      </c>
      <c r="G1687">
        <v>202005</v>
      </c>
      <c r="H1687" t="s">
        <v>75</v>
      </c>
      <c r="I1687" t="s">
        <v>76</v>
      </c>
      <c r="J1687" t="s">
        <v>77</v>
      </c>
      <c r="K1687" t="s">
        <v>78</v>
      </c>
      <c r="L1687" t="s">
        <v>405</v>
      </c>
      <c r="M1687" t="s">
        <v>406</v>
      </c>
      <c r="N1687" t="s">
        <v>934</v>
      </c>
      <c r="O1687" t="s">
        <v>82</v>
      </c>
      <c r="P1687" t="str">
        <f>"2170716992                    "</f>
        <v xml:space="preserve">2170716992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12.07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 s="4">
        <v>70.95</v>
      </c>
      <c r="BM1687" s="4">
        <v>10.64</v>
      </c>
      <c r="BN1687" s="4">
        <v>81.59</v>
      </c>
      <c r="BO1687" s="4">
        <v>81.59</v>
      </c>
      <c r="BQ1687" t="s">
        <v>109</v>
      </c>
      <c r="BR1687" t="s">
        <v>84</v>
      </c>
      <c r="BS1687" s="3">
        <v>43784</v>
      </c>
      <c r="BT1687" s="5">
        <v>0.375</v>
      </c>
      <c r="BU1687" t="s">
        <v>1466</v>
      </c>
      <c r="BV1687" t="s">
        <v>86</v>
      </c>
      <c r="BY1687">
        <v>1200</v>
      </c>
      <c r="CA1687" t="s">
        <v>873</v>
      </c>
      <c r="CC1687" t="s">
        <v>406</v>
      </c>
      <c r="CD1687">
        <v>250</v>
      </c>
      <c r="CE1687" t="s">
        <v>147</v>
      </c>
      <c r="CF1687" s="3">
        <v>43788</v>
      </c>
      <c r="CI1687">
        <v>1</v>
      </c>
      <c r="CJ1687">
        <v>1</v>
      </c>
      <c r="CK1687">
        <v>24</v>
      </c>
      <c r="CL1687" t="s">
        <v>89</v>
      </c>
    </row>
    <row r="1688" spans="1:90">
      <c r="A1688" t="s">
        <v>72</v>
      </c>
      <c r="B1688" t="s">
        <v>73</v>
      </c>
      <c r="C1688" t="s">
        <v>74</v>
      </c>
      <c r="E1688" t="str">
        <f>"009935712096"</f>
        <v>009935712096</v>
      </c>
      <c r="F1688" s="3">
        <v>43783</v>
      </c>
      <c r="G1688">
        <v>202005</v>
      </c>
      <c r="H1688" t="s">
        <v>75</v>
      </c>
      <c r="I1688" t="s">
        <v>76</v>
      </c>
      <c r="J1688" t="s">
        <v>77</v>
      </c>
      <c r="K1688" t="s">
        <v>78</v>
      </c>
      <c r="L1688" t="s">
        <v>112</v>
      </c>
      <c r="M1688" t="s">
        <v>113</v>
      </c>
      <c r="N1688" t="s">
        <v>397</v>
      </c>
      <c r="O1688" t="s">
        <v>82</v>
      </c>
      <c r="P1688" t="str">
        <f>"ENOS                          "</f>
        <v xml:space="preserve">ENOS      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15.02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3.2</v>
      </c>
      <c r="BJ1688">
        <v>1.4</v>
      </c>
      <c r="BK1688">
        <v>3.5</v>
      </c>
      <c r="BL1688" s="4">
        <v>88.27</v>
      </c>
      <c r="BM1688" s="4">
        <v>13.24</v>
      </c>
      <c r="BN1688" s="4">
        <v>101.51</v>
      </c>
      <c r="BO1688" s="4">
        <v>101.51</v>
      </c>
      <c r="BQ1688" t="s">
        <v>2101</v>
      </c>
      <c r="BR1688" t="s">
        <v>84</v>
      </c>
      <c r="BS1688" s="3">
        <v>43784</v>
      </c>
      <c r="BT1688" s="5">
        <v>0.38541666666666669</v>
      </c>
      <c r="BU1688" t="s">
        <v>941</v>
      </c>
      <c r="BV1688" t="s">
        <v>86</v>
      </c>
      <c r="BY1688">
        <v>6989.14</v>
      </c>
      <c r="CA1688" t="s">
        <v>163</v>
      </c>
      <c r="CC1688" t="s">
        <v>113</v>
      </c>
      <c r="CD1688">
        <v>4051</v>
      </c>
      <c r="CE1688" t="s">
        <v>88</v>
      </c>
      <c r="CF1688" s="3">
        <v>43787</v>
      </c>
      <c r="CI1688">
        <v>1</v>
      </c>
      <c r="CJ1688">
        <v>1</v>
      </c>
      <c r="CK1688">
        <v>21</v>
      </c>
      <c r="CL1688" t="s">
        <v>89</v>
      </c>
    </row>
    <row r="1689" spans="1:90">
      <c r="A1689" t="s">
        <v>72</v>
      </c>
      <c r="B1689" t="s">
        <v>73</v>
      </c>
      <c r="C1689" t="s">
        <v>74</v>
      </c>
      <c r="E1689" t="str">
        <f>"FES1162723026"</f>
        <v>FES1162723026</v>
      </c>
      <c r="F1689" s="3">
        <v>43783</v>
      </c>
      <c r="G1689">
        <v>202005</v>
      </c>
      <c r="H1689" t="s">
        <v>75</v>
      </c>
      <c r="I1689" t="s">
        <v>76</v>
      </c>
      <c r="J1689" t="s">
        <v>77</v>
      </c>
      <c r="K1689" t="s">
        <v>78</v>
      </c>
      <c r="L1689" t="s">
        <v>79</v>
      </c>
      <c r="M1689" t="s">
        <v>80</v>
      </c>
      <c r="N1689" t="s">
        <v>458</v>
      </c>
      <c r="O1689" t="s">
        <v>82</v>
      </c>
      <c r="P1689" t="str">
        <f>"2170717096                    "</f>
        <v xml:space="preserve">2170717096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12.87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1.8</v>
      </c>
      <c r="BJ1689">
        <v>3</v>
      </c>
      <c r="BK1689">
        <v>3</v>
      </c>
      <c r="BL1689" s="4">
        <v>75.66</v>
      </c>
      <c r="BM1689" s="4">
        <v>11.35</v>
      </c>
      <c r="BN1689" s="4">
        <v>87.01</v>
      </c>
      <c r="BO1689" s="4">
        <v>87.01</v>
      </c>
      <c r="BQ1689" t="s">
        <v>109</v>
      </c>
      <c r="BR1689" t="s">
        <v>84</v>
      </c>
      <c r="BS1689" s="3">
        <v>43784</v>
      </c>
      <c r="BT1689" s="5">
        <v>0.32291666666666669</v>
      </c>
      <c r="BU1689" t="s">
        <v>2093</v>
      </c>
      <c r="BV1689" t="s">
        <v>86</v>
      </c>
      <c r="BY1689">
        <v>15097.25</v>
      </c>
      <c r="CA1689" t="s">
        <v>854</v>
      </c>
      <c r="CC1689" t="s">
        <v>80</v>
      </c>
      <c r="CD1689">
        <v>6230</v>
      </c>
      <c r="CE1689" t="s">
        <v>88</v>
      </c>
      <c r="CF1689" s="3">
        <v>43787</v>
      </c>
      <c r="CI1689">
        <v>1</v>
      </c>
      <c r="CJ1689">
        <v>1</v>
      </c>
      <c r="CK1689">
        <v>21</v>
      </c>
      <c r="CL1689" t="s">
        <v>89</v>
      </c>
    </row>
    <row r="1690" spans="1:90">
      <c r="A1690" t="s">
        <v>72</v>
      </c>
      <c r="B1690" t="s">
        <v>73</v>
      </c>
      <c r="C1690" t="s">
        <v>74</v>
      </c>
      <c r="E1690" t="str">
        <f>"FES1162723217"</f>
        <v>FES1162723217</v>
      </c>
      <c r="F1690" s="3">
        <v>43783</v>
      </c>
      <c r="G1690">
        <v>202005</v>
      </c>
      <c r="H1690" t="s">
        <v>75</v>
      </c>
      <c r="I1690" t="s">
        <v>76</v>
      </c>
      <c r="J1690" t="s">
        <v>77</v>
      </c>
      <c r="K1690" t="s">
        <v>78</v>
      </c>
      <c r="L1690" t="s">
        <v>101</v>
      </c>
      <c r="M1690" t="s">
        <v>102</v>
      </c>
      <c r="N1690" t="s">
        <v>330</v>
      </c>
      <c r="O1690" t="s">
        <v>82</v>
      </c>
      <c r="P1690" t="str">
        <f>"2170717244                    "</f>
        <v xml:space="preserve">2170717244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12.87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3</v>
      </c>
      <c r="BJ1690">
        <v>1.1000000000000001</v>
      </c>
      <c r="BK1690">
        <v>3</v>
      </c>
      <c r="BL1690" s="4">
        <v>75.66</v>
      </c>
      <c r="BM1690" s="4">
        <v>11.35</v>
      </c>
      <c r="BN1690" s="4">
        <v>87.01</v>
      </c>
      <c r="BO1690" s="4">
        <v>87.01</v>
      </c>
      <c r="BQ1690" t="s">
        <v>109</v>
      </c>
      <c r="BR1690" t="s">
        <v>84</v>
      </c>
      <c r="BS1690" s="3">
        <v>43784</v>
      </c>
      <c r="BT1690" s="5">
        <v>0.41666666666666669</v>
      </c>
      <c r="BU1690" t="s">
        <v>1439</v>
      </c>
      <c r="BV1690" t="s">
        <v>86</v>
      </c>
      <c r="BY1690">
        <v>5406.46</v>
      </c>
      <c r="CC1690" t="s">
        <v>102</v>
      </c>
      <c r="CD1690">
        <v>200</v>
      </c>
      <c r="CE1690" t="s">
        <v>88</v>
      </c>
      <c r="CF1690" s="3">
        <v>43788</v>
      </c>
      <c r="CI1690">
        <v>1</v>
      </c>
      <c r="CJ1690">
        <v>1</v>
      </c>
      <c r="CK1690">
        <v>21</v>
      </c>
      <c r="CL1690" t="s">
        <v>89</v>
      </c>
    </row>
    <row r="1691" spans="1:90">
      <c r="A1691" t="s">
        <v>72</v>
      </c>
      <c r="B1691" t="s">
        <v>73</v>
      </c>
      <c r="C1691" t="s">
        <v>74</v>
      </c>
      <c r="E1691" t="str">
        <f>"FES1162723002"</f>
        <v>FES1162723002</v>
      </c>
      <c r="F1691" s="3">
        <v>43783</v>
      </c>
      <c r="G1691">
        <v>202005</v>
      </c>
      <c r="H1691" t="s">
        <v>75</v>
      </c>
      <c r="I1691" t="s">
        <v>76</v>
      </c>
      <c r="J1691" t="s">
        <v>77</v>
      </c>
      <c r="K1691" t="s">
        <v>78</v>
      </c>
      <c r="L1691" t="s">
        <v>106</v>
      </c>
      <c r="M1691" t="s">
        <v>107</v>
      </c>
      <c r="N1691" t="s">
        <v>150</v>
      </c>
      <c r="O1691" t="s">
        <v>82</v>
      </c>
      <c r="P1691" t="str">
        <f>"2170716803                    "</f>
        <v xml:space="preserve">2170716803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21.45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4.5999999999999996</v>
      </c>
      <c r="BJ1691">
        <v>2.6</v>
      </c>
      <c r="BK1691">
        <v>5</v>
      </c>
      <c r="BL1691" s="4">
        <v>126.08</v>
      </c>
      <c r="BM1691" s="4">
        <v>18.91</v>
      </c>
      <c r="BN1691" s="4">
        <v>144.99</v>
      </c>
      <c r="BO1691" s="4">
        <v>144.99</v>
      </c>
      <c r="BQ1691" t="s">
        <v>109</v>
      </c>
      <c r="BR1691" t="s">
        <v>84</v>
      </c>
      <c r="BS1691" s="3">
        <v>43784</v>
      </c>
      <c r="BT1691" s="5">
        <v>0.35902777777777778</v>
      </c>
      <c r="BU1691" t="s">
        <v>151</v>
      </c>
      <c r="BV1691" t="s">
        <v>86</v>
      </c>
      <c r="BY1691">
        <v>13246.67</v>
      </c>
      <c r="CA1691" t="s">
        <v>111</v>
      </c>
      <c r="CC1691" t="s">
        <v>107</v>
      </c>
      <c r="CD1691">
        <v>6001</v>
      </c>
      <c r="CE1691" t="s">
        <v>88</v>
      </c>
      <c r="CF1691" s="3">
        <v>43787</v>
      </c>
      <c r="CI1691">
        <v>1</v>
      </c>
      <c r="CJ1691">
        <v>1</v>
      </c>
      <c r="CK1691">
        <v>21</v>
      </c>
      <c r="CL1691" t="s">
        <v>89</v>
      </c>
    </row>
    <row r="1692" spans="1:90">
      <c r="A1692" t="s">
        <v>72</v>
      </c>
      <c r="B1692" t="s">
        <v>73</v>
      </c>
      <c r="C1692" t="s">
        <v>74</v>
      </c>
      <c r="E1692" t="str">
        <f>"FES1162722997"</f>
        <v>FES1162722997</v>
      </c>
      <c r="F1692" s="3">
        <v>43783</v>
      </c>
      <c r="G1692">
        <v>202005</v>
      </c>
      <c r="H1692" t="s">
        <v>75</v>
      </c>
      <c r="I1692" t="s">
        <v>76</v>
      </c>
      <c r="J1692" t="s">
        <v>77</v>
      </c>
      <c r="K1692" t="s">
        <v>78</v>
      </c>
      <c r="L1692" t="s">
        <v>79</v>
      </c>
      <c r="M1692" t="s">
        <v>80</v>
      </c>
      <c r="N1692" t="s">
        <v>1447</v>
      </c>
      <c r="O1692" t="s">
        <v>82</v>
      </c>
      <c r="P1692" t="str">
        <f>"2170715627                    "</f>
        <v xml:space="preserve">2170715627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19.3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4.0999999999999996</v>
      </c>
      <c r="BK1692">
        <v>4.5</v>
      </c>
      <c r="BL1692" s="4">
        <v>113.47</v>
      </c>
      <c r="BM1692" s="4">
        <v>17.02</v>
      </c>
      <c r="BN1692" s="4">
        <v>130.49</v>
      </c>
      <c r="BO1692" s="4">
        <v>130.49</v>
      </c>
      <c r="BQ1692" t="s">
        <v>109</v>
      </c>
      <c r="BR1692" t="s">
        <v>84</v>
      </c>
      <c r="BS1692" s="3">
        <v>43784</v>
      </c>
      <c r="BT1692" s="5">
        <v>0.36458333333333331</v>
      </c>
      <c r="BU1692" t="s">
        <v>2102</v>
      </c>
      <c r="BV1692" t="s">
        <v>86</v>
      </c>
      <c r="BY1692">
        <v>20358</v>
      </c>
      <c r="CA1692" t="s">
        <v>854</v>
      </c>
      <c r="CC1692" t="s">
        <v>80</v>
      </c>
      <c r="CD1692">
        <v>6230</v>
      </c>
      <c r="CE1692" t="s">
        <v>88</v>
      </c>
      <c r="CF1692" s="3">
        <v>43787</v>
      </c>
      <c r="CI1692">
        <v>1</v>
      </c>
      <c r="CJ1692">
        <v>1</v>
      </c>
      <c r="CK1692">
        <v>21</v>
      </c>
      <c r="CL1692" t="s">
        <v>89</v>
      </c>
    </row>
    <row r="1693" spans="1:90">
      <c r="A1693" t="s">
        <v>72</v>
      </c>
      <c r="B1693" t="s">
        <v>73</v>
      </c>
      <c r="C1693" t="s">
        <v>74</v>
      </c>
      <c r="E1693" t="str">
        <f>"FES1162723043"</f>
        <v>FES1162723043</v>
      </c>
      <c r="F1693" s="3">
        <v>43783</v>
      </c>
      <c r="G1693">
        <v>202005</v>
      </c>
      <c r="H1693" t="s">
        <v>75</v>
      </c>
      <c r="I1693" t="s">
        <v>76</v>
      </c>
      <c r="J1693" t="s">
        <v>77</v>
      </c>
      <c r="K1693" t="s">
        <v>78</v>
      </c>
      <c r="L1693" t="s">
        <v>106</v>
      </c>
      <c r="M1693" t="s">
        <v>107</v>
      </c>
      <c r="N1693" t="s">
        <v>850</v>
      </c>
      <c r="O1693" t="s">
        <v>82</v>
      </c>
      <c r="P1693" t="str">
        <f>"2170711752                    "</f>
        <v xml:space="preserve">2170711752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17.16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2.1</v>
      </c>
      <c r="BJ1693">
        <v>3.7</v>
      </c>
      <c r="BK1693">
        <v>4</v>
      </c>
      <c r="BL1693" s="4">
        <v>100.87</v>
      </c>
      <c r="BM1693" s="4">
        <v>15.13</v>
      </c>
      <c r="BN1693" s="4">
        <v>116</v>
      </c>
      <c r="BO1693" s="4">
        <v>116</v>
      </c>
      <c r="BQ1693" t="s">
        <v>109</v>
      </c>
      <c r="BR1693" t="s">
        <v>84</v>
      </c>
      <c r="BS1693" s="3">
        <v>43784</v>
      </c>
      <c r="BT1693" s="5">
        <v>0.33680555555555558</v>
      </c>
      <c r="BU1693" t="s">
        <v>2062</v>
      </c>
      <c r="BV1693" t="s">
        <v>86</v>
      </c>
      <c r="BY1693">
        <v>18311.54</v>
      </c>
      <c r="CA1693" t="s">
        <v>111</v>
      </c>
      <c r="CC1693" t="s">
        <v>107</v>
      </c>
      <c r="CD1693">
        <v>6001</v>
      </c>
      <c r="CE1693" t="s">
        <v>88</v>
      </c>
      <c r="CF1693" s="3">
        <v>43787</v>
      </c>
      <c r="CI1693">
        <v>1</v>
      </c>
      <c r="CJ1693">
        <v>1</v>
      </c>
      <c r="CK1693">
        <v>21</v>
      </c>
      <c r="CL1693" t="s">
        <v>89</v>
      </c>
    </row>
    <row r="1694" spans="1:90">
      <c r="A1694" t="s">
        <v>72</v>
      </c>
      <c r="B1694" t="s">
        <v>73</v>
      </c>
      <c r="C1694" t="s">
        <v>74</v>
      </c>
      <c r="E1694" t="str">
        <f>"FES1162723052"</f>
        <v>FES1162723052</v>
      </c>
      <c r="F1694" s="3">
        <v>43783</v>
      </c>
      <c r="G1694">
        <v>202005</v>
      </c>
      <c r="H1694" t="s">
        <v>75</v>
      </c>
      <c r="I1694" t="s">
        <v>76</v>
      </c>
      <c r="J1694" t="s">
        <v>77</v>
      </c>
      <c r="K1694" t="s">
        <v>78</v>
      </c>
      <c r="L1694" t="s">
        <v>917</v>
      </c>
      <c r="M1694" t="s">
        <v>918</v>
      </c>
      <c r="N1694" t="s">
        <v>919</v>
      </c>
      <c r="O1694" t="s">
        <v>82</v>
      </c>
      <c r="P1694" t="str">
        <f>"2170714225                    "</f>
        <v xml:space="preserve">2170714225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12.07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 s="4">
        <v>70.95</v>
      </c>
      <c r="BM1694" s="4">
        <v>10.64</v>
      </c>
      <c r="BN1694" s="4">
        <v>81.59</v>
      </c>
      <c r="BO1694" s="4">
        <v>81.59</v>
      </c>
      <c r="BQ1694" t="s">
        <v>109</v>
      </c>
      <c r="BR1694" t="s">
        <v>84</v>
      </c>
      <c r="BS1694" s="3">
        <v>43784</v>
      </c>
      <c r="BT1694" s="5">
        <v>0.33333333333333331</v>
      </c>
      <c r="BU1694" t="s">
        <v>1503</v>
      </c>
      <c r="BV1694" t="s">
        <v>86</v>
      </c>
      <c r="BY1694">
        <v>1200</v>
      </c>
      <c r="CC1694" t="s">
        <v>918</v>
      </c>
      <c r="CD1694">
        <v>2210</v>
      </c>
      <c r="CE1694" t="s">
        <v>147</v>
      </c>
      <c r="CF1694" s="3">
        <v>43788</v>
      </c>
      <c r="CI1694">
        <v>1</v>
      </c>
      <c r="CJ1694">
        <v>1</v>
      </c>
      <c r="CK1694">
        <v>24</v>
      </c>
      <c r="CL1694" t="s">
        <v>89</v>
      </c>
    </row>
    <row r="1695" spans="1:90">
      <c r="A1695" t="s">
        <v>72</v>
      </c>
      <c r="B1695" t="s">
        <v>73</v>
      </c>
      <c r="C1695" t="s">
        <v>74</v>
      </c>
      <c r="E1695" t="str">
        <f>"FES1162723061"</f>
        <v>FES1162723061</v>
      </c>
      <c r="F1695" s="3">
        <v>43783</v>
      </c>
      <c r="G1695">
        <v>202005</v>
      </c>
      <c r="H1695" t="s">
        <v>75</v>
      </c>
      <c r="I1695" t="s">
        <v>76</v>
      </c>
      <c r="J1695" t="s">
        <v>77</v>
      </c>
      <c r="K1695" t="s">
        <v>78</v>
      </c>
      <c r="L1695" t="s">
        <v>1239</v>
      </c>
      <c r="M1695" t="s">
        <v>1240</v>
      </c>
      <c r="N1695" t="s">
        <v>1241</v>
      </c>
      <c r="O1695" t="s">
        <v>82</v>
      </c>
      <c r="P1695" t="str">
        <f>"2170714440                    "</f>
        <v xml:space="preserve">2170714440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16.63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 s="4">
        <v>97.75</v>
      </c>
      <c r="BM1695" s="4">
        <v>14.66</v>
      </c>
      <c r="BN1695" s="4">
        <v>112.41</v>
      </c>
      <c r="BO1695" s="4">
        <v>112.41</v>
      </c>
      <c r="BQ1695" t="s">
        <v>142</v>
      </c>
      <c r="BR1695" t="s">
        <v>84</v>
      </c>
      <c r="BS1695" t="s">
        <v>201</v>
      </c>
      <c r="BY1695">
        <v>1200</v>
      </c>
      <c r="CC1695" t="s">
        <v>1240</v>
      </c>
      <c r="CD1695">
        <v>6300</v>
      </c>
      <c r="CE1695" t="s">
        <v>147</v>
      </c>
      <c r="CF1695" s="3">
        <v>43789</v>
      </c>
      <c r="CI1695">
        <v>3</v>
      </c>
      <c r="CJ1695" t="s">
        <v>201</v>
      </c>
      <c r="CK1695">
        <v>23</v>
      </c>
      <c r="CL1695" t="s">
        <v>89</v>
      </c>
    </row>
    <row r="1696" spans="1:90">
      <c r="A1696" t="s">
        <v>72</v>
      </c>
      <c r="B1696" t="s">
        <v>73</v>
      </c>
      <c r="C1696" t="s">
        <v>74</v>
      </c>
      <c r="E1696" t="str">
        <f>"FES1162723028"</f>
        <v>FES1162723028</v>
      </c>
      <c r="F1696" s="3">
        <v>43783</v>
      </c>
      <c r="G1696">
        <v>202005</v>
      </c>
      <c r="H1696" t="s">
        <v>75</v>
      </c>
      <c r="I1696" t="s">
        <v>76</v>
      </c>
      <c r="J1696" t="s">
        <v>77</v>
      </c>
      <c r="K1696" t="s">
        <v>78</v>
      </c>
      <c r="L1696" t="s">
        <v>106</v>
      </c>
      <c r="M1696" t="s">
        <v>107</v>
      </c>
      <c r="N1696" t="s">
        <v>150</v>
      </c>
      <c r="O1696" t="s">
        <v>82</v>
      </c>
      <c r="P1696" t="str">
        <f>"2170717095                    "</f>
        <v xml:space="preserve">2170717095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8.58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 s="4">
        <v>50.45</v>
      </c>
      <c r="BM1696" s="4">
        <v>7.57</v>
      </c>
      <c r="BN1696" s="4">
        <v>58.02</v>
      </c>
      <c r="BO1696" s="4">
        <v>58.02</v>
      </c>
      <c r="BQ1696" t="s">
        <v>109</v>
      </c>
      <c r="BR1696" t="s">
        <v>84</v>
      </c>
      <c r="BS1696" s="3">
        <v>43784</v>
      </c>
      <c r="BT1696" s="5">
        <v>0.35902777777777778</v>
      </c>
      <c r="BU1696" t="s">
        <v>151</v>
      </c>
      <c r="BV1696" t="s">
        <v>86</v>
      </c>
      <c r="BY1696">
        <v>1200</v>
      </c>
      <c r="CA1696" t="s">
        <v>111</v>
      </c>
      <c r="CC1696" t="s">
        <v>107</v>
      </c>
      <c r="CD1696">
        <v>6001</v>
      </c>
      <c r="CE1696" t="s">
        <v>147</v>
      </c>
      <c r="CF1696" s="3">
        <v>43787</v>
      </c>
      <c r="CI1696">
        <v>1</v>
      </c>
      <c r="CJ1696">
        <v>1</v>
      </c>
      <c r="CK1696">
        <v>21</v>
      </c>
      <c r="CL1696" t="s">
        <v>89</v>
      </c>
    </row>
    <row r="1697" spans="1:90">
      <c r="A1697" t="s">
        <v>72</v>
      </c>
      <c r="B1697" t="s">
        <v>73</v>
      </c>
      <c r="C1697" t="s">
        <v>74</v>
      </c>
      <c r="E1697" t="str">
        <f>"FES1162723062"</f>
        <v>FES1162723062</v>
      </c>
      <c r="F1697" s="3">
        <v>43783</v>
      </c>
      <c r="G1697">
        <v>202005</v>
      </c>
      <c r="H1697" t="s">
        <v>75</v>
      </c>
      <c r="I1697" t="s">
        <v>76</v>
      </c>
      <c r="J1697" t="s">
        <v>77</v>
      </c>
      <c r="K1697" t="s">
        <v>78</v>
      </c>
      <c r="L1697" t="s">
        <v>1239</v>
      </c>
      <c r="M1697" t="s">
        <v>1240</v>
      </c>
      <c r="N1697" t="s">
        <v>1241</v>
      </c>
      <c r="O1697" t="s">
        <v>82</v>
      </c>
      <c r="P1697" t="str">
        <f>"21707144449                   "</f>
        <v xml:space="preserve">21707144449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16.63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 s="4">
        <v>97.75</v>
      </c>
      <c r="BM1697" s="4">
        <v>14.66</v>
      </c>
      <c r="BN1697" s="4">
        <v>112.41</v>
      </c>
      <c r="BO1697" s="4">
        <v>112.41</v>
      </c>
      <c r="BQ1697" t="s">
        <v>142</v>
      </c>
      <c r="BR1697" t="s">
        <v>84</v>
      </c>
      <c r="BS1697" t="s">
        <v>201</v>
      </c>
      <c r="BY1697">
        <v>1200</v>
      </c>
      <c r="CC1697" t="s">
        <v>1240</v>
      </c>
      <c r="CD1697">
        <v>6300</v>
      </c>
      <c r="CE1697" t="s">
        <v>147</v>
      </c>
      <c r="CF1697" s="3">
        <v>43789</v>
      </c>
      <c r="CI1697">
        <v>3</v>
      </c>
      <c r="CJ1697" t="s">
        <v>201</v>
      </c>
      <c r="CK1697">
        <v>23</v>
      </c>
      <c r="CL1697" t="s">
        <v>89</v>
      </c>
    </row>
    <row r="1698" spans="1:90">
      <c r="A1698" t="s">
        <v>72</v>
      </c>
      <c r="B1698" t="s">
        <v>73</v>
      </c>
      <c r="C1698" t="s">
        <v>74</v>
      </c>
      <c r="E1698" t="str">
        <f>"FES1162722998"</f>
        <v>FES1162722998</v>
      </c>
      <c r="F1698" s="3">
        <v>43783</v>
      </c>
      <c r="G1698">
        <v>202005</v>
      </c>
      <c r="H1698" t="s">
        <v>75</v>
      </c>
      <c r="I1698" t="s">
        <v>76</v>
      </c>
      <c r="J1698" t="s">
        <v>77</v>
      </c>
      <c r="K1698" t="s">
        <v>78</v>
      </c>
      <c r="L1698" t="s">
        <v>270</v>
      </c>
      <c r="M1698" t="s">
        <v>271</v>
      </c>
      <c r="N1698" t="s">
        <v>618</v>
      </c>
      <c r="O1698" t="s">
        <v>82</v>
      </c>
      <c r="P1698" t="str">
        <f>"2170716184                    "</f>
        <v xml:space="preserve">2170716184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8.58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 s="4">
        <v>50.45</v>
      </c>
      <c r="BM1698" s="4">
        <v>7.57</v>
      </c>
      <c r="BN1698" s="4">
        <v>58.02</v>
      </c>
      <c r="BO1698" s="4">
        <v>58.02</v>
      </c>
      <c r="BQ1698" t="s">
        <v>121</v>
      </c>
      <c r="BR1698" t="s">
        <v>84</v>
      </c>
      <c r="BS1698" s="3">
        <v>43784</v>
      </c>
      <c r="BT1698" s="5">
        <v>0.41041666666666665</v>
      </c>
      <c r="BU1698" t="s">
        <v>2103</v>
      </c>
      <c r="BV1698" t="s">
        <v>86</v>
      </c>
      <c r="BY1698">
        <v>1200</v>
      </c>
      <c r="CA1698" t="s">
        <v>773</v>
      </c>
      <c r="CC1698" t="s">
        <v>271</v>
      </c>
      <c r="CD1698">
        <v>6220</v>
      </c>
      <c r="CE1698" t="s">
        <v>147</v>
      </c>
      <c r="CF1698" s="3">
        <v>43787</v>
      </c>
      <c r="CI1698">
        <v>1</v>
      </c>
      <c r="CJ1698">
        <v>1</v>
      </c>
      <c r="CK1698">
        <v>21</v>
      </c>
      <c r="CL1698" t="s">
        <v>89</v>
      </c>
    </row>
    <row r="1699" spans="1:90">
      <c r="A1699" t="s">
        <v>72</v>
      </c>
      <c r="B1699" t="s">
        <v>73</v>
      </c>
      <c r="C1699" t="s">
        <v>74</v>
      </c>
      <c r="E1699" t="str">
        <f>"FES1162722996"</f>
        <v>FES1162722996</v>
      </c>
      <c r="F1699" s="3">
        <v>43783</v>
      </c>
      <c r="G1699">
        <v>202005</v>
      </c>
      <c r="H1699" t="s">
        <v>75</v>
      </c>
      <c r="I1699" t="s">
        <v>76</v>
      </c>
      <c r="J1699" t="s">
        <v>77</v>
      </c>
      <c r="K1699" t="s">
        <v>78</v>
      </c>
      <c r="L1699" t="s">
        <v>270</v>
      </c>
      <c r="M1699" t="s">
        <v>271</v>
      </c>
      <c r="N1699" t="s">
        <v>618</v>
      </c>
      <c r="O1699" t="s">
        <v>82</v>
      </c>
      <c r="P1699" t="str">
        <f>"2170715472                    "</f>
        <v xml:space="preserve">2170715472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8.58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 s="4">
        <v>50.45</v>
      </c>
      <c r="BM1699" s="4">
        <v>7.57</v>
      </c>
      <c r="BN1699" s="4">
        <v>58.02</v>
      </c>
      <c r="BO1699" s="4">
        <v>58.02</v>
      </c>
      <c r="BQ1699" t="s">
        <v>121</v>
      </c>
      <c r="BR1699" t="s">
        <v>84</v>
      </c>
      <c r="BS1699" s="3">
        <v>43784</v>
      </c>
      <c r="BT1699" s="5">
        <v>0.42499999999999999</v>
      </c>
      <c r="BU1699" t="s">
        <v>2104</v>
      </c>
      <c r="BV1699" t="s">
        <v>86</v>
      </c>
      <c r="BY1699">
        <v>1200</v>
      </c>
      <c r="CA1699" t="s">
        <v>773</v>
      </c>
      <c r="CC1699" t="s">
        <v>271</v>
      </c>
      <c r="CD1699">
        <v>6220</v>
      </c>
      <c r="CE1699" t="s">
        <v>147</v>
      </c>
      <c r="CF1699" s="3">
        <v>43787</v>
      </c>
      <c r="CI1699">
        <v>1</v>
      </c>
      <c r="CJ1699">
        <v>1</v>
      </c>
      <c r="CK1699">
        <v>21</v>
      </c>
      <c r="CL1699" t="s">
        <v>89</v>
      </c>
    </row>
    <row r="1700" spans="1:90">
      <c r="A1700" t="s">
        <v>72</v>
      </c>
      <c r="B1700" t="s">
        <v>73</v>
      </c>
      <c r="C1700" t="s">
        <v>74</v>
      </c>
      <c r="E1700" t="str">
        <f>"FES1162723068"</f>
        <v>FES1162723068</v>
      </c>
      <c r="F1700" s="3">
        <v>43783</v>
      </c>
      <c r="G1700">
        <v>202005</v>
      </c>
      <c r="H1700" t="s">
        <v>75</v>
      </c>
      <c r="I1700" t="s">
        <v>76</v>
      </c>
      <c r="J1700" t="s">
        <v>77</v>
      </c>
      <c r="K1700" t="s">
        <v>78</v>
      </c>
      <c r="L1700" t="s">
        <v>133</v>
      </c>
      <c r="M1700" t="s">
        <v>134</v>
      </c>
      <c r="N1700" t="s">
        <v>735</v>
      </c>
      <c r="O1700" t="s">
        <v>82</v>
      </c>
      <c r="P1700" t="str">
        <f>"2170714545                    "</f>
        <v xml:space="preserve">2170714545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8.58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 s="4">
        <v>50.45</v>
      </c>
      <c r="BM1700" s="4">
        <v>7.57</v>
      </c>
      <c r="BN1700" s="4">
        <v>58.02</v>
      </c>
      <c r="BO1700" s="4">
        <v>58.02</v>
      </c>
      <c r="BQ1700" t="s">
        <v>109</v>
      </c>
      <c r="BR1700" t="s">
        <v>84</v>
      </c>
      <c r="BS1700" s="3">
        <v>43784</v>
      </c>
      <c r="BT1700" s="5">
        <v>0.41666666666666669</v>
      </c>
      <c r="BU1700" t="s">
        <v>2105</v>
      </c>
      <c r="BV1700" t="s">
        <v>86</v>
      </c>
      <c r="BY1700">
        <v>1200</v>
      </c>
      <c r="CA1700" t="s">
        <v>1109</v>
      </c>
      <c r="CC1700" t="s">
        <v>134</v>
      </c>
      <c r="CD1700">
        <v>5201</v>
      </c>
      <c r="CE1700" t="s">
        <v>147</v>
      </c>
      <c r="CF1700" s="3">
        <v>43787</v>
      </c>
      <c r="CI1700">
        <v>1</v>
      </c>
      <c r="CJ1700">
        <v>1</v>
      </c>
      <c r="CK1700">
        <v>21</v>
      </c>
      <c r="CL1700" t="s">
        <v>89</v>
      </c>
    </row>
    <row r="1701" spans="1:90">
      <c r="A1701" t="s">
        <v>72</v>
      </c>
      <c r="B1701" t="s">
        <v>73</v>
      </c>
      <c r="C1701" t="s">
        <v>74</v>
      </c>
      <c r="E1701" t="str">
        <f>"FES1162723056"</f>
        <v>FES1162723056</v>
      </c>
      <c r="F1701" s="3">
        <v>43783</v>
      </c>
      <c r="G1701">
        <v>202005</v>
      </c>
      <c r="H1701" t="s">
        <v>75</v>
      </c>
      <c r="I1701" t="s">
        <v>76</v>
      </c>
      <c r="J1701" t="s">
        <v>77</v>
      </c>
      <c r="K1701" t="s">
        <v>78</v>
      </c>
      <c r="L1701" t="s">
        <v>225</v>
      </c>
      <c r="M1701" t="s">
        <v>226</v>
      </c>
      <c r="N1701" t="s">
        <v>227</v>
      </c>
      <c r="O1701" t="s">
        <v>82</v>
      </c>
      <c r="P1701" t="str">
        <f>"2170714370                    "</f>
        <v xml:space="preserve">2170714370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8.58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 s="4">
        <v>50.45</v>
      </c>
      <c r="BM1701" s="4">
        <v>7.57</v>
      </c>
      <c r="BN1701" s="4">
        <v>58.02</v>
      </c>
      <c r="BO1701" s="4">
        <v>58.02</v>
      </c>
      <c r="BQ1701" t="s">
        <v>121</v>
      </c>
      <c r="BR1701" t="s">
        <v>84</v>
      </c>
      <c r="BS1701" s="3">
        <v>43784</v>
      </c>
      <c r="BT1701" s="5">
        <v>0.34722222222222227</v>
      </c>
      <c r="BU1701" t="s">
        <v>1684</v>
      </c>
      <c r="BV1701" t="s">
        <v>86</v>
      </c>
      <c r="BY1701">
        <v>1200</v>
      </c>
      <c r="CA1701" t="s">
        <v>229</v>
      </c>
      <c r="CC1701" t="s">
        <v>226</v>
      </c>
      <c r="CD1701">
        <v>4026</v>
      </c>
      <c r="CE1701" t="s">
        <v>147</v>
      </c>
      <c r="CF1701" s="3">
        <v>43787</v>
      </c>
      <c r="CI1701">
        <v>1</v>
      </c>
      <c r="CJ1701">
        <v>1</v>
      </c>
      <c r="CK1701">
        <v>21</v>
      </c>
      <c r="CL1701" t="s">
        <v>89</v>
      </c>
    </row>
    <row r="1702" spans="1:90">
      <c r="A1702" t="s">
        <v>72</v>
      </c>
      <c r="B1702" t="s">
        <v>73</v>
      </c>
      <c r="C1702" t="s">
        <v>74</v>
      </c>
      <c r="E1702" t="str">
        <f>"FES1162723108"</f>
        <v>FES1162723108</v>
      </c>
      <c r="F1702" s="3">
        <v>43783</v>
      </c>
      <c r="G1702">
        <v>202005</v>
      </c>
      <c r="H1702" t="s">
        <v>75</v>
      </c>
      <c r="I1702" t="s">
        <v>76</v>
      </c>
      <c r="J1702" t="s">
        <v>77</v>
      </c>
      <c r="K1702" t="s">
        <v>78</v>
      </c>
      <c r="L1702" t="s">
        <v>90</v>
      </c>
      <c r="M1702" t="s">
        <v>91</v>
      </c>
      <c r="N1702" t="s">
        <v>1419</v>
      </c>
      <c r="O1702" t="s">
        <v>82</v>
      </c>
      <c r="P1702" t="str">
        <f>"2170717120                    "</f>
        <v xml:space="preserve">2170717120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23.59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3</v>
      </c>
      <c r="BJ1702">
        <v>5.2</v>
      </c>
      <c r="BK1702">
        <v>5.5</v>
      </c>
      <c r="BL1702" s="4">
        <v>138.68</v>
      </c>
      <c r="BM1702" s="4">
        <v>20.8</v>
      </c>
      <c r="BN1702" s="4">
        <v>159.47999999999999</v>
      </c>
      <c r="BO1702" s="4">
        <v>159.47999999999999</v>
      </c>
      <c r="BQ1702" t="s">
        <v>109</v>
      </c>
      <c r="BR1702" t="s">
        <v>84</v>
      </c>
      <c r="BS1702" s="3">
        <v>43784</v>
      </c>
      <c r="BT1702" s="5">
        <v>0.4770833333333333</v>
      </c>
      <c r="BU1702" t="s">
        <v>1435</v>
      </c>
      <c r="BV1702" t="s">
        <v>86</v>
      </c>
      <c r="BY1702">
        <v>25787.16</v>
      </c>
      <c r="CA1702" t="s">
        <v>1281</v>
      </c>
      <c r="CC1702" t="s">
        <v>91</v>
      </c>
      <c r="CD1702">
        <v>7945</v>
      </c>
      <c r="CE1702" t="s">
        <v>88</v>
      </c>
      <c r="CF1702" s="3">
        <v>43787</v>
      </c>
      <c r="CI1702">
        <v>1</v>
      </c>
      <c r="CJ1702">
        <v>1</v>
      </c>
      <c r="CK1702">
        <v>21</v>
      </c>
      <c r="CL1702" t="s">
        <v>89</v>
      </c>
    </row>
    <row r="1703" spans="1:90">
      <c r="A1703" t="s">
        <v>72</v>
      </c>
      <c r="B1703" t="s">
        <v>73</v>
      </c>
      <c r="C1703" t="s">
        <v>74</v>
      </c>
      <c r="E1703" t="str">
        <f>"FES1162723123"</f>
        <v>FES1162723123</v>
      </c>
      <c r="F1703" s="3">
        <v>43783</v>
      </c>
      <c r="G1703">
        <v>202005</v>
      </c>
      <c r="H1703" t="s">
        <v>75</v>
      </c>
      <c r="I1703" t="s">
        <v>76</v>
      </c>
      <c r="J1703" t="s">
        <v>77</v>
      </c>
      <c r="K1703" t="s">
        <v>78</v>
      </c>
      <c r="L1703" t="s">
        <v>90</v>
      </c>
      <c r="M1703" t="s">
        <v>91</v>
      </c>
      <c r="N1703" t="s">
        <v>1520</v>
      </c>
      <c r="O1703" t="s">
        <v>82</v>
      </c>
      <c r="P1703" t="str">
        <f>"2170717133                    "</f>
        <v xml:space="preserve">2170717133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8.58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 s="4">
        <v>50.45</v>
      </c>
      <c r="BM1703" s="4">
        <v>7.57</v>
      </c>
      <c r="BN1703" s="4">
        <v>58.02</v>
      </c>
      <c r="BO1703" s="4">
        <v>58.02</v>
      </c>
      <c r="BQ1703" t="s">
        <v>109</v>
      </c>
      <c r="BR1703" t="s">
        <v>84</v>
      </c>
      <c r="BS1703" s="3">
        <v>43784</v>
      </c>
      <c r="BT1703" s="5">
        <v>0.37847222222222227</v>
      </c>
      <c r="BU1703" t="s">
        <v>2106</v>
      </c>
      <c r="BV1703" t="s">
        <v>86</v>
      </c>
      <c r="BY1703">
        <v>1200</v>
      </c>
      <c r="CA1703" t="s">
        <v>1522</v>
      </c>
      <c r="CC1703" t="s">
        <v>91</v>
      </c>
      <c r="CD1703">
        <v>7780</v>
      </c>
      <c r="CE1703" t="s">
        <v>147</v>
      </c>
      <c r="CF1703" s="3">
        <v>43787</v>
      </c>
      <c r="CI1703">
        <v>1</v>
      </c>
      <c r="CJ1703">
        <v>1</v>
      </c>
      <c r="CK1703">
        <v>21</v>
      </c>
      <c r="CL1703" t="s">
        <v>89</v>
      </c>
    </row>
    <row r="1704" spans="1:90">
      <c r="A1704" t="s">
        <v>72</v>
      </c>
      <c r="B1704" t="s">
        <v>73</v>
      </c>
      <c r="C1704" t="s">
        <v>74</v>
      </c>
      <c r="E1704" t="str">
        <f>"FES1162723124"</f>
        <v>FES1162723124</v>
      </c>
      <c r="F1704" s="3">
        <v>43783</v>
      </c>
      <c r="G1704">
        <v>202005</v>
      </c>
      <c r="H1704" t="s">
        <v>75</v>
      </c>
      <c r="I1704" t="s">
        <v>76</v>
      </c>
      <c r="J1704" t="s">
        <v>77</v>
      </c>
      <c r="K1704" t="s">
        <v>78</v>
      </c>
      <c r="L1704" t="s">
        <v>90</v>
      </c>
      <c r="M1704" t="s">
        <v>91</v>
      </c>
      <c r="N1704" t="s">
        <v>808</v>
      </c>
      <c r="O1704" t="s">
        <v>82</v>
      </c>
      <c r="P1704" t="str">
        <f>"2170707140                    "</f>
        <v xml:space="preserve">2170707140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8.58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 s="4">
        <v>50.45</v>
      </c>
      <c r="BM1704" s="4">
        <v>7.57</v>
      </c>
      <c r="BN1704" s="4">
        <v>58.02</v>
      </c>
      <c r="BO1704" s="4">
        <v>58.02</v>
      </c>
      <c r="BQ1704" t="s">
        <v>543</v>
      </c>
      <c r="BR1704" t="s">
        <v>84</v>
      </c>
      <c r="BS1704" s="3">
        <v>43784</v>
      </c>
      <c r="BT1704" s="5">
        <v>0.34375</v>
      </c>
      <c r="BU1704" t="s">
        <v>2107</v>
      </c>
      <c r="BV1704" t="s">
        <v>86</v>
      </c>
      <c r="BY1704">
        <v>1200</v>
      </c>
      <c r="CA1704" t="s">
        <v>329</v>
      </c>
      <c r="CC1704" t="s">
        <v>91</v>
      </c>
      <c r="CD1704">
        <v>7405</v>
      </c>
      <c r="CE1704" t="s">
        <v>147</v>
      </c>
      <c r="CF1704" s="3">
        <v>43787</v>
      </c>
      <c r="CI1704">
        <v>1</v>
      </c>
      <c r="CJ1704">
        <v>1</v>
      </c>
      <c r="CK1704">
        <v>21</v>
      </c>
      <c r="CL1704" t="s">
        <v>89</v>
      </c>
    </row>
    <row r="1705" spans="1:90">
      <c r="A1705" t="s">
        <v>72</v>
      </c>
      <c r="B1705" t="s">
        <v>73</v>
      </c>
      <c r="C1705" t="s">
        <v>74</v>
      </c>
      <c r="E1705" t="str">
        <f>"FES1162723067"</f>
        <v>FES1162723067</v>
      </c>
      <c r="F1705" s="3">
        <v>43783</v>
      </c>
      <c r="G1705">
        <v>202005</v>
      </c>
      <c r="H1705" t="s">
        <v>75</v>
      </c>
      <c r="I1705" t="s">
        <v>76</v>
      </c>
      <c r="J1705" t="s">
        <v>77</v>
      </c>
      <c r="K1705" t="s">
        <v>78</v>
      </c>
      <c r="L1705" t="s">
        <v>106</v>
      </c>
      <c r="M1705" t="s">
        <v>107</v>
      </c>
      <c r="N1705" t="s">
        <v>301</v>
      </c>
      <c r="O1705" t="s">
        <v>82</v>
      </c>
      <c r="P1705" t="str">
        <f>"2170714541                    "</f>
        <v xml:space="preserve">2170714541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8.58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 s="4">
        <v>50.45</v>
      </c>
      <c r="BM1705" s="4">
        <v>7.57</v>
      </c>
      <c r="BN1705" s="4">
        <v>58.02</v>
      </c>
      <c r="BO1705" s="4">
        <v>58.02</v>
      </c>
      <c r="BQ1705" t="s">
        <v>302</v>
      </c>
      <c r="BR1705" t="s">
        <v>84</v>
      </c>
      <c r="BS1705" s="3">
        <v>43784</v>
      </c>
      <c r="BT1705" s="5">
        <v>0.35625000000000001</v>
      </c>
      <c r="BU1705" t="s">
        <v>1192</v>
      </c>
      <c r="BV1705" t="s">
        <v>86</v>
      </c>
      <c r="BY1705">
        <v>1200</v>
      </c>
      <c r="CA1705" t="s">
        <v>244</v>
      </c>
      <c r="CC1705" t="s">
        <v>107</v>
      </c>
      <c r="CD1705">
        <v>6001</v>
      </c>
      <c r="CE1705" t="s">
        <v>147</v>
      </c>
      <c r="CF1705" s="3">
        <v>43787</v>
      </c>
      <c r="CI1705">
        <v>1</v>
      </c>
      <c r="CJ1705">
        <v>1</v>
      </c>
      <c r="CK1705">
        <v>21</v>
      </c>
      <c r="CL1705" t="s">
        <v>89</v>
      </c>
    </row>
    <row r="1706" spans="1:90">
      <c r="A1706" t="s">
        <v>72</v>
      </c>
      <c r="B1706" t="s">
        <v>73</v>
      </c>
      <c r="C1706" t="s">
        <v>74</v>
      </c>
      <c r="E1706" t="str">
        <f>"FES1162723085"</f>
        <v>FES1162723085</v>
      </c>
      <c r="F1706" s="3">
        <v>43783</v>
      </c>
      <c r="G1706">
        <v>202005</v>
      </c>
      <c r="H1706" t="s">
        <v>75</v>
      </c>
      <c r="I1706" t="s">
        <v>76</v>
      </c>
      <c r="J1706" t="s">
        <v>77</v>
      </c>
      <c r="K1706" t="s">
        <v>78</v>
      </c>
      <c r="L1706" t="s">
        <v>214</v>
      </c>
      <c r="M1706" t="s">
        <v>214</v>
      </c>
      <c r="N1706" t="s">
        <v>314</v>
      </c>
      <c r="O1706" t="s">
        <v>82</v>
      </c>
      <c r="P1706" t="str">
        <f>"170714811                     "</f>
        <v xml:space="preserve">170714811 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24.14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2.7</v>
      </c>
      <c r="BJ1706">
        <v>0.9</v>
      </c>
      <c r="BK1706">
        <v>3</v>
      </c>
      <c r="BL1706" s="4">
        <v>141.9</v>
      </c>
      <c r="BM1706" s="4">
        <v>21.29</v>
      </c>
      <c r="BN1706" s="4">
        <v>163.19</v>
      </c>
      <c r="BO1706" s="4">
        <v>163.19</v>
      </c>
      <c r="BQ1706" t="s">
        <v>109</v>
      </c>
      <c r="BR1706" t="s">
        <v>84</v>
      </c>
      <c r="BS1706" s="3">
        <v>43784</v>
      </c>
      <c r="BT1706" s="5">
        <v>0.48749999999999999</v>
      </c>
      <c r="BU1706" t="s">
        <v>315</v>
      </c>
      <c r="BV1706" t="s">
        <v>86</v>
      </c>
      <c r="BY1706">
        <v>4704.5</v>
      </c>
      <c r="CA1706" t="s">
        <v>217</v>
      </c>
      <c r="CC1706" t="s">
        <v>214</v>
      </c>
      <c r="CD1706">
        <v>7646</v>
      </c>
      <c r="CE1706" t="s">
        <v>88</v>
      </c>
      <c r="CF1706" s="3">
        <v>43787</v>
      </c>
      <c r="CI1706">
        <v>1</v>
      </c>
      <c r="CJ1706">
        <v>1</v>
      </c>
      <c r="CK1706">
        <v>23</v>
      </c>
      <c r="CL1706" t="s">
        <v>89</v>
      </c>
    </row>
    <row r="1707" spans="1:90">
      <c r="A1707" t="s">
        <v>72</v>
      </c>
      <c r="B1707" t="s">
        <v>73</v>
      </c>
      <c r="C1707" t="s">
        <v>74</v>
      </c>
      <c r="E1707" t="str">
        <f>"FES1162723066"</f>
        <v>FES1162723066</v>
      </c>
      <c r="F1707" s="3">
        <v>43783</v>
      </c>
      <c r="G1707">
        <v>202005</v>
      </c>
      <c r="H1707" t="s">
        <v>75</v>
      </c>
      <c r="I1707" t="s">
        <v>76</v>
      </c>
      <c r="J1707" t="s">
        <v>77</v>
      </c>
      <c r="K1707" t="s">
        <v>78</v>
      </c>
      <c r="L1707" t="s">
        <v>90</v>
      </c>
      <c r="M1707" t="s">
        <v>91</v>
      </c>
      <c r="N1707" t="s">
        <v>1632</v>
      </c>
      <c r="O1707" t="s">
        <v>82</v>
      </c>
      <c r="P1707" t="str">
        <f>"2170714506                    "</f>
        <v xml:space="preserve">2170714506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8.58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2</v>
      </c>
      <c r="BJ1707">
        <v>1.7</v>
      </c>
      <c r="BK1707">
        <v>2</v>
      </c>
      <c r="BL1707" s="4">
        <v>50.45</v>
      </c>
      <c r="BM1707" s="4">
        <v>7.57</v>
      </c>
      <c r="BN1707" s="4">
        <v>58.02</v>
      </c>
      <c r="BO1707" s="4">
        <v>58.02</v>
      </c>
      <c r="BQ1707" t="s">
        <v>109</v>
      </c>
      <c r="BR1707" t="s">
        <v>84</v>
      </c>
      <c r="BS1707" s="3">
        <v>43784</v>
      </c>
      <c r="BT1707" s="5">
        <v>0.42083333333333334</v>
      </c>
      <c r="BU1707" t="s">
        <v>1633</v>
      </c>
      <c r="BV1707" t="s">
        <v>86</v>
      </c>
      <c r="BY1707">
        <v>8550</v>
      </c>
      <c r="CA1707" t="s">
        <v>323</v>
      </c>
      <c r="CC1707" t="s">
        <v>91</v>
      </c>
      <c r="CD1707">
        <v>7460</v>
      </c>
      <c r="CE1707" t="s">
        <v>88</v>
      </c>
      <c r="CF1707" s="3">
        <v>43787</v>
      </c>
      <c r="CI1707">
        <v>1</v>
      </c>
      <c r="CJ1707">
        <v>1</v>
      </c>
      <c r="CK1707">
        <v>21</v>
      </c>
      <c r="CL1707" t="s">
        <v>89</v>
      </c>
    </row>
    <row r="1708" spans="1:90">
      <c r="A1708" t="s">
        <v>72</v>
      </c>
      <c r="B1708" t="s">
        <v>73</v>
      </c>
      <c r="C1708" t="s">
        <v>74</v>
      </c>
      <c r="E1708" t="str">
        <f>"FES1162723138"</f>
        <v>FES1162723138</v>
      </c>
      <c r="F1708" s="3">
        <v>43783</v>
      </c>
      <c r="G1708">
        <v>202005</v>
      </c>
      <c r="H1708" t="s">
        <v>75</v>
      </c>
      <c r="I1708" t="s">
        <v>76</v>
      </c>
      <c r="J1708" t="s">
        <v>77</v>
      </c>
      <c r="K1708" t="s">
        <v>78</v>
      </c>
      <c r="L1708" t="s">
        <v>112</v>
      </c>
      <c r="M1708" t="s">
        <v>113</v>
      </c>
      <c r="N1708" t="s">
        <v>2108</v>
      </c>
      <c r="O1708" t="s">
        <v>82</v>
      </c>
      <c r="P1708" t="str">
        <f>"2170717151                    "</f>
        <v xml:space="preserve">2170717151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8.58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 s="4">
        <v>50.45</v>
      </c>
      <c r="BM1708" s="4">
        <v>7.57</v>
      </c>
      <c r="BN1708" s="4">
        <v>58.02</v>
      </c>
      <c r="BO1708" s="4">
        <v>58.02</v>
      </c>
      <c r="BR1708" t="s">
        <v>84</v>
      </c>
      <c r="BS1708" s="3">
        <v>43784</v>
      </c>
      <c r="BT1708" s="5">
        <v>0.4375</v>
      </c>
      <c r="BU1708" t="s">
        <v>2109</v>
      </c>
      <c r="BV1708" t="s">
        <v>86</v>
      </c>
      <c r="BY1708">
        <v>1200</v>
      </c>
      <c r="CC1708" t="s">
        <v>113</v>
      </c>
      <c r="CD1708">
        <v>4001</v>
      </c>
      <c r="CE1708" t="s">
        <v>147</v>
      </c>
      <c r="CF1708" s="3">
        <v>43787</v>
      </c>
      <c r="CI1708">
        <v>1</v>
      </c>
      <c r="CJ1708">
        <v>1</v>
      </c>
      <c r="CK1708">
        <v>21</v>
      </c>
      <c r="CL1708" t="s">
        <v>89</v>
      </c>
    </row>
    <row r="1709" spans="1:90">
      <c r="A1709" t="s">
        <v>72</v>
      </c>
      <c r="B1709" t="s">
        <v>73</v>
      </c>
      <c r="C1709" t="s">
        <v>74</v>
      </c>
      <c r="E1709" t="str">
        <f>"FES1162723099"</f>
        <v>FES1162723099</v>
      </c>
      <c r="F1709" s="3">
        <v>43783</v>
      </c>
      <c r="G1709">
        <v>202005</v>
      </c>
      <c r="H1709" t="s">
        <v>75</v>
      </c>
      <c r="I1709" t="s">
        <v>76</v>
      </c>
      <c r="J1709" t="s">
        <v>77</v>
      </c>
      <c r="K1709" t="s">
        <v>78</v>
      </c>
      <c r="L1709" t="s">
        <v>118</v>
      </c>
      <c r="M1709" t="s">
        <v>119</v>
      </c>
      <c r="N1709" t="s">
        <v>248</v>
      </c>
      <c r="O1709" t="s">
        <v>82</v>
      </c>
      <c r="P1709" t="str">
        <f>"2170716579                    "</f>
        <v xml:space="preserve">2170716579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8.58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 s="4">
        <v>50.45</v>
      </c>
      <c r="BM1709" s="4">
        <v>7.57</v>
      </c>
      <c r="BN1709" s="4">
        <v>58.02</v>
      </c>
      <c r="BO1709" s="4">
        <v>58.02</v>
      </c>
      <c r="BQ1709" t="s">
        <v>121</v>
      </c>
      <c r="BR1709" t="s">
        <v>84</v>
      </c>
      <c r="BS1709" s="3">
        <v>43784</v>
      </c>
      <c r="BT1709" s="5">
        <v>0.38958333333333334</v>
      </c>
      <c r="BU1709" t="s">
        <v>623</v>
      </c>
      <c r="BV1709" t="s">
        <v>86</v>
      </c>
      <c r="BY1709">
        <v>1200</v>
      </c>
      <c r="CA1709" t="s">
        <v>435</v>
      </c>
      <c r="CC1709" t="s">
        <v>119</v>
      </c>
      <c r="CD1709">
        <v>3212</v>
      </c>
      <c r="CE1709" t="s">
        <v>147</v>
      </c>
      <c r="CF1709" s="3">
        <v>43787</v>
      </c>
      <c r="CI1709">
        <v>1</v>
      </c>
      <c r="CJ1709">
        <v>1</v>
      </c>
      <c r="CK1709">
        <v>21</v>
      </c>
      <c r="CL1709" t="s">
        <v>89</v>
      </c>
    </row>
    <row r="1710" spans="1:90">
      <c r="A1710" t="s">
        <v>72</v>
      </c>
      <c r="B1710" t="s">
        <v>73</v>
      </c>
      <c r="C1710" t="s">
        <v>74</v>
      </c>
      <c r="E1710" t="str">
        <f>"FES1162723084"</f>
        <v>FES1162723084</v>
      </c>
      <c r="F1710" s="3">
        <v>43783</v>
      </c>
      <c r="G1710">
        <v>202005</v>
      </c>
      <c r="H1710" t="s">
        <v>75</v>
      </c>
      <c r="I1710" t="s">
        <v>76</v>
      </c>
      <c r="J1710" t="s">
        <v>77</v>
      </c>
      <c r="K1710" t="s">
        <v>78</v>
      </c>
      <c r="L1710" t="s">
        <v>112</v>
      </c>
      <c r="M1710" t="s">
        <v>113</v>
      </c>
      <c r="N1710" t="s">
        <v>397</v>
      </c>
      <c r="O1710" t="s">
        <v>82</v>
      </c>
      <c r="P1710" t="str">
        <f>"217071477                     "</f>
        <v xml:space="preserve">217071477 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8.58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 s="4">
        <v>50.45</v>
      </c>
      <c r="BM1710" s="4">
        <v>7.57</v>
      </c>
      <c r="BN1710" s="4">
        <v>58.02</v>
      </c>
      <c r="BO1710" s="4">
        <v>58.02</v>
      </c>
      <c r="BQ1710" t="s">
        <v>1076</v>
      </c>
      <c r="BR1710" t="s">
        <v>84</v>
      </c>
      <c r="BS1710" s="3">
        <v>43784</v>
      </c>
      <c r="BT1710" s="5">
        <v>0.38541666666666669</v>
      </c>
      <c r="BU1710" t="s">
        <v>941</v>
      </c>
      <c r="BV1710" t="s">
        <v>86</v>
      </c>
      <c r="BY1710">
        <v>1200</v>
      </c>
      <c r="CA1710" t="s">
        <v>163</v>
      </c>
      <c r="CC1710" t="s">
        <v>113</v>
      </c>
      <c r="CD1710">
        <v>4051</v>
      </c>
      <c r="CE1710" t="s">
        <v>147</v>
      </c>
      <c r="CF1710" s="3">
        <v>43787</v>
      </c>
      <c r="CI1710">
        <v>1</v>
      </c>
      <c r="CJ1710">
        <v>1</v>
      </c>
      <c r="CK1710">
        <v>21</v>
      </c>
      <c r="CL1710" t="s">
        <v>89</v>
      </c>
    </row>
    <row r="1711" spans="1:90">
      <c r="A1711" t="s">
        <v>72</v>
      </c>
      <c r="B1711" t="s">
        <v>73</v>
      </c>
      <c r="C1711" t="s">
        <v>74</v>
      </c>
      <c r="E1711" t="str">
        <f>"FES1162723106"</f>
        <v>FES1162723106</v>
      </c>
      <c r="F1711" s="3">
        <v>43783</v>
      </c>
      <c r="G1711">
        <v>202005</v>
      </c>
      <c r="H1711" t="s">
        <v>75</v>
      </c>
      <c r="I1711" t="s">
        <v>76</v>
      </c>
      <c r="J1711" t="s">
        <v>77</v>
      </c>
      <c r="K1711" t="s">
        <v>78</v>
      </c>
      <c r="L1711" t="s">
        <v>214</v>
      </c>
      <c r="M1711" t="s">
        <v>214</v>
      </c>
      <c r="N1711" t="s">
        <v>215</v>
      </c>
      <c r="O1711" t="s">
        <v>82</v>
      </c>
      <c r="P1711" t="str">
        <f>"2170717068                    "</f>
        <v xml:space="preserve">2170717068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24.14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2.6</v>
      </c>
      <c r="BJ1711">
        <v>1.9</v>
      </c>
      <c r="BK1711">
        <v>3</v>
      </c>
      <c r="BL1711" s="4">
        <v>141.9</v>
      </c>
      <c r="BM1711" s="4">
        <v>21.29</v>
      </c>
      <c r="BN1711" s="4">
        <v>163.19</v>
      </c>
      <c r="BO1711" s="4">
        <v>163.19</v>
      </c>
      <c r="BQ1711" t="s">
        <v>109</v>
      </c>
      <c r="BR1711" t="s">
        <v>84</v>
      </c>
      <c r="BS1711" s="3">
        <v>43784</v>
      </c>
      <c r="BT1711" s="5">
        <v>0.47986111111111113</v>
      </c>
      <c r="BU1711" t="s">
        <v>216</v>
      </c>
      <c r="BV1711" t="s">
        <v>86</v>
      </c>
      <c r="BY1711">
        <v>9495.09</v>
      </c>
      <c r="CA1711" t="s">
        <v>217</v>
      </c>
      <c r="CC1711" t="s">
        <v>214</v>
      </c>
      <c r="CD1711">
        <v>7646</v>
      </c>
      <c r="CE1711" t="s">
        <v>88</v>
      </c>
      <c r="CF1711" s="3">
        <v>43787</v>
      </c>
      <c r="CI1711">
        <v>1</v>
      </c>
      <c r="CJ1711">
        <v>1</v>
      </c>
      <c r="CK1711">
        <v>23</v>
      </c>
      <c r="CL1711" t="s">
        <v>89</v>
      </c>
    </row>
    <row r="1712" spans="1:90">
      <c r="A1712" t="s">
        <v>72</v>
      </c>
      <c r="B1712" t="s">
        <v>73</v>
      </c>
      <c r="C1712" t="s">
        <v>74</v>
      </c>
      <c r="E1712" t="str">
        <f>"FES1162723081"</f>
        <v>FES1162723081</v>
      </c>
      <c r="F1712" s="3">
        <v>43783</v>
      </c>
      <c r="G1712">
        <v>202005</v>
      </c>
      <c r="H1712" t="s">
        <v>75</v>
      </c>
      <c r="I1712" t="s">
        <v>76</v>
      </c>
      <c r="J1712" t="s">
        <v>77</v>
      </c>
      <c r="K1712" t="s">
        <v>78</v>
      </c>
      <c r="L1712" t="s">
        <v>202</v>
      </c>
      <c r="M1712" t="s">
        <v>203</v>
      </c>
      <c r="N1712" t="s">
        <v>521</v>
      </c>
      <c r="O1712" t="s">
        <v>82</v>
      </c>
      <c r="P1712" t="str">
        <f>"2170714738                    "</f>
        <v xml:space="preserve">2170714738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6.71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 s="4">
        <v>39.42</v>
      </c>
      <c r="BM1712" s="4">
        <v>5.91</v>
      </c>
      <c r="BN1712" s="4">
        <v>45.33</v>
      </c>
      <c r="BO1712" s="4">
        <v>45.33</v>
      </c>
      <c r="BQ1712" t="s">
        <v>109</v>
      </c>
      <c r="BR1712" t="s">
        <v>84</v>
      </c>
      <c r="BS1712" s="3">
        <v>43784</v>
      </c>
      <c r="BT1712" s="5">
        <v>0.38194444444444442</v>
      </c>
      <c r="BU1712" t="s">
        <v>2110</v>
      </c>
      <c r="BV1712" t="s">
        <v>86</v>
      </c>
      <c r="BY1712">
        <v>1200</v>
      </c>
      <c r="CC1712" t="s">
        <v>203</v>
      </c>
      <c r="CD1712">
        <v>1428</v>
      </c>
      <c r="CE1712" t="s">
        <v>147</v>
      </c>
      <c r="CF1712" s="3">
        <v>43787</v>
      </c>
      <c r="CI1712">
        <v>1</v>
      </c>
      <c r="CJ1712">
        <v>1</v>
      </c>
      <c r="CK1712">
        <v>22</v>
      </c>
      <c r="CL1712" t="s">
        <v>89</v>
      </c>
    </row>
    <row r="1713" spans="1:90">
      <c r="A1713" t="s">
        <v>72</v>
      </c>
      <c r="B1713" t="s">
        <v>73</v>
      </c>
      <c r="C1713" t="s">
        <v>74</v>
      </c>
      <c r="E1713" t="str">
        <f>"FES1162723131"</f>
        <v>FES1162723131</v>
      </c>
      <c r="F1713" s="3">
        <v>43783</v>
      </c>
      <c r="G1713">
        <v>202005</v>
      </c>
      <c r="H1713" t="s">
        <v>75</v>
      </c>
      <c r="I1713" t="s">
        <v>76</v>
      </c>
      <c r="J1713" t="s">
        <v>77</v>
      </c>
      <c r="K1713" t="s">
        <v>78</v>
      </c>
      <c r="L1713" t="s">
        <v>2111</v>
      </c>
      <c r="M1713" t="s">
        <v>2112</v>
      </c>
      <c r="N1713" t="s">
        <v>2113</v>
      </c>
      <c r="O1713" t="s">
        <v>82</v>
      </c>
      <c r="P1713" t="str">
        <f>"2170716115                    "</f>
        <v xml:space="preserve">2170716115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16.63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 s="4">
        <v>97.75</v>
      </c>
      <c r="BM1713" s="4">
        <v>14.66</v>
      </c>
      <c r="BN1713" s="4">
        <v>112.41</v>
      </c>
      <c r="BO1713" s="4">
        <v>112.41</v>
      </c>
      <c r="BR1713" t="s">
        <v>84</v>
      </c>
      <c r="BS1713" s="3">
        <v>43784</v>
      </c>
      <c r="BT1713" s="5">
        <v>0.5</v>
      </c>
      <c r="BU1713" t="s">
        <v>2114</v>
      </c>
      <c r="BV1713" t="s">
        <v>86</v>
      </c>
      <c r="BY1713">
        <v>1200</v>
      </c>
      <c r="CA1713" t="s">
        <v>1046</v>
      </c>
      <c r="CC1713" t="s">
        <v>2112</v>
      </c>
      <c r="CD1713">
        <v>4380</v>
      </c>
      <c r="CE1713" t="s">
        <v>147</v>
      </c>
      <c r="CF1713" s="3">
        <v>43787</v>
      </c>
      <c r="CI1713">
        <v>1</v>
      </c>
      <c r="CJ1713">
        <v>1</v>
      </c>
      <c r="CK1713">
        <v>23</v>
      </c>
      <c r="CL1713" t="s">
        <v>89</v>
      </c>
    </row>
    <row r="1714" spans="1:90">
      <c r="A1714" t="s">
        <v>72</v>
      </c>
      <c r="B1714" t="s">
        <v>73</v>
      </c>
      <c r="C1714" t="s">
        <v>74</v>
      </c>
      <c r="E1714" t="str">
        <f>"FES1162723088"</f>
        <v>FES1162723088</v>
      </c>
      <c r="F1714" s="3">
        <v>43783</v>
      </c>
      <c r="G1714">
        <v>202005</v>
      </c>
      <c r="H1714" t="s">
        <v>75</v>
      </c>
      <c r="I1714" t="s">
        <v>76</v>
      </c>
      <c r="J1714" t="s">
        <v>77</v>
      </c>
      <c r="K1714" t="s">
        <v>78</v>
      </c>
      <c r="L1714" t="s">
        <v>184</v>
      </c>
      <c r="M1714" t="s">
        <v>185</v>
      </c>
      <c r="N1714" t="s">
        <v>1314</v>
      </c>
      <c r="O1714" t="s">
        <v>82</v>
      </c>
      <c r="P1714" t="str">
        <f>"2170715006                    "</f>
        <v xml:space="preserve">2170715006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6.71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 s="4">
        <v>39.42</v>
      </c>
      <c r="BM1714" s="4">
        <v>5.91</v>
      </c>
      <c r="BN1714" s="4">
        <v>45.33</v>
      </c>
      <c r="BO1714" s="4">
        <v>45.33</v>
      </c>
      <c r="BQ1714" t="s">
        <v>109</v>
      </c>
      <c r="BR1714" t="s">
        <v>84</v>
      </c>
      <c r="BS1714" s="3">
        <v>43784</v>
      </c>
      <c r="BT1714" s="5">
        <v>0.33333333333333331</v>
      </c>
      <c r="BU1714" t="s">
        <v>2115</v>
      </c>
      <c r="BV1714" t="s">
        <v>86</v>
      </c>
      <c r="BY1714">
        <v>1200</v>
      </c>
      <c r="CC1714" t="s">
        <v>185</v>
      </c>
      <c r="CD1714">
        <v>1501</v>
      </c>
      <c r="CE1714" t="s">
        <v>147</v>
      </c>
      <c r="CF1714" s="3">
        <v>43787</v>
      </c>
      <c r="CI1714">
        <v>1</v>
      </c>
      <c r="CJ1714">
        <v>1</v>
      </c>
      <c r="CK1714">
        <v>22</v>
      </c>
      <c r="CL1714" t="s">
        <v>89</v>
      </c>
    </row>
    <row r="1715" spans="1:90">
      <c r="A1715" t="s">
        <v>72</v>
      </c>
      <c r="B1715" t="s">
        <v>73</v>
      </c>
      <c r="C1715" t="s">
        <v>74</v>
      </c>
      <c r="E1715" t="str">
        <f>"FES1162722968"</f>
        <v>FES1162722968</v>
      </c>
      <c r="F1715" s="3">
        <v>43783</v>
      </c>
      <c r="G1715">
        <v>202005</v>
      </c>
      <c r="H1715" t="s">
        <v>75</v>
      </c>
      <c r="I1715" t="s">
        <v>76</v>
      </c>
      <c r="J1715" t="s">
        <v>77</v>
      </c>
      <c r="K1715" t="s">
        <v>78</v>
      </c>
      <c r="L1715" t="s">
        <v>124</v>
      </c>
      <c r="M1715" t="s">
        <v>125</v>
      </c>
      <c r="N1715" t="s">
        <v>218</v>
      </c>
      <c r="O1715" t="s">
        <v>82</v>
      </c>
      <c r="P1715" t="str">
        <f>"2170717064                    "</f>
        <v xml:space="preserve">2170717064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9.1199999999999992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3.4</v>
      </c>
      <c r="BJ1715">
        <v>1.1000000000000001</v>
      </c>
      <c r="BK1715">
        <v>3.5</v>
      </c>
      <c r="BL1715" s="4">
        <v>53.59</v>
      </c>
      <c r="BM1715" s="4">
        <v>8.0399999999999991</v>
      </c>
      <c r="BN1715" s="4">
        <v>61.63</v>
      </c>
      <c r="BO1715" s="4">
        <v>61.63</v>
      </c>
      <c r="BQ1715" t="s">
        <v>121</v>
      </c>
      <c r="BR1715" t="s">
        <v>84</v>
      </c>
      <c r="BS1715" s="3">
        <v>43784</v>
      </c>
      <c r="BT1715" s="5">
        <v>0.3888888888888889</v>
      </c>
      <c r="BU1715" t="s">
        <v>838</v>
      </c>
      <c r="BV1715" t="s">
        <v>86</v>
      </c>
      <c r="BY1715">
        <v>5439.8</v>
      </c>
      <c r="CA1715" t="s">
        <v>837</v>
      </c>
      <c r="CC1715" t="s">
        <v>125</v>
      </c>
      <c r="CD1715">
        <v>2094</v>
      </c>
      <c r="CE1715" t="s">
        <v>88</v>
      </c>
      <c r="CF1715" s="3">
        <v>43788</v>
      </c>
      <c r="CI1715">
        <v>1</v>
      </c>
      <c r="CJ1715">
        <v>1</v>
      </c>
      <c r="CK1715">
        <v>22</v>
      </c>
      <c r="CL1715" t="s">
        <v>89</v>
      </c>
    </row>
    <row r="1716" spans="1:90">
      <c r="A1716" t="s">
        <v>72</v>
      </c>
      <c r="B1716" t="s">
        <v>73</v>
      </c>
      <c r="C1716" t="s">
        <v>74</v>
      </c>
      <c r="E1716" t="str">
        <f>"FES1162723118"</f>
        <v>FES1162723118</v>
      </c>
      <c r="F1716" s="3">
        <v>43783</v>
      </c>
      <c r="G1716">
        <v>202005</v>
      </c>
      <c r="H1716" t="s">
        <v>75</v>
      </c>
      <c r="I1716" t="s">
        <v>76</v>
      </c>
      <c r="J1716" t="s">
        <v>77</v>
      </c>
      <c r="K1716" t="s">
        <v>78</v>
      </c>
      <c r="L1716" t="s">
        <v>112</v>
      </c>
      <c r="M1716" t="s">
        <v>113</v>
      </c>
      <c r="N1716" t="s">
        <v>160</v>
      </c>
      <c r="O1716" t="s">
        <v>82</v>
      </c>
      <c r="P1716" t="str">
        <f>"2170717132                    "</f>
        <v xml:space="preserve">2170717132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8.58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 s="4">
        <v>50.45</v>
      </c>
      <c r="BM1716" s="4">
        <v>7.57</v>
      </c>
      <c r="BN1716" s="4">
        <v>58.02</v>
      </c>
      <c r="BO1716" s="4">
        <v>58.02</v>
      </c>
      <c r="BQ1716" t="s">
        <v>161</v>
      </c>
      <c r="BR1716" t="s">
        <v>84</v>
      </c>
      <c r="BS1716" s="3">
        <v>43784</v>
      </c>
      <c r="BT1716" s="5">
        <v>0.37361111111111112</v>
      </c>
      <c r="BU1716" t="s">
        <v>162</v>
      </c>
      <c r="BV1716" t="s">
        <v>86</v>
      </c>
      <c r="BY1716">
        <v>1200</v>
      </c>
      <c r="CA1716" t="s">
        <v>163</v>
      </c>
      <c r="CC1716" t="s">
        <v>113</v>
      </c>
      <c r="CD1716">
        <v>4000</v>
      </c>
      <c r="CE1716" t="s">
        <v>147</v>
      </c>
      <c r="CF1716" s="3">
        <v>43787</v>
      </c>
      <c r="CI1716">
        <v>1</v>
      </c>
      <c r="CJ1716">
        <v>1</v>
      </c>
      <c r="CK1716">
        <v>21</v>
      </c>
      <c r="CL1716" t="s">
        <v>89</v>
      </c>
    </row>
    <row r="1717" spans="1:90">
      <c r="A1717" t="s">
        <v>72</v>
      </c>
      <c r="B1717" t="s">
        <v>73</v>
      </c>
      <c r="C1717" t="s">
        <v>74</v>
      </c>
      <c r="E1717" t="str">
        <f>"FES1162723073"</f>
        <v>FES1162723073</v>
      </c>
      <c r="F1717" s="3">
        <v>43783</v>
      </c>
      <c r="G1717">
        <v>202005</v>
      </c>
      <c r="H1717" t="s">
        <v>75</v>
      </c>
      <c r="I1717" t="s">
        <v>76</v>
      </c>
      <c r="J1717" t="s">
        <v>77</v>
      </c>
      <c r="K1717" t="s">
        <v>78</v>
      </c>
      <c r="L1717" t="s">
        <v>75</v>
      </c>
      <c r="M1717" t="s">
        <v>76</v>
      </c>
      <c r="N1717" t="s">
        <v>199</v>
      </c>
      <c r="O1717" t="s">
        <v>82</v>
      </c>
      <c r="P1717" t="str">
        <f>"2170714666                    "</f>
        <v xml:space="preserve">2170714666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7.51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2.2000000000000002</v>
      </c>
      <c r="BJ1717">
        <v>0.6</v>
      </c>
      <c r="BK1717">
        <v>2.5</v>
      </c>
      <c r="BL1717" s="4">
        <v>44.14</v>
      </c>
      <c r="BM1717" s="4">
        <v>6.62</v>
      </c>
      <c r="BN1717" s="4">
        <v>50.76</v>
      </c>
      <c r="BO1717" s="4">
        <v>50.76</v>
      </c>
      <c r="BQ1717" t="s">
        <v>200</v>
      </c>
      <c r="BR1717" t="s">
        <v>84</v>
      </c>
      <c r="BS1717" s="3">
        <v>43784</v>
      </c>
      <c r="BT1717" s="5">
        <v>0.33124999999999999</v>
      </c>
      <c r="BU1717" t="s">
        <v>1072</v>
      </c>
      <c r="BV1717" t="s">
        <v>86</v>
      </c>
      <c r="BY1717">
        <v>2770.66</v>
      </c>
      <c r="CA1717" t="s">
        <v>368</v>
      </c>
      <c r="CC1717" t="s">
        <v>76</v>
      </c>
      <c r="CD1717">
        <v>1600</v>
      </c>
      <c r="CE1717" t="s">
        <v>88</v>
      </c>
      <c r="CF1717" s="3">
        <v>43787</v>
      </c>
      <c r="CI1717">
        <v>1</v>
      </c>
      <c r="CJ1717">
        <v>1</v>
      </c>
      <c r="CK1717">
        <v>22</v>
      </c>
      <c r="CL1717" t="s">
        <v>89</v>
      </c>
    </row>
    <row r="1718" spans="1:90">
      <c r="A1718" t="s">
        <v>72</v>
      </c>
      <c r="B1718" t="s">
        <v>73</v>
      </c>
      <c r="C1718" t="s">
        <v>74</v>
      </c>
      <c r="E1718" t="str">
        <f>"FES1162723059"</f>
        <v>FES1162723059</v>
      </c>
      <c r="F1718" s="3">
        <v>43783</v>
      </c>
      <c r="G1718">
        <v>202005</v>
      </c>
      <c r="H1718" t="s">
        <v>75</v>
      </c>
      <c r="I1718" t="s">
        <v>76</v>
      </c>
      <c r="J1718" t="s">
        <v>77</v>
      </c>
      <c r="K1718" t="s">
        <v>78</v>
      </c>
      <c r="L1718" t="s">
        <v>691</v>
      </c>
      <c r="M1718" t="s">
        <v>692</v>
      </c>
      <c r="N1718" t="s">
        <v>2116</v>
      </c>
      <c r="O1718" t="s">
        <v>82</v>
      </c>
      <c r="P1718" t="str">
        <f>"2170714406                    "</f>
        <v xml:space="preserve">2170714406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6.71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 s="4">
        <v>39.42</v>
      </c>
      <c r="BM1718" s="4">
        <v>5.91</v>
      </c>
      <c r="BN1718" s="4">
        <v>45.33</v>
      </c>
      <c r="BO1718" s="4">
        <v>45.33</v>
      </c>
      <c r="BQ1718" t="s">
        <v>187</v>
      </c>
      <c r="BR1718" t="s">
        <v>84</v>
      </c>
      <c r="BS1718" s="3">
        <v>43784</v>
      </c>
      <c r="BT1718" s="5">
        <v>0.43055555555555558</v>
      </c>
      <c r="BU1718" t="s">
        <v>2117</v>
      </c>
      <c r="BV1718" t="s">
        <v>86</v>
      </c>
      <c r="BY1718">
        <v>1200</v>
      </c>
      <c r="CC1718" t="s">
        <v>692</v>
      </c>
      <c r="CD1718">
        <v>1560</v>
      </c>
      <c r="CE1718" t="s">
        <v>147</v>
      </c>
      <c r="CF1718" s="3">
        <v>43787</v>
      </c>
      <c r="CI1718">
        <v>1</v>
      </c>
      <c r="CJ1718">
        <v>1</v>
      </c>
      <c r="CK1718">
        <v>22</v>
      </c>
      <c r="CL1718" t="s">
        <v>89</v>
      </c>
    </row>
    <row r="1719" spans="1:90">
      <c r="A1719" t="s">
        <v>72</v>
      </c>
      <c r="B1719" t="s">
        <v>73</v>
      </c>
      <c r="C1719" t="s">
        <v>74</v>
      </c>
      <c r="E1719" t="str">
        <f>"FES1162722962"</f>
        <v>FES1162722962</v>
      </c>
      <c r="F1719" s="3">
        <v>43783</v>
      </c>
      <c r="G1719">
        <v>202005</v>
      </c>
      <c r="H1719" t="s">
        <v>75</v>
      </c>
      <c r="I1719" t="s">
        <v>76</v>
      </c>
      <c r="J1719" t="s">
        <v>77</v>
      </c>
      <c r="K1719" t="s">
        <v>78</v>
      </c>
      <c r="L1719" t="s">
        <v>825</v>
      </c>
      <c r="M1719" t="s">
        <v>826</v>
      </c>
      <c r="N1719" t="s">
        <v>2118</v>
      </c>
      <c r="O1719" t="s">
        <v>82</v>
      </c>
      <c r="P1719" t="str">
        <f>"2170717043                    "</f>
        <v xml:space="preserve">2170717043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12.07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 s="4">
        <v>70.95</v>
      </c>
      <c r="BM1719" s="4">
        <v>10.64</v>
      </c>
      <c r="BN1719" s="4">
        <v>81.59</v>
      </c>
      <c r="BO1719" s="4">
        <v>81.59</v>
      </c>
      <c r="BQ1719" t="s">
        <v>121</v>
      </c>
      <c r="BR1719" t="s">
        <v>84</v>
      </c>
      <c r="BS1719" s="3">
        <v>43784</v>
      </c>
      <c r="BT1719" s="5">
        <v>0.43055555555555558</v>
      </c>
      <c r="BU1719" t="s">
        <v>2119</v>
      </c>
      <c r="BV1719" t="s">
        <v>86</v>
      </c>
      <c r="BY1719">
        <v>1200</v>
      </c>
      <c r="CC1719" t="s">
        <v>826</v>
      </c>
      <c r="CD1719">
        <v>1759</v>
      </c>
      <c r="CE1719" t="s">
        <v>147</v>
      </c>
      <c r="CF1719" s="3">
        <v>43787</v>
      </c>
      <c r="CI1719">
        <v>1</v>
      </c>
      <c r="CJ1719">
        <v>1</v>
      </c>
      <c r="CK1719">
        <v>24</v>
      </c>
      <c r="CL1719" t="s">
        <v>89</v>
      </c>
    </row>
    <row r="1720" spans="1:90">
      <c r="A1720" t="s">
        <v>72</v>
      </c>
      <c r="B1720" t="s">
        <v>73</v>
      </c>
      <c r="C1720" t="s">
        <v>74</v>
      </c>
      <c r="E1720" t="str">
        <f>"FES1162723047"</f>
        <v>FES1162723047</v>
      </c>
      <c r="F1720" s="3">
        <v>43783</v>
      </c>
      <c r="G1720">
        <v>202005</v>
      </c>
      <c r="H1720" t="s">
        <v>75</v>
      </c>
      <c r="I1720" t="s">
        <v>76</v>
      </c>
      <c r="J1720" t="s">
        <v>77</v>
      </c>
      <c r="K1720" t="s">
        <v>78</v>
      </c>
      <c r="L1720" t="s">
        <v>214</v>
      </c>
      <c r="M1720" t="s">
        <v>214</v>
      </c>
      <c r="N1720" t="s">
        <v>314</v>
      </c>
      <c r="O1720" t="s">
        <v>82</v>
      </c>
      <c r="P1720" t="str">
        <f>"2170713466                    "</f>
        <v xml:space="preserve">2170713466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16.63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 s="4">
        <v>97.75</v>
      </c>
      <c r="BM1720" s="4">
        <v>14.66</v>
      </c>
      <c r="BN1720" s="4">
        <v>112.41</v>
      </c>
      <c r="BO1720" s="4">
        <v>112.41</v>
      </c>
      <c r="BQ1720" t="s">
        <v>109</v>
      </c>
      <c r="BR1720" t="s">
        <v>84</v>
      </c>
      <c r="BS1720" s="3">
        <v>43784</v>
      </c>
      <c r="BT1720" s="5">
        <v>0.48749999999999999</v>
      </c>
      <c r="BU1720" t="s">
        <v>315</v>
      </c>
      <c r="BV1720" t="s">
        <v>86</v>
      </c>
      <c r="BY1720">
        <v>1200</v>
      </c>
      <c r="CA1720" t="s">
        <v>217</v>
      </c>
      <c r="CC1720" t="s">
        <v>214</v>
      </c>
      <c r="CD1720">
        <v>7646</v>
      </c>
      <c r="CE1720" t="s">
        <v>147</v>
      </c>
      <c r="CF1720" s="3">
        <v>43787</v>
      </c>
      <c r="CI1720">
        <v>1</v>
      </c>
      <c r="CJ1720">
        <v>1</v>
      </c>
      <c r="CK1720">
        <v>23</v>
      </c>
      <c r="CL1720" t="s">
        <v>89</v>
      </c>
    </row>
    <row r="1721" spans="1:90">
      <c r="A1721" t="s">
        <v>72</v>
      </c>
      <c r="B1721" t="s">
        <v>73</v>
      </c>
      <c r="C1721" t="s">
        <v>74</v>
      </c>
      <c r="E1721" t="str">
        <f>"FES1162722933"</f>
        <v>FES1162722933</v>
      </c>
      <c r="F1721" s="3">
        <v>43783</v>
      </c>
      <c r="G1721">
        <v>202005</v>
      </c>
      <c r="H1721" t="s">
        <v>75</v>
      </c>
      <c r="I1721" t="s">
        <v>76</v>
      </c>
      <c r="J1721" t="s">
        <v>77</v>
      </c>
      <c r="K1721" t="s">
        <v>78</v>
      </c>
      <c r="L1721" t="s">
        <v>2120</v>
      </c>
      <c r="M1721" t="s">
        <v>2121</v>
      </c>
      <c r="N1721" t="s">
        <v>2122</v>
      </c>
      <c r="O1721" t="s">
        <v>82</v>
      </c>
      <c r="P1721" t="str">
        <f>"2170717028                    "</f>
        <v xml:space="preserve">2170717028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16.63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 s="4">
        <v>97.75</v>
      </c>
      <c r="BM1721" s="4">
        <v>14.66</v>
      </c>
      <c r="BN1721" s="4">
        <v>112.41</v>
      </c>
      <c r="BO1721" s="4">
        <v>112.41</v>
      </c>
      <c r="BR1721" t="s">
        <v>84</v>
      </c>
      <c r="BS1721" s="3">
        <v>43784</v>
      </c>
      <c r="BT1721" s="5">
        <v>0.39583333333333331</v>
      </c>
      <c r="BU1721" t="s">
        <v>2123</v>
      </c>
      <c r="BV1721" t="s">
        <v>86</v>
      </c>
      <c r="BY1721">
        <v>1200</v>
      </c>
      <c r="CA1721" t="s">
        <v>2124</v>
      </c>
      <c r="CC1721" t="s">
        <v>2121</v>
      </c>
      <c r="CD1721">
        <v>9730</v>
      </c>
      <c r="CE1721" t="s">
        <v>147</v>
      </c>
      <c r="CF1721" s="3">
        <v>43789</v>
      </c>
      <c r="CI1721">
        <v>1</v>
      </c>
      <c r="CJ1721">
        <v>1</v>
      </c>
      <c r="CK1721">
        <v>23</v>
      </c>
      <c r="CL1721" t="s">
        <v>89</v>
      </c>
    </row>
    <row r="1722" spans="1:90">
      <c r="A1722" t="s">
        <v>72</v>
      </c>
      <c r="B1722" t="s">
        <v>73</v>
      </c>
      <c r="C1722" t="s">
        <v>74</v>
      </c>
      <c r="E1722" t="str">
        <f>"FES1162723019"</f>
        <v>FES1162723019</v>
      </c>
      <c r="F1722" s="3">
        <v>43783</v>
      </c>
      <c r="G1722">
        <v>202005</v>
      </c>
      <c r="H1722" t="s">
        <v>75</v>
      </c>
      <c r="I1722" t="s">
        <v>76</v>
      </c>
      <c r="J1722" t="s">
        <v>77</v>
      </c>
      <c r="K1722" t="s">
        <v>78</v>
      </c>
      <c r="L1722" t="s">
        <v>270</v>
      </c>
      <c r="M1722" t="s">
        <v>271</v>
      </c>
      <c r="N1722" t="s">
        <v>618</v>
      </c>
      <c r="O1722" t="s">
        <v>82</v>
      </c>
      <c r="P1722" t="str">
        <f>"2170716494                    "</f>
        <v xml:space="preserve">2170716494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8.58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 s="4">
        <v>50.45</v>
      </c>
      <c r="BM1722" s="4">
        <v>7.57</v>
      </c>
      <c r="BN1722" s="4">
        <v>58.02</v>
      </c>
      <c r="BO1722" s="4">
        <v>58.02</v>
      </c>
      <c r="BQ1722" t="s">
        <v>121</v>
      </c>
      <c r="BR1722" t="s">
        <v>84</v>
      </c>
      <c r="BS1722" s="3">
        <v>43784</v>
      </c>
      <c r="BT1722" s="5">
        <v>0.42499999999999999</v>
      </c>
      <c r="BU1722" t="s">
        <v>2104</v>
      </c>
      <c r="BV1722" t="s">
        <v>86</v>
      </c>
      <c r="BY1722">
        <v>1200</v>
      </c>
      <c r="CA1722" t="s">
        <v>773</v>
      </c>
      <c r="CC1722" t="s">
        <v>271</v>
      </c>
      <c r="CD1722">
        <v>6220</v>
      </c>
      <c r="CE1722" t="s">
        <v>147</v>
      </c>
      <c r="CF1722" s="3">
        <v>43787</v>
      </c>
      <c r="CI1722">
        <v>1</v>
      </c>
      <c r="CJ1722">
        <v>1</v>
      </c>
      <c r="CK1722">
        <v>21</v>
      </c>
      <c r="CL1722" t="s">
        <v>89</v>
      </c>
    </row>
    <row r="1723" spans="1:90">
      <c r="A1723" t="s">
        <v>72</v>
      </c>
      <c r="B1723" t="s">
        <v>73</v>
      </c>
      <c r="C1723" t="s">
        <v>74</v>
      </c>
      <c r="E1723" t="str">
        <f>"FES1162723080"</f>
        <v>FES1162723080</v>
      </c>
      <c r="F1723" s="3">
        <v>43783</v>
      </c>
      <c r="G1723">
        <v>202005</v>
      </c>
      <c r="H1723" t="s">
        <v>75</v>
      </c>
      <c r="I1723" t="s">
        <v>76</v>
      </c>
      <c r="J1723" t="s">
        <v>77</v>
      </c>
      <c r="K1723" t="s">
        <v>78</v>
      </c>
      <c r="L1723" t="s">
        <v>106</v>
      </c>
      <c r="M1723" t="s">
        <v>107</v>
      </c>
      <c r="N1723" t="s">
        <v>108</v>
      </c>
      <c r="O1723" t="s">
        <v>82</v>
      </c>
      <c r="P1723" t="str">
        <f>"21707174723                   "</f>
        <v xml:space="preserve">21707174723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8.58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 s="4">
        <v>50.45</v>
      </c>
      <c r="BM1723" s="4">
        <v>7.57</v>
      </c>
      <c r="BN1723" s="4">
        <v>58.02</v>
      </c>
      <c r="BO1723" s="4">
        <v>58.02</v>
      </c>
      <c r="BQ1723" t="s">
        <v>109</v>
      </c>
      <c r="BR1723" t="s">
        <v>84</v>
      </c>
      <c r="BS1723" s="3">
        <v>43784</v>
      </c>
      <c r="BT1723" s="5">
        <v>0.35972222222222222</v>
      </c>
      <c r="BU1723" t="s">
        <v>1526</v>
      </c>
      <c r="BV1723" t="s">
        <v>86</v>
      </c>
      <c r="BY1723">
        <v>1200</v>
      </c>
      <c r="CA1723" t="s">
        <v>111</v>
      </c>
      <c r="CC1723" t="s">
        <v>107</v>
      </c>
      <c r="CD1723">
        <v>6001</v>
      </c>
      <c r="CE1723" t="s">
        <v>147</v>
      </c>
      <c r="CF1723" s="3">
        <v>43787</v>
      </c>
      <c r="CI1723">
        <v>1</v>
      </c>
      <c r="CJ1723">
        <v>1</v>
      </c>
      <c r="CK1723">
        <v>21</v>
      </c>
      <c r="CL1723" t="s">
        <v>89</v>
      </c>
    </row>
    <row r="1724" spans="1:90">
      <c r="A1724" t="s">
        <v>72</v>
      </c>
      <c r="B1724" t="s">
        <v>73</v>
      </c>
      <c r="C1724" t="s">
        <v>74</v>
      </c>
      <c r="E1724" t="str">
        <f>"FES1162723079"</f>
        <v>FES1162723079</v>
      </c>
      <c r="F1724" s="3">
        <v>43783</v>
      </c>
      <c r="G1724">
        <v>202005</v>
      </c>
      <c r="H1724" t="s">
        <v>75</v>
      </c>
      <c r="I1724" t="s">
        <v>76</v>
      </c>
      <c r="J1724" t="s">
        <v>77</v>
      </c>
      <c r="K1724" t="s">
        <v>78</v>
      </c>
      <c r="L1724" t="s">
        <v>133</v>
      </c>
      <c r="M1724" t="s">
        <v>134</v>
      </c>
      <c r="N1724" t="s">
        <v>135</v>
      </c>
      <c r="O1724" t="s">
        <v>82</v>
      </c>
      <c r="P1724" t="str">
        <f>"2170714718                    "</f>
        <v xml:space="preserve">2170714718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8.58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 s="4">
        <v>50.45</v>
      </c>
      <c r="BM1724" s="4">
        <v>7.57</v>
      </c>
      <c r="BN1724" s="4">
        <v>58.02</v>
      </c>
      <c r="BO1724" s="4">
        <v>58.02</v>
      </c>
      <c r="BQ1724" t="s">
        <v>109</v>
      </c>
      <c r="BR1724" t="s">
        <v>84</v>
      </c>
      <c r="BS1724" s="3">
        <v>43784</v>
      </c>
      <c r="BT1724" s="5">
        <v>0.35416666666666669</v>
      </c>
      <c r="BU1724" t="s">
        <v>2078</v>
      </c>
      <c r="BV1724" t="s">
        <v>86</v>
      </c>
      <c r="BY1724">
        <v>1200</v>
      </c>
      <c r="CA1724" t="s">
        <v>1109</v>
      </c>
      <c r="CC1724" t="s">
        <v>134</v>
      </c>
      <c r="CD1724">
        <v>5201</v>
      </c>
      <c r="CE1724" t="s">
        <v>147</v>
      </c>
      <c r="CF1724" s="3">
        <v>43787</v>
      </c>
      <c r="CI1724">
        <v>1</v>
      </c>
      <c r="CJ1724">
        <v>1</v>
      </c>
      <c r="CK1724">
        <v>21</v>
      </c>
      <c r="CL1724" t="s">
        <v>89</v>
      </c>
    </row>
    <row r="1725" spans="1:90">
      <c r="A1725" t="s">
        <v>72</v>
      </c>
      <c r="B1725" t="s">
        <v>73</v>
      </c>
      <c r="C1725" t="s">
        <v>74</v>
      </c>
      <c r="E1725" t="str">
        <f>"FES1162723104"</f>
        <v>FES1162723104</v>
      </c>
      <c r="F1725" s="3">
        <v>43783</v>
      </c>
      <c r="G1725">
        <v>202005</v>
      </c>
      <c r="H1725" t="s">
        <v>75</v>
      </c>
      <c r="I1725" t="s">
        <v>76</v>
      </c>
      <c r="J1725" t="s">
        <v>77</v>
      </c>
      <c r="K1725" t="s">
        <v>78</v>
      </c>
      <c r="L1725" t="s">
        <v>90</v>
      </c>
      <c r="M1725" t="s">
        <v>91</v>
      </c>
      <c r="N1725" t="s">
        <v>2125</v>
      </c>
      <c r="O1725" t="s">
        <v>82</v>
      </c>
      <c r="P1725" t="str">
        <f>"2170716904                    "</f>
        <v xml:space="preserve">2170716904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19.3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4.0999999999999996</v>
      </c>
      <c r="BJ1725">
        <v>0.9</v>
      </c>
      <c r="BK1725">
        <v>4.5</v>
      </c>
      <c r="BL1725" s="4">
        <v>113.47</v>
      </c>
      <c r="BM1725" s="4">
        <v>17.02</v>
      </c>
      <c r="BN1725" s="4">
        <v>130.49</v>
      </c>
      <c r="BO1725" s="4">
        <v>130.49</v>
      </c>
      <c r="BQ1725" t="s">
        <v>121</v>
      </c>
      <c r="BR1725" t="s">
        <v>84</v>
      </c>
      <c r="BS1725" s="3">
        <v>43784</v>
      </c>
      <c r="BT1725" s="5">
        <v>0.33333333333333331</v>
      </c>
      <c r="BU1725" t="s">
        <v>2126</v>
      </c>
      <c r="BV1725" t="s">
        <v>86</v>
      </c>
      <c r="BY1725">
        <v>4602.24</v>
      </c>
      <c r="CA1725" t="s">
        <v>515</v>
      </c>
      <c r="CC1725" t="s">
        <v>91</v>
      </c>
      <c r="CD1725">
        <v>7500</v>
      </c>
      <c r="CE1725" t="s">
        <v>88</v>
      </c>
      <c r="CF1725" s="3">
        <v>43787</v>
      </c>
      <c r="CI1725">
        <v>1</v>
      </c>
      <c r="CJ1725">
        <v>1</v>
      </c>
      <c r="CK1725">
        <v>21</v>
      </c>
      <c r="CL1725" t="s">
        <v>89</v>
      </c>
    </row>
    <row r="1726" spans="1:90">
      <c r="A1726" t="s">
        <v>72</v>
      </c>
      <c r="B1726" t="s">
        <v>73</v>
      </c>
      <c r="C1726" t="s">
        <v>74</v>
      </c>
      <c r="E1726" t="str">
        <f>"FES1162722935"</f>
        <v>FES1162722935</v>
      </c>
      <c r="F1726" s="3">
        <v>43783</v>
      </c>
      <c r="G1726">
        <v>202005</v>
      </c>
      <c r="H1726" t="s">
        <v>75</v>
      </c>
      <c r="I1726" t="s">
        <v>76</v>
      </c>
      <c r="J1726" t="s">
        <v>77</v>
      </c>
      <c r="K1726" t="s">
        <v>78</v>
      </c>
      <c r="L1726" t="s">
        <v>90</v>
      </c>
      <c r="M1726" t="s">
        <v>91</v>
      </c>
      <c r="N1726" t="s">
        <v>393</v>
      </c>
      <c r="O1726" t="s">
        <v>82</v>
      </c>
      <c r="P1726" t="str">
        <f>"2170717031                    "</f>
        <v xml:space="preserve">2170717031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8.58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2</v>
      </c>
      <c r="BI1726">
        <v>1.2</v>
      </c>
      <c r="BJ1726">
        <v>1.8</v>
      </c>
      <c r="BK1726">
        <v>2</v>
      </c>
      <c r="BL1726" s="4">
        <v>50.45</v>
      </c>
      <c r="BM1726" s="4">
        <v>7.57</v>
      </c>
      <c r="BN1726" s="4">
        <v>58.02</v>
      </c>
      <c r="BO1726" s="4">
        <v>58.02</v>
      </c>
      <c r="BQ1726" t="s">
        <v>2127</v>
      </c>
      <c r="BR1726" t="s">
        <v>84</v>
      </c>
      <c r="BS1726" s="3">
        <v>43784</v>
      </c>
      <c r="BT1726" s="5">
        <v>0.2951388888888889</v>
      </c>
      <c r="BU1726" t="s">
        <v>2128</v>
      </c>
      <c r="BV1726" t="s">
        <v>86</v>
      </c>
      <c r="BY1726">
        <v>9031.14</v>
      </c>
      <c r="CA1726" t="s">
        <v>221</v>
      </c>
      <c r="CC1726" t="s">
        <v>91</v>
      </c>
      <c r="CD1726">
        <v>7405</v>
      </c>
      <c r="CE1726" t="s">
        <v>1892</v>
      </c>
      <c r="CF1726" s="3">
        <v>43787</v>
      </c>
      <c r="CI1726">
        <v>1</v>
      </c>
      <c r="CJ1726">
        <v>1</v>
      </c>
      <c r="CK1726">
        <v>21</v>
      </c>
      <c r="CL1726" t="s">
        <v>89</v>
      </c>
    </row>
    <row r="1727" spans="1:90">
      <c r="A1727" t="s">
        <v>72</v>
      </c>
      <c r="B1727" t="s">
        <v>73</v>
      </c>
      <c r="C1727" t="s">
        <v>74</v>
      </c>
      <c r="E1727" t="str">
        <f>"FES1162723093"</f>
        <v>FES1162723093</v>
      </c>
      <c r="F1727" s="3">
        <v>43783</v>
      </c>
      <c r="G1727">
        <v>202005</v>
      </c>
      <c r="H1727" t="s">
        <v>75</v>
      </c>
      <c r="I1727" t="s">
        <v>76</v>
      </c>
      <c r="J1727" t="s">
        <v>77</v>
      </c>
      <c r="K1727" t="s">
        <v>78</v>
      </c>
      <c r="L1727" t="s">
        <v>118</v>
      </c>
      <c r="M1727" t="s">
        <v>119</v>
      </c>
      <c r="N1727" t="s">
        <v>1123</v>
      </c>
      <c r="O1727" t="s">
        <v>82</v>
      </c>
      <c r="P1727" t="str">
        <f>"2170715705                    "</f>
        <v xml:space="preserve">2170715705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10.73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2.2999999999999998</v>
      </c>
      <c r="BJ1727">
        <v>1.3</v>
      </c>
      <c r="BK1727">
        <v>2.5</v>
      </c>
      <c r="BL1727" s="4">
        <v>63.06</v>
      </c>
      <c r="BM1727" s="4">
        <v>9.4600000000000009</v>
      </c>
      <c r="BN1727" s="4">
        <v>72.52</v>
      </c>
      <c r="BO1727" s="4">
        <v>72.52</v>
      </c>
      <c r="BQ1727" t="s">
        <v>121</v>
      </c>
      <c r="BR1727" t="s">
        <v>84</v>
      </c>
      <c r="BS1727" s="3">
        <v>43784</v>
      </c>
      <c r="BT1727" s="5">
        <v>0.39027777777777778</v>
      </c>
      <c r="BU1727" t="s">
        <v>2129</v>
      </c>
      <c r="BV1727" t="s">
        <v>86</v>
      </c>
      <c r="BY1727">
        <v>6571.49</v>
      </c>
      <c r="CA1727" t="s">
        <v>171</v>
      </c>
      <c r="CC1727" t="s">
        <v>119</v>
      </c>
      <c r="CD1727">
        <v>3201</v>
      </c>
      <c r="CE1727" t="s">
        <v>88</v>
      </c>
      <c r="CF1727" s="3">
        <v>43787</v>
      </c>
      <c r="CI1727">
        <v>1</v>
      </c>
      <c r="CJ1727">
        <v>1</v>
      </c>
      <c r="CK1727">
        <v>21</v>
      </c>
      <c r="CL1727" t="s">
        <v>89</v>
      </c>
    </row>
    <row r="1728" spans="1:90">
      <c r="A1728" t="s">
        <v>72</v>
      </c>
      <c r="B1728" t="s">
        <v>73</v>
      </c>
      <c r="C1728" t="s">
        <v>74</v>
      </c>
      <c r="E1728" t="str">
        <f>"FES1162723074"</f>
        <v>FES1162723074</v>
      </c>
      <c r="F1728" s="3">
        <v>43783</v>
      </c>
      <c r="G1728">
        <v>202005</v>
      </c>
      <c r="H1728" t="s">
        <v>75</v>
      </c>
      <c r="I1728" t="s">
        <v>76</v>
      </c>
      <c r="J1728" t="s">
        <v>77</v>
      </c>
      <c r="K1728" t="s">
        <v>78</v>
      </c>
      <c r="L1728" t="s">
        <v>184</v>
      </c>
      <c r="M1728" t="s">
        <v>185</v>
      </c>
      <c r="N1728" t="s">
        <v>1314</v>
      </c>
      <c r="O1728" t="s">
        <v>82</v>
      </c>
      <c r="P1728" t="str">
        <f>"2170714673                    "</f>
        <v xml:space="preserve">2170714673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6.71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 s="4">
        <v>39.42</v>
      </c>
      <c r="BM1728" s="4">
        <v>5.91</v>
      </c>
      <c r="BN1728" s="4">
        <v>45.33</v>
      </c>
      <c r="BO1728" s="4">
        <v>45.33</v>
      </c>
      <c r="BQ1728" t="s">
        <v>109</v>
      </c>
      <c r="BR1728" t="s">
        <v>84</v>
      </c>
      <c r="BS1728" s="3">
        <v>43784</v>
      </c>
      <c r="BT1728" s="5">
        <v>0.41666666666666669</v>
      </c>
      <c r="BU1728" t="s">
        <v>2115</v>
      </c>
      <c r="BV1728" t="s">
        <v>86</v>
      </c>
      <c r="BY1728">
        <v>1200</v>
      </c>
      <c r="CC1728" t="s">
        <v>185</v>
      </c>
      <c r="CD1728">
        <v>1501</v>
      </c>
      <c r="CE1728" t="s">
        <v>147</v>
      </c>
      <c r="CF1728" s="3">
        <v>43787</v>
      </c>
      <c r="CI1728">
        <v>1</v>
      </c>
      <c r="CJ1728">
        <v>1</v>
      </c>
      <c r="CK1728">
        <v>22</v>
      </c>
      <c r="CL1728" t="s">
        <v>89</v>
      </c>
    </row>
    <row r="1729" spans="1:90">
      <c r="A1729" t="s">
        <v>72</v>
      </c>
      <c r="B1729" t="s">
        <v>73</v>
      </c>
      <c r="C1729" t="s">
        <v>74</v>
      </c>
      <c r="E1729" t="str">
        <f>"FES1162723110"</f>
        <v>FES1162723110</v>
      </c>
      <c r="F1729" s="3">
        <v>43783</v>
      </c>
      <c r="G1729">
        <v>202005</v>
      </c>
      <c r="H1729" t="s">
        <v>75</v>
      </c>
      <c r="I1729" t="s">
        <v>76</v>
      </c>
      <c r="J1729" t="s">
        <v>77</v>
      </c>
      <c r="K1729" t="s">
        <v>78</v>
      </c>
      <c r="L1729" t="s">
        <v>75</v>
      </c>
      <c r="M1729" t="s">
        <v>76</v>
      </c>
      <c r="N1729" t="s">
        <v>360</v>
      </c>
      <c r="O1729" t="s">
        <v>82</v>
      </c>
      <c r="P1729" t="str">
        <f>"2170717122                    "</f>
        <v xml:space="preserve">2170717122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6.71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 s="4">
        <v>39.42</v>
      </c>
      <c r="BM1729" s="4">
        <v>5.91</v>
      </c>
      <c r="BN1729" s="4">
        <v>45.33</v>
      </c>
      <c r="BO1729" s="4">
        <v>45.33</v>
      </c>
      <c r="BQ1729" t="s">
        <v>109</v>
      </c>
      <c r="BR1729" t="s">
        <v>84</v>
      </c>
      <c r="BS1729" s="3">
        <v>43784</v>
      </c>
      <c r="BT1729" s="5">
        <v>0.29236111111111113</v>
      </c>
      <c r="BU1729" t="s">
        <v>2130</v>
      </c>
      <c r="BV1729" t="s">
        <v>86</v>
      </c>
      <c r="BY1729">
        <v>1200</v>
      </c>
      <c r="CA1729" t="s">
        <v>797</v>
      </c>
      <c r="CC1729" t="s">
        <v>76</v>
      </c>
      <c r="CD1729">
        <v>1645</v>
      </c>
      <c r="CE1729" t="s">
        <v>147</v>
      </c>
      <c r="CF1729" s="3">
        <v>43788</v>
      </c>
      <c r="CI1729">
        <v>1</v>
      </c>
      <c r="CJ1729">
        <v>1</v>
      </c>
      <c r="CK1729">
        <v>22</v>
      </c>
      <c r="CL1729" t="s">
        <v>89</v>
      </c>
    </row>
    <row r="1730" spans="1:90">
      <c r="A1730" t="s">
        <v>72</v>
      </c>
      <c r="B1730" t="s">
        <v>73</v>
      </c>
      <c r="C1730" t="s">
        <v>74</v>
      </c>
      <c r="E1730" t="str">
        <f>"FES1162723075"</f>
        <v>FES1162723075</v>
      </c>
      <c r="F1730" s="3">
        <v>43783</v>
      </c>
      <c r="G1730">
        <v>202005</v>
      </c>
      <c r="H1730" t="s">
        <v>75</v>
      </c>
      <c r="I1730" t="s">
        <v>76</v>
      </c>
      <c r="J1730" t="s">
        <v>77</v>
      </c>
      <c r="K1730" t="s">
        <v>78</v>
      </c>
      <c r="L1730" t="s">
        <v>482</v>
      </c>
      <c r="M1730" t="s">
        <v>483</v>
      </c>
      <c r="N1730" t="s">
        <v>544</v>
      </c>
      <c r="O1730" t="s">
        <v>82</v>
      </c>
      <c r="P1730" t="str">
        <f>"2170714674                    "</f>
        <v xml:space="preserve">2170714674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6.71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 s="4">
        <v>39.42</v>
      </c>
      <c r="BM1730" s="4">
        <v>5.91</v>
      </c>
      <c r="BN1730" s="4">
        <v>45.33</v>
      </c>
      <c r="BO1730" s="4">
        <v>45.33</v>
      </c>
      <c r="BQ1730" t="s">
        <v>545</v>
      </c>
      <c r="BR1730" t="s">
        <v>84</v>
      </c>
      <c r="BS1730" s="3">
        <v>43784</v>
      </c>
      <c r="BT1730" s="5">
        <v>0.5</v>
      </c>
      <c r="BU1730" t="s">
        <v>231</v>
      </c>
      <c r="BV1730" t="s">
        <v>89</v>
      </c>
      <c r="BW1730" t="s">
        <v>319</v>
      </c>
      <c r="BX1730" t="s">
        <v>481</v>
      </c>
      <c r="BY1730">
        <v>1200</v>
      </c>
      <c r="CC1730" t="s">
        <v>483</v>
      </c>
      <c r="CD1730">
        <v>1459</v>
      </c>
      <c r="CE1730" t="s">
        <v>147</v>
      </c>
      <c r="CF1730" s="3">
        <v>43788</v>
      </c>
      <c r="CI1730">
        <v>1</v>
      </c>
      <c r="CJ1730">
        <v>1</v>
      </c>
      <c r="CK1730">
        <v>22</v>
      </c>
      <c r="CL1730" t="s">
        <v>89</v>
      </c>
    </row>
    <row r="1731" spans="1:90">
      <c r="A1731" t="s">
        <v>72</v>
      </c>
      <c r="B1731" t="s">
        <v>73</v>
      </c>
      <c r="C1731" t="s">
        <v>74</v>
      </c>
      <c r="E1731" t="str">
        <f>"FES1162723069"</f>
        <v>FES1162723069</v>
      </c>
      <c r="F1731" s="3">
        <v>43783</v>
      </c>
      <c r="G1731">
        <v>202005</v>
      </c>
      <c r="H1731" t="s">
        <v>75</v>
      </c>
      <c r="I1731" t="s">
        <v>76</v>
      </c>
      <c r="J1731" t="s">
        <v>77</v>
      </c>
      <c r="K1731" t="s">
        <v>78</v>
      </c>
      <c r="L1731" t="s">
        <v>75</v>
      </c>
      <c r="M1731" t="s">
        <v>76</v>
      </c>
      <c r="N1731" t="s">
        <v>360</v>
      </c>
      <c r="O1731" t="s">
        <v>82</v>
      </c>
      <c r="P1731" t="str">
        <f>"2170714551                    "</f>
        <v xml:space="preserve">2170714551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6.71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 s="4">
        <v>39.42</v>
      </c>
      <c r="BM1731" s="4">
        <v>5.91</v>
      </c>
      <c r="BN1731" s="4">
        <v>45.33</v>
      </c>
      <c r="BO1731" s="4">
        <v>45.33</v>
      </c>
      <c r="BQ1731" t="s">
        <v>109</v>
      </c>
      <c r="BR1731" t="s">
        <v>84</v>
      </c>
      <c r="BS1731" s="3">
        <v>43784</v>
      </c>
      <c r="BT1731" s="5">
        <v>0.29236111111111113</v>
      </c>
      <c r="BU1731" t="s">
        <v>2130</v>
      </c>
      <c r="BV1731" t="s">
        <v>86</v>
      </c>
      <c r="BY1731">
        <v>1200</v>
      </c>
      <c r="CA1731" t="s">
        <v>797</v>
      </c>
      <c r="CC1731" t="s">
        <v>76</v>
      </c>
      <c r="CD1731">
        <v>1645</v>
      </c>
      <c r="CE1731" t="s">
        <v>147</v>
      </c>
      <c r="CF1731" s="3">
        <v>43788</v>
      </c>
      <c r="CI1731">
        <v>1</v>
      </c>
      <c r="CJ1731">
        <v>1</v>
      </c>
      <c r="CK1731">
        <v>22</v>
      </c>
      <c r="CL1731" t="s">
        <v>89</v>
      </c>
    </row>
    <row r="1732" spans="1:90">
      <c r="A1732" t="s">
        <v>72</v>
      </c>
      <c r="B1732" t="s">
        <v>73</v>
      </c>
      <c r="C1732" t="s">
        <v>74</v>
      </c>
      <c r="E1732" t="str">
        <f>"FES1162723045"</f>
        <v>FES1162723045</v>
      </c>
      <c r="F1732" s="3">
        <v>43783</v>
      </c>
      <c r="G1732">
        <v>202005</v>
      </c>
      <c r="H1732" t="s">
        <v>75</v>
      </c>
      <c r="I1732" t="s">
        <v>76</v>
      </c>
      <c r="J1732" t="s">
        <v>77</v>
      </c>
      <c r="K1732" t="s">
        <v>78</v>
      </c>
      <c r="L1732" t="s">
        <v>95</v>
      </c>
      <c r="M1732" t="s">
        <v>96</v>
      </c>
      <c r="N1732" t="s">
        <v>557</v>
      </c>
      <c r="O1732" t="s">
        <v>82</v>
      </c>
      <c r="P1732" t="str">
        <f>"2170713343                    "</f>
        <v xml:space="preserve">2170713343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6.71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 s="4">
        <v>39.42</v>
      </c>
      <c r="BM1732" s="4">
        <v>5.91</v>
      </c>
      <c r="BN1732" s="4">
        <v>45.33</v>
      </c>
      <c r="BO1732" s="4">
        <v>45.33</v>
      </c>
      <c r="BQ1732" t="s">
        <v>1819</v>
      </c>
      <c r="BR1732" t="s">
        <v>84</v>
      </c>
      <c r="BS1732" s="3">
        <v>43784</v>
      </c>
      <c r="BT1732" s="5">
        <v>0.34930555555555554</v>
      </c>
      <c r="BU1732" t="s">
        <v>2131</v>
      </c>
      <c r="BV1732" t="s">
        <v>86</v>
      </c>
      <c r="BY1732">
        <v>1200</v>
      </c>
      <c r="CC1732" t="s">
        <v>96</v>
      </c>
      <c r="CD1732">
        <v>1451</v>
      </c>
      <c r="CE1732" t="s">
        <v>147</v>
      </c>
      <c r="CF1732" s="3">
        <v>43788</v>
      </c>
      <c r="CI1732">
        <v>1</v>
      </c>
      <c r="CJ1732">
        <v>1</v>
      </c>
      <c r="CK1732">
        <v>22</v>
      </c>
      <c r="CL1732" t="s">
        <v>89</v>
      </c>
    </row>
    <row r="1733" spans="1:90">
      <c r="A1733" t="s">
        <v>72</v>
      </c>
      <c r="B1733" t="s">
        <v>73</v>
      </c>
      <c r="C1733" t="s">
        <v>74</v>
      </c>
      <c r="E1733" t="str">
        <f>"FES1162723072"</f>
        <v>FES1162723072</v>
      </c>
      <c r="F1733" s="3">
        <v>43783</v>
      </c>
      <c r="G1733">
        <v>202005</v>
      </c>
      <c r="H1733" t="s">
        <v>75</v>
      </c>
      <c r="I1733" t="s">
        <v>76</v>
      </c>
      <c r="J1733" t="s">
        <v>77</v>
      </c>
      <c r="K1733" t="s">
        <v>78</v>
      </c>
      <c r="L1733" t="s">
        <v>75</v>
      </c>
      <c r="M1733" t="s">
        <v>76</v>
      </c>
      <c r="N1733" t="s">
        <v>942</v>
      </c>
      <c r="O1733" t="s">
        <v>82</v>
      </c>
      <c r="P1733" t="str">
        <f>"2170714596                    "</f>
        <v xml:space="preserve">2170714596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6.71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 s="4">
        <v>39.42</v>
      </c>
      <c r="BM1733" s="4">
        <v>5.91</v>
      </c>
      <c r="BN1733" s="4">
        <v>45.33</v>
      </c>
      <c r="BO1733" s="4">
        <v>45.33</v>
      </c>
      <c r="BQ1733" t="s">
        <v>943</v>
      </c>
      <c r="BR1733" t="s">
        <v>84</v>
      </c>
      <c r="BS1733" s="3">
        <v>43784</v>
      </c>
      <c r="BT1733" s="5">
        <v>0.41666666666666669</v>
      </c>
      <c r="BU1733" t="s">
        <v>2132</v>
      </c>
      <c r="BV1733" t="s">
        <v>86</v>
      </c>
      <c r="BY1733">
        <v>1200</v>
      </c>
      <c r="CC1733" t="s">
        <v>76</v>
      </c>
      <c r="CD1733">
        <v>1619</v>
      </c>
      <c r="CE1733" t="s">
        <v>147</v>
      </c>
      <c r="CF1733" s="3">
        <v>43787</v>
      </c>
      <c r="CI1733">
        <v>1</v>
      </c>
      <c r="CJ1733">
        <v>1</v>
      </c>
      <c r="CK1733">
        <v>22</v>
      </c>
      <c r="CL1733" t="s">
        <v>89</v>
      </c>
    </row>
    <row r="1734" spans="1:90">
      <c r="A1734" t="s">
        <v>72</v>
      </c>
      <c r="B1734" t="s">
        <v>73</v>
      </c>
      <c r="C1734" t="s">
        <v>74</v>
      </c>
      <c r="E1734" t="str">
        <f>"FES1162723114"</f>
        <v>FES1162723114</v>
      </c>
      <c r="F1734" s="3">
        <v>43783</v>
      </c>
      <c r="G1734">
        <v>202005</v>
      </c>
      <c r="H1734" t="s">
        <v>75</v>
      </c>
      <c r="I1734" t="s">
        <v>76</v>
      </c>
      <c r="J1734" t="s">
        <v>77</v>
      </c>
      <c r="K1734" t="s">
        <v>78</v>
      </c>
      <c r="L1734" t="s">
        <v>691</v>
      </c>
      <c r="M1734" t="s">
        <v>692</v>
      </c>
      <c r="N1734" t="s">
        <v>521</v>
      </c>
      <c r="O1734" t="s">
        <v>82</v>
      </c>
      <c r="P1734" t="str">
        <f>"2170717128                    "</f>
        <v xml:space="preserve">2170717128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6.71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 s="4">
        <v>39.42</v>
      </c>
      <c r="BM1734" s="4">
        <v>5.91</v>
      </c>
      <c r="BN1734" s="4">
        <v>45.33</v>
      </c>
      <c r="BO1734" s="4">
        <v>45.33</v>
      </c>
      <c r="BQ1734" t="s">
        <v>109</v>
      </c>
      <c r="BR1734" t="s">
        <v>84</v>
      </c>
      <c r="BS1734" s="3">
        <v>43784</v>
      </c>
      <c r="BT1734" s="5">
        <v>0.4375</v>
      </c>
      <c r="BU1734" t="s">
        <v>2133</v>
      </c>
      <c r="BV1734" t="s">
        <v>86</v>
      </c>
      <c r="BY1734">
        <v>1200</v>
      </c>
      <c r="CC1734" t="s">
        <v>692</v>
      </c>
      <c r="CD1734">
        <v>1559</v>
      </c>
      <c r="CE1734" t="s">
        <v>147</v>
      </c>
      <c r="CF1734" s="3">
        <v>43788</v>
      </c>
      <c r="CI1734">
        <v>1</v>
      </c>
      <c r="CJ1734">
        <v>1</v>
      </c>
      <c r="CK1734">
        <v>22</v>
      </c>
      <c r="CL1734" t="s">
        <v>89</v>
      </c>
    </row>
    <row r="1735" spans="1:90">
      <c r="A1735" t="s">
        <v>72</v>
      </c>
      <c r="B1735" t="s">
        <v>73</v>
      </c>
      <c r="C1735" t="s">
        <v>74</v>
      </c>
      <c r="E1735" t="str">
        <f>"FES1162723166"</f>
        <v>FES1162723166</v>
      </c>
      <c r="F1735" s="3">
        <v>43783</v>
      </c>
      <c r="G1735">
        <v>202005</v>
      </c>
      <c r="H1735" t="s">
        <v>75</v>
      </c>
      <c r="I1735" t="s">
        <v>76</v>
      </c>
      <c r="J1735" t="s">
        <v>77</v>
      </c>
      <c r="K1735" t="s">
        <v>78</v>
      </c>
      <c r="L1735" t="s">
        <v>106</v>
      </c>
      <c r="M1735" t="s">
        <v>107</v>
      </c>
      <c r="N1735" t="s">
        <v>242</v>
      </c>
      <c r="O1735" t="s">
        <v>82</v>
      </c>
      <c r="P1735" t="str">
        <f>"2170717192                    "</f>
        <v xml:space="preserve">2170717192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8.58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 s="4">
        <v>50.45</v>
      </c>
      <c r="BM1735" s="4">
        <v>7.57</v>
      </c>
      <c r="BN1735" s="4">
        <v>58.02</v>
      </c>
      <c r="BO1735" s="4">
        <v>58.02</v>
      </c>
      <c r="BQ1735" t="s">
        <v>109</v>
      </c>
      <c r="BR1735" t="s">
        <v>84</v>
      </c>
      <c r="BS1735" s="3">
        <v>43784</v>
      </c>
      <c r="BT1735" s="5">
        <v>0.39583333333333331</v>
      </c>
      <c r="BU1735" t="s">
        <v>243</v>
      </c>
      <c r="BV1735" t="s">
        <v>86</v>
      </c>
      <c r="BY1735">
        <v>1200</v>
      </c>
      <c r="CA1735" t="s">
        <v>244</v>
      </c>
      <c r="CC1735" t="s">
        <v>107</v>
      </c>
      <c r="CD1735">
        <v>6001</v>
      </c>
      <c r="CE1735" t="s">
        <v>147</v>
      </c>
      <c r="CF1735" s="3">
        <v>43787</v>
      </c>
      <c r="CI1735">
        <v>1</v>
      </c>
      <c r="CJ1735">
        <v>1</v>
      </c>
      <c r="CK1735">
        <v>21</v>
      </c>
      <c r="CL1735" t="s">
        <v>89</v>
      </c>
    </row>
    <row r="1736" spans="1:90">
      <c r="A1736" t="s">
        <v>72</v>
      </c>
      <c r="B1736" t="s">
        <v>73</v>
      </c>
      <c r="C1736" t="s">
        <v>74</v>
      </c>
      <c r="E1736" t="str">
        <f>"FES1162723111"</f>
        <v>FES1162723111</v>
      </c>
      <c r="F1736" s="3">
        <v>43783</v>
      </c>
      <c r="G1736">
        <v>202005</v>
      </c>
      <c r="H1736" t="s">
        <v>75</v>
      </c>
      <c r="I1736" t="s">
        <v>76</v>
      </c>
      <c r="J1736" t="s">
        <v>77</v>
      </c>
      <c r="K1736" t="s">
        <v>78</v>
      </c>
      <c r="L1736" t="s">
        <v>691</v>
      </c>
      <c r="M1736" t="s">
        <v>692</v>
      </c>
      <c r="N1736" t="s">
        <v>521</v>
      </c>
      <c r="O1736" t="s">
        <v>82</v>
      </c>
      <c r="P1736" t="str">
        <f>"2170717126                    "</f>
        <v xml:space="preserve">2170717126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6.71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 s="4">
        <v>39.42</v>
      </c>
      <c r="BM1736" s="4">
        <v>5.91</v>
      </c>
      <c r="BN1736" s="4">
        <v>45.33</v>
      </c>
      <c r="BO1736" s="4">
        <v>45.33</v>
      </c>
      <c r="BQ1736" t="s">
        <v>109</v>
      </c>
      <c r="BR1736" t="s">
        <v>84</v>
      </c>
      <c r="BS1736" s="3">
        <v>43784</v>
      </c>
      <c r="BT1736" s="5">
        <v>0.4375</v>
      </c>
      <c r="BU1736" t="s">
        <v>2133</v>
      </c>
      <c r="BV1736" t="s">
        <v>86</v>
      </c>
      <c r="BY1736">
        <v>1200</v>
      </c>
      <c r="CC1736" t="s">
        <v>692</v>
      </c>
      <c r="CD1736">
        <v>1559</v>
      </c>
      <c r="CE1736" t="s">
        <v>147</v>
      </c>
      <c r="CF1736" s="3">
        <v>43788</v>
      </c>
      <c r="CI1736">
        <v>1</v>
      </c>
      <c r="CJ1736">
        <v>1</v>
      </c>
      <c r="CK1736">
        <v>22</v>
      </c>
      <c r="CL1736" t="s">
        <v>89</v>
      </c>
    </row>
    <row r="1737" spans="1:90">
      <c r="A1737" t="s">
        <v>72</v>
      </c>
      <c r="B1737" t="s">
        <v>73</v>
      </c>
      <c r="C1737" t="s">
        <v>74</v>
      </c>
      <c r="E1737" t="str">
        <f>"FES1162723101"</f>
        <v>FES1162723101</v>
      </c>
      <c r="F1737" s="3">
        <v>43783</v>
      </c>
      <c r="G1737">
        <v>202005</v>
      </c>
      <c r="H1737" t="s">
        <v>75</v>
      </c>
      <c r="I1737" t="s">
        <v>76</v>
      </c>
      <c r="J1737" t="s">
        <v>77</v>
      </c>
      <c r="K1737" t="s">
        <v>78</v>
      </c>
      <c r="L1737" t="s">
        <v>522</v>
      </c>
      <c r="M1737" t="s">
        <v>523</v>
      </c>
      <c r="N1737" t="s">
        <v>524</v>
      </c>
      <c r="O1737" t="s">
        <v>82</v>
      </c>
      <c r="P1737" t="str">
        <f>"2170716828                    "</f>
        <v xml:space="preserve">2170716828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16.63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 s="4">
        <v>97.75</v>
      </c>
      <c r="BM1737" s="4">
        <v>14.66</v>
      </c>
      <c r="BN1737" s="4">
        <v>112.41</v>
      </c>
      <c r="BO1737" s="4">
        <v>112.41</v>
      </c>
      <c r="BQ1737" t="s">
        <v>109</v>
      </c>
      <c r="BR1737" t="s">
        <v>84</v>
      </c>
      <c r="BS1737" s="3">
        <v>43784</v>
      </c>
      <c r="BT1737" s="5">
        <v>0.33333333333333331</v>
      </c>
      <c r="BU1737" t="s">
        <v>684</v>
      </c>
      <c r="BV1737" t="s">
        <v>86</v>
      </c>
      <c r="BY1737">
        <v>1200</v>
      </c>
      <c r="CA1737" t="s">
        <v>526</v>
      </c>
      <c r="CC1737" t="s">
        <v>523</v>
      </c>
      <c r="CD1737">
        <v>1900</v>
      </c>
      <c r="CE1737" t="s">
        <v>147</v>
      </c>
      <c r="CF1737" s="3">
        <v>43787</v>
      </c>
      <c r="CI1737">
        <v>1</v>
      </c>
      <c r="CJ1737">
        <v>1</v>
      </c>
      <c r="CK1737">
        <v>23</v>
      </c>
      <c r="CL1737" t="s">
        <v>89</v>
      </c>
    </row>
    <row r="1738" spans="1:90">
      <c r="A1738" t="s">
        <v>72</v>
      </c>
      <c r="B1738" t="s">
        <v>73</v>
      </c>
      <c r="C1738" t="s">
        <v>74</v>
      </c>
      <c r="E1738" t="str">
        <f>"FES1162723050"</f>
        <v>FES1162723050</v>
      </c>
      <c r="F1738" s="3">
        <v>43783</v>
      </c>
      <c r="G1738">
        <v>202005</v>
      </c>
      <c r="H1738" t="s">
        <v>75</v>
      </c>
      <c r="I1738" t="s">
        <v>76</v>
      </c>
      <c r="J1738" t="s">
        <v>77</v>
      </c>
      <c r="K1738" t="s">
        <v>78</v>
      </c>
      <c r="L1738" t="s">
        <v>482</v>
      </c>
      <c r="M1738" t="s">
        <v>483</v>
      </c>
      <c r="N1738" t="s">
        <v>1054</v>
      </c>
      <c r="O1738" t="s">
        <v>82</v>
      </c>
      <c r="P1738" t="str">
        <f>"2170714178                    "</f>
        <v xml:space="preserve">2170714178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7.51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1.1000000000000001</v>
      </c>
      <c r="BJ1738">
        <v>2.2000000000000002</v>
      </c>
      <c r="BK1738">
        <v>2.5</v>
      </c>
      <c r="BL1738" s="4">
        <v>44.14</v>
      </c>
      <c r="BM1738" s="4">
        <v>6.62</v>
      </c>
      <c r="BN1738" s="4">
        <v>50.76</v>
      </c>
      <c r="BO1738" s="4">
        <v>50.76</v>
      </c>
      <c r="BQ1738" t="s">
        <v>109</v>
      </c>
      <c r="BR1738" t="s">
        <v>84</v>
      </c>
      <c r="BS1738" s="3">
        <v>43784</v>
      </c>
      <c r="BT1738" s="5">
        <v>0.35000000000000003</v>
      </c>
      <c r="BU1738" t="s">
        <v>1620</v>
      </c>
      <c r="BV1738" t="s">
        <v>86</v>
      </c>
      <c r="BY1738">
        <v>10898.86</v>
      </c>
      <c r="CA1738" t="s">
        <v>486</v>
      </c>
      <c r="CC1738" t="s">
        <v>483</v>
      </c>
      <c r="CD1738">
        <v>1459</v>
      </c>
      <c r="CE1738" t="s">
        <v>147</v>
      </c>
      <c r="CF1738" s="3">
        <v>43787</v>
      </c>
      <c r="CI1738">
        <v>1</v>
      </c>
      <c r="CJ1738">
        <v>1</v>
      </c>
      <c r="CK1738">
        <v>22</v>
      </c>
      <c r="CL1738" t="s">
        <v>89</v>
      </c>
    </row>
    <row r="1739" spans="1:90">
      <c r="A1739" t="s">
        <v>72</v>
      </c>
      <c r="B1739" t="s">
        <v>73</v>
      </c>
      <c r="C1739" t="s">
        <v>74</v>
      </c>
      <c r="E1739" t="str">
        <f>"FES1162723054"</f>
        <v>FES1162723054</v>
      </c>
      <c r="F1739" s="3">
        <v>43783</v>
      </c>
      <c r="G1739">
        <v>202005</v>
      </c>
      <c r="H1739" t="s">
        <v>75</v>
      </c>
      <c r="I1739" t="s">
        <v>76</v>
      </c>
      <c r="J1739" t="s">
        <v>77</v>
      </c>
      <c r="K1739" t="s">
        <v>78</v>
      </c>
      <c r="L1739" t="s">
        <v>482</v>
      </c>
      <c r="M1739" t="s">
        <v>483</v>
      </c>
      <c r="N1739" t="s">
        <v>1054</v>
      </c>
      <c r="O1739" t="s">
        <v>82</v>
      </c>
      <c r="P1739" t="str">
        <f>"2170714286                    "</f>
        <v xml:space="preserve">2170714286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6.71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1.1000000000000001</v>
      </c>
      <c r="BJ1739">
        <v>1.8</v>
      </c>
      <c r="BK1739">
        <v>2</v>
      </c>
      <c r="BL1739" s="4">
        <v>39.42</v>
      </c>
      <c r="BM1739" s="4">
        <v>5.91</v>
      </c>
      <c r="BN1739" s="4">
        <v>45.33</v>
      </c>
      <c r="BO1739" s="4">
        <v>45.33</v>
      </c>
      <c r="BQ1739" t="s">
        <v>109</v>
      </c>
      <c r="BR1739" t="s">
        <v>84</v>
      </c>
      <c r="BS1739" s="3">
        <v>43784</v>
      </c>
      <c r="BT1739" s="5">
        <v>0.35000000000000003</v>
      </c>
      <c r="BU1739" t="s">
        <v>1620</v>
      </c>
      <c r="BV1739" t="s">
        <v>86</v>
      </c>
      <c r="BY1739">
        <v>9065.15</v>
      </c>
      <c r="CA1739" t="s">
        <v>486</v>
      </c>
      <c r="CC1739" t="s">
        <v>483</v>
      </c>
      <c r="CD1739">
        <v>1459</v>
      </c>
      <c r="CE1739" t="s">
        <v>147</v>
      </c>
      <c r="CF1739" s="3">
        <v>43787</v>
      </c>
      <c r="CI1739">
        <v>1</v>
      </c>
      <c r="CJ1739">
        <v>1</v>
      </c>
      <c r="CK1739">
        <v>22</v>
      </c>
      <c r="CL1739" t="s">
        <v>89</v>
      </c>
    </row>
    <row r="1740" spans="1:90">
      <c r="A1740" t="s">
        <v>72</v>
      </c>
      <c r="B1740" t="s">
        <v>73</v>
      </c>
      <c r="C1740" t="s">
        <v>74</v>
      </c>
      <c r="E1740" t="str">
        <f>"FES1162723109"</f>
        <v>FES1162723109</v>
      </c>
      <c r="F1740" s="3">
        <v>43783</v>
      </c>
      <c r="G1740">
        <v>202005</v>
      </c>
      <c r="H1740" t="s">
        <v>75</v>
      </c>
      <c r="I1740" t="s">
        <v>76</v>
      </c>
      <c r="J1740" t="s">
        <v>77</v>
      </c>
      <c r="K1740" t="s">
        <v>78</v>
      </c>
      <c r="L1740" t="s">
        <v>225</v>
      </c>
      <c r="M1740" t="s">
        <v>226</v>
      </c>
      <c r="N1740" t="s">
        <v>1977</v>
      </c>
      <c r="O1740" t="s">
        <v>82</v>
      </c>
      <c r="P1740" t="str">
        <f>"2170717121                    "</f>
        <v xml:space="preserve">2170717121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8.58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 s="4">
        <v>50.45</v>
      </c>
      <c r="BM1740" s="4">
        <v>7.57</v>
      </c>
      <c r="BN1740" s="4">
        <v>58.02</v>
      </c>
      <c r="BO1740" s="4">
        <v>58.02</v>
      </c>
      <c r="BQ1740" t="s">
        <v>337</v>
      </c>
      <c r="BR1740" t="s">
        <v>84</v>
      </c>
      <c r="BS1740" s="3">
        <v>43784</v>
      </c>
      <c r="BT1740" s="5">
        <v>0.35694444444444445</v>
      </c>
      <c r="BU1740" t="s">
        <v>2134</v>
      </c>
      <c r="BV1740" t="s">
        <v>86</v>
      </c>
      <c r="BY1740">
        <v>1200</v>
      </c>
      <c r="CA1740" t="s">
        <v>255</v>
      </c>
      <c r="CC1740" t="s">
        <v>226</v>
      </c>
      <c r="CD1740">
        <v>4026</v>
      </c>
      <c r="CE1740" t="s">
        <v>147</v>
      </c>
      <c r="CF1740" s="3">
        <v>43787</v>
      </c>
      <c r="CI1740">
        <v>1</v>
      </c>
      <c r="CJ1740">
        <v>1</v>
      </c>
      <c r="CK1740">
        <v>21</v>
      </c>
      <c r="CL1740" t="s">
        <v>89</v>
      </c>
    </row>
    <row r="1741" spans="1:90">
      <c r="A1741" t="s">
        <v>72</v>
      </c>
      <c r="B1741" t="s">
        <v>73</v>
      </c>
      <c r="C1741" t="s">
        <v>74</v>
      </c>
      <c r="E1741" t="str">
        <f>"FES1162723077"</f>
        <v>FES1162723077</v>
      </c>
      <c r="F1741" s="3">
        <v>43783</v>
      </c>
      <c r="G1741">
        <v>202005</v>
      </c>
      <c r="H1741" t="s">
        <v>75</v>
      </c>
      <c r="I1741" t="s">
        <v>76</v>
      </c>
      <c r="J1741" t="s">
        <v>77</v>
      </c>
      <c r="K1741" t="s">
        <v>78</v>
      </c>
      <c r="L1741" t="s">
        <v>112</v>
      </c>
      <c r="M1741" t="s">
        <v>113</v>
      </c>
      <c r="N1741" t="s">
        <v>1972</v>
      </c>
      <c r="O1741" t="s">
        <v>82</v>
      </c>
      <c r="P1741" t="str">
        <f>"2170714695                    "</f>
        <v xml:space="preserve">2170714695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8.58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 s="4">
        <v>50.45</v>
      </c>
      <c r="BM1741" s="4">
        <v>7.57</v>
      </c>
      <c r="BN1741" s="4">
        <v>58.02</v>
      </c>
      <c r="BO1741" s="4">
        <v>58.02</v>
      </c>
      <c r="BQ1741" t="s">
        <v>121</v>
      </c>
      <c r="BR1741" t="s">
        <v>84</v>
      </c>
      <c r="BS1741" s="3">
        <v>43784</v>
      </c>
      <c r="BT1741" s="5">
        <v>0.42499999999999999</v>
      </c>
      <c r="BU1741" t="s">
        <v>1018</v>
      </c>
      <c r="BV1741" t="s">
        <v>86</v>
      </c>
      <c r="BY1741">
        <v>1200</v>
      </c>
      <c r="CA1741" t="s">
        <v>229</v>
      </c>
      <c r="CC1741" t="s">
        <v>113</v>
      </c>
      <c r="CD1741">
        <v>4052</v>
      </c>
      <c r="CE1741" t="s">
        <v>147</v>
      </c>
      <c r="CF1741" s="3">
        <v>43787</v>
      </c>
      <c r="CI1741">
        <v>1</v>
      </c>
      <c r="CJ1741">
        <v>1</v>
      </c>
      <c r="CK1741">
        <v>21</v>
      </c>
      <c r="CL1741" t="s">
        <v>89</v>
      </c>
    </row>
    <row r="1742" spans="1:90">
      <c r="A1742" t="s">
        <v>72</v>
      </c>
      <c r="B1742" t="s">
        <v>73</v>
      </c>
      <c r="C1742" t="s">
        <v>74</v>
      </c>
      <c r="E1742" t="str">
        <f>"FES1162723076"</f>
        <v>FES1162723076</v>
      </c>
      <c r="F1742" s="3">
        <v>43783</v>
      </c>
      <c r="G1742">
        <v>202005</v>
      </c>
      <c r="H1742" t="s">
        <v>75</v>
      </c>
      <c r="I1742" t="s">
        <v>76</v>
      </c>
      <c r="J1742" t="s">
        <v>77</v>
      </c>
      <c r="K1742" t="s">
        <v>78</v>
      </c>
      <c r="L1742" t="s">
        <v>112</v>
      </c>
      <c r="M1742" t="s">
        <v>113</v>
      </c>
      <c r="N1742" t="s">
        <v>326</v>
      </c>
      <c r="O1742" t="s">
        <v>82</v>
      </c>
      <c r="P1742" t="str">
        <f>"2170714676                    "</f>
        <v xml:space="preserve">2170714676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8.58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 s="4">
        <v>50.45</v>
      </c>
      <c r="BM1742" s="4">
        <v>7.57</v>
      </c>
      <c r="BN1742" s="4">
        <v>58.02</v>
      </c>
      <c r="BO1742" s="4">
        <v>58.02</v>
      </c>
      <c r="BQ1742" t="s">
        <v>337</v>
      </c>
      <c r="BR1742" t="s">
        <v>84</v>
      </c>
      <c r="BS1742" s="3">
        <v>43784</v>
      </c>
      <c r="BT1742" s="5">
        <v>0.38125000000000003</v>
      </c>
      <c r="BU1742" t="s">
        <v>2135</v>
      </c>
      <c r="BV1742" t="s">
        <v>86</v>
      </c>
      <c r="BY1742">
        <v>1200</v>
      </c>
      <c r="CA1742" t="s">
        <v>428</v>
      </c>
      <c r="CC1742" t="s">
        <v>113</v>
      </c>
      <c r="CD1742">
        <v>4052</v>
      </c>
      <c r="CE1742" t="s">
        <v>147</v>
      </c>
      <c r="CF1742" s="3">
        <v>43787</v>
      </c>
      <c r="CI1742">
        <v>1</v>
      </c>
      <c r="CJ1742">
        <v>1</v>
      </c>
      <c r="CK1742">
        <v>21</v>
      </c>
      <c r="CL1742" t="s">
        <v>89</v>
      </c>
    </row>
    <row r="1743" spans="1:90">
      <c r="A1743" t="s">
        <v>72</v>
      </c>
      <c r="B1743" t="s">
        <v>73</v>
      </c>
      <c r="C1743" t="s">
        <v>74</v>
      </c>
      <c r="E1743" t="str">
        <f>"FES1162723082"</f>
        <v>FES1162723082</v>
      </c>
      <c r="F1743" s="3">
        <v>43783</v>
      </c>
      <c r="G1743">
        <v>202005</v>
      </c>
      <c r="H1743" t="s">
        <v>75</v>
      </c>
      <c r="I1743" t="s">
        <v>76</v>
      </c>
      <c r="J1743" t="s">
        <v>77</v>
      </c>
      <c r="K1743" t="s">
        <v>78</v>
      </c>
      <c r="L1743" t="s">
        <v>1268</v>
      </c>
      <c r="M1743" t="s">
        <v>1269</v>
      </c>
      <c r="N1743" t="s">
        <v>1270</v>
      </c>
      <c r="O1743" t="s">
        <v>82</v>
      </c>
      <c r="P1743" t="str">
        <f>"2170714752                    "</f>
        <v xml:space="preserve">2170714752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8.58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 s="4">
        <v>50.45</v>
      </c>
      <c r="BM1743" s="4">
        <v>7.57</v>
      </c>
      <c r="BN1743" s="4">
        <v>58.02</v>
      </c>
      <c r="BO1743" s="4">
        <v>58.02</v>
      </c>
      <c r="BQ1743" t="s">
        <v>109</v>
      </c>
      <c r="BR1743" t="s">
        <v>84</v>
      </c>
      <c r="BS1743" s="3">
        <v>43784</v>
      </c>
      <c r="BT1743" s="5">
        <v>0.4826388888888889</v>
      </c>
      <c r="BU1743" t="s">
        <v>1271</v>
      </c>
      <c r="BV1743" t="s">
        <v>86</v>
      </c>
      <c r="BY1743">
        <v>1200</v>
      </c>
      <c r="CA1743" t="s">
        <v>1215</v>
      </c>
      <c r="CC1743" t="s">
        <v>1269</v>
      </c>
      <c r="CD1743">
        <v>3290</v>
      </c>
      <c r="CE1743" t="s">
        <v>147</v>
      </c>
      <c r="CF1743" s="3">
        <v>43787</v>
      </c>
      <c r="CI1743">
        <v>1</v>
      </c>
      <c r="CJ1743">
        <v>1</v>
      </c>
      <c r="CK1743">
        <v>21</v>
      </c>
      <c r="CL1743" t="s">
        <v>89</v>
      </c>
    </row>
    <row r="1744" spans="1:90">
      <c r="A1744" t="s">
        <v>72</v>
      </c>
      <c r="B1744" t="s">
        <v>73</v>
      </c>
      <c r="C1744" t="s">
        <v>74</v>
      </c>
      <c r="E1744" t="str">
        <f>"FES1162723165"</f>
        <v>FES1162723165</v>
      </c>
      <c r="F1744" s="3">
        <v>43783</v>
      </c>
      <c r="G1744">
        <v>202005</v>
      </c>
      <c r="H1744" t="s">
        <v>75</v>
      </c>
      <c r="I1744" t="s">
        <v>76</v>
      </c>
      <c r="J1744" t="s">
        <v>77</v>
      </c>
      <c r="K1744" t="s">
        <v>78</v>
      </c>
      <c r="L1744" t="s">
        <v>176</v>
      </c>
      <c r="M1744" t="s">
        <v>177</v>
      </c>
      <c r="N1744" t="s">
        <v>178</v>
      </c>
      <c r="O1744" t="s">
        <v>82</v>
      </c>
      <c r="P1744" t="str">
        <f>"2170717191                    "</f>
        <v xml:space="preserve">2170717191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8.58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 s="4">
        <v>50.45</v>
      </c>
      <c r="BM1744" s="4">
        <v>7.57</v>
      </c>
      <c r="BN1744" s="4">
        <v>58.02</v>
      </c>
      <c r="BO1744" s="4">
        <v>58.02</v>
      </c>
      <c r="BQ1744" t="s">
        <v>142</v>
      </c>
      <c r="BR1744" t="s">
        <v>84</v>
      </c>
      <c r="BS1744" s="3">
        <v>43784</v>
      </c>
      <c r="BT1744" s="5">
        <v>0.35347222222222219</v>
      </c>
      <c r="BU1744" t="s">
        <v>179</v>
      </c>
      <c r="BV1744" t="s">
        <v>86</v>
      </c>
      <c r="BY1744">
        <v>1200</v>
      </c>
      <c r="CA1744" t="s">
        <v>180</v>
      </c>
      <c r="CC1744" t="s">
        <v>177</v>
      </c>
      <c r="CD1744">
        <v>3610</v>
      </c>
      <c r="CE1744" t="s">
        <v>147</v>
      </c>
      <c r="CF1744" s="3">
        <v>43787</v>
      </c>
      <c r="CI1744">
        <v>1</v>
      </c>
      <c r="CJ1744">
        <v>1</v>
      </c>
      <c r="CK1744">
        <v>21</v>
      </c>
      <c r="CL1744" t="s">
        <v>89</v>
      </c>
    </row>
    <row r="1745" spans="1:90">
      <c r="A1745" t="s">
        <v>72</v>
      </c>
      <c r="B1745" t="s">
        <v>73</v>
      </c>
      <c r="C1745" t="s">
        <v>74</v>
      </c>
      <c r="E1745" t="str">
        <f>"FES1162723115"</f>
        <v>FES1162723115</v>
      </c>
      <c r="F1745" s="3">
        <v>43783</v>
      </c>
      <c r="G1745">
        <v>202005</v>
      </c>
      <c r="H1745" t="s">
        <v>75</v>
      </c>
      <c r="I1745" t="s">
        <v>76</v>
      </c>
      <c r="J1745" t="s">
        <v>77</v>
      </c>
      <c r="K1745" t="s">
        <v>78</v>
      </c>
      <c r="L1745" t="s">
        <v>1268</v>
      </c>
      <c r="M1745" t="s">
        <v>1269</v>
      </c>
      <c r="N1745" t="s">
        <v>1270</v>
      </c>
      <c r="O1745" t="s">
        <v>82</v>
      </c>
      <c r="P1745" t="str">
        <f>"2170717129                    "</f>
        <v xml:space="preserve">2170717129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8.58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 s="4">
        <v>50.45</v>
      </c>
      <c r="BM1745" s="4">
        <v>7.57</v>
      </c>
      <c r="BN1745" s="4">
        <v>58.02</v>
      </c>
      <c r="BO1745" s="4">
        <v>58.02</v>
      </c>
      <c r="BQ1745" t="s">
        <v>109</v>
      </c>
      <c r="BR1745" t="s">
        <v>84</v>
      </c>
      <c r="BS1745" s="3">
        <v>43784</v>
      </c>
      <c r="BT1745" s="5">
        <v>0.4826388888888889</v>
      </c>
      <c r="BU1745" t="s">
        <v>1271</v>
      </c>
      <c r="BV1745" t="s">
        <v>86</v>
      </c>
      <c r="BY1745">
        <v>1200</v>
      </c>
      <c r="CA1745" t="s">
        <v>1215</v>
      </c>
      <c r="CC1745" t="s">
        <v>1269</v>
      </c>
      <c r="CD1745">
        <v>3290</v>
      </c>
      <c r="CE1745" t="s">
        <v>147</v>
      </c>
      <c r="CF1745" s="3">
        <v>43787</v>
      </c>
      <c r="CI1745">
        <v>1</v>
      </c>
      <c r="CJ1745">
        <v>1</v>
      </c>
      <c r="CK1745">
        <v>21</v>
      </c>
      <c r="CL1745" t="s">
        <v>89</v>
      </c>
    </row>
    <row r="1746" spans="1:90">
      <c r="A1746" t="s">
        <v>72</v>
      </c>
      <c r="B1746" t="s">
        <v>73</v>
      </c>
      <c r="C1746" t="s">
        <v>74</v>
      </c>
      <c r="E1746" t="str">
        <f>"FES1162723164"</f>
        <v>FES1162723164</v>
      </c>
      <c r="F1746" s="3">
        <v>43783</v>
      </c>
      <c r="G1746">
        <v>202005</v>
      </c>
      <c r="H1746" t="s">
        <v>75</v>
      </c>
      <c r="I1746" t="s">
        <v>76</v>
      </c>
      <c r="J1746" t="s">
        <v>77</v>
      </c>
      <c r="K1746" t="s">
        <v>78</v>
      </c>
      <c r="L1746" t="s">
        <v>176</v>
      </c>
      <c r="M1746" t="s">
        <v>177</v>
      </c>
      <c r="N1746" t="s">
        <v>178</v>
      </c>
      <c r="O1746" t="s">
        <v>82</v>
      </c>
      <c r="P1746" t="str">
        <f>"2170717189                    "</f>
        <v xml:space="preserve">2170717189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8.58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 s="4">
        <v>50.45</v>
      </c>
      <c r="BM1746" s="4">
        <v>7.57</v>
      </c>
      <c r="BN1746" s="4">
        <v>58.02</v>
      </c>
      <c r="BO1746" s="4">
        <v>58.02</v>
      </c>
      <c r="BQ1746" t="s">
        <v>142</v>
      </c>
      <c r="BR1746" t="s">
        <v>84</v>
      </c>
      <c r="BS1746" s="3">
        <v>43784</v>
      </c>
      <c r="BT1746" s="5">
        <v>0.35416666666666669</v>
      </c>
      <c r="BU1746" t="s">
        <v>179</v>
      </c>
      <c r="BV1746" t="s">
        <v>86</v>
      </c>
      <c r="BY1746">
        <v>1200</v>
      </c>
      <c r="CA1746" t="s">
        <v>180</v>
      </c>
      <c r="CC1746" t="s">
        <v>177</v>
      </c>
      <c r="CD1746">
        <v>3610</v>
      </c>
      <c r="CE1746" t="s">
        <v>147</v>
      </c>
      <c r="CF1746" s="3">
        <v>43787</v>
      </c>
      <c r="CI1746">
        <v>1</v>
      </c>
      <c r="CJ1746">
        <v>1</v>
      </c>
      <c r="CK1746">
        <v>21</v>
      </c>
      <c r="CL1746" t="s">
        <v>89</v>
      </c>
    </row>
    <row r="1747" spans="1:90">
      <c r="A1747" t="s">
        <v>72</v>
      </c>
      <c r="B1747" t="s">
        <v>73</v>
      </c>
      <c r="C1747" t="s">
        <v>74</v>
      </c>
      <c r="E1747" t="str">
        <f>"FES1162723149"</f>
        <v>FES1162723149</v>
      </c>
      <c r="F1747" s="3">
        <v>43783</v>
      </c>
      <c r="G1747">
        <v>202005</v>
      </c>
      <c r="H1747" t="s">
        <v>75</v>
      </c>
      <c r="I1747" t="s">
        <v>76</v>
      </c>
      <c r="J1747" t="s">
        <v>77</v>
      </c>
      <c r="K1747" t="s">
        <v>78</v>
      </c>
      <c r="L1747" t="s">
        <v>95</v>
      </c>
      <c r="M1747" t="s">
        <v>96</v>
      </c>
      <c r="N1747" t="s">
        <v>2136</v>
      </c>
      <c r="O1747" t="s">
        <v>82</v>
      </c>
      <c r="P1747" t="str">
        <f>"2170717166                    "</f>
        <v xml:space="preserve">2170717166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7.51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0.9</v>
      </c>
      <c r="BJ1747">
        <v>2.2999999999999998</v>
      </c>
      <c r="BK1747">
        <v>2.5</v>
      </c>
      <c r="BL1747" s="4">
        <v>44.14</v>
      </c>
      <c r="BM1747" s="4">
        <v>6.62</v>
      </c>
      <c r="BN1747" s="4">
        <v>50.76</v>
      </c>
      <c r="BO1747" s="4">
        <v>50.76</v>
      </c>
      <c r="BQ1747" t="s">
        <v>2137</v>
      </c>
      <c r="BR1747" t="s">
        <v>84</v>
      </c>
      <c r="BS1747" s="3">
        <v>43784</v>
      </c>
      <c r="BT1747" s="5">
        <v>0.33958333333333335</v>
      </c>
      <c r="BU1747" t="s">
        <v>231</v>
      </c>
      <c r="BV1747" t="s">
        <v>86</v>
      </c>
      <c r="BY1747">
        <v>11563.02</v>
      </c>
      <c r="CC1747" t="s">
        <v>96</v>
      </c>
      <c r="CD1747">
        <v>1451</v>
      </c>
      <c r="CE1747" t="s">
        <v>147</v>
      </c>
      <c r="CF1747" s="3">
        <v>43788</v>
      </c>
      <c r="CI1747">
        <v>1</v>
      </c>
      <c r="CJ1747">
        <v>1</v>
      </c>
      <c r="CK1747">
        <v>22</v>
      </c>
      <c r="CL1747" t="s">
        <v>89</v>
      </c>
    </row>
    <row r="1748" spans="1:90">
      <c r="A1748" t="s">
        <v>72</v>
      </c>
      <c r="B1748" t="s">
        <v>73</v>
      </c>
      <c r="C1748" t="s">
        <v>74</v>
      </c>
      <c r="E1748" t="str">
        <f>"FES1162723055"</f>
        <v>FES1162723055</v>
      </c>
      <c r="F1748" s="3">
        <v>43783</v>
      </c>
      <c r="G1748">
        <v>202005</v>
      </c>
      <c r="H1748" t="s">
        <v>75</v>
      </c>
      <c r="I1748" t="s">
        <v>76</v>
      </c>
      <c r="J1748" t="s">
        <v>77</v>
      </c>
      <c r="K1748" t="s">
        <v>78</v>
      </c>
      <c r="L1748" t="s">
        <v>106</v>
      </c>
      <c r="M1748" t="s">
        <v>107</v>
      </c>
      <c r="N1748" t="s">
        <v>324</v>
      </c>
      <c r="O1748" t="s">
        <v>82</v>
      </c>
      <c r="P1748" t="str">
        <f>"2170714316                    "</f>
        <v xml:space="preserve">2170714316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23.59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5.5</v>
      </c>
      <c r="BJ1748">
        <v>1.7</v>
      </c>
      <c r="BK1748">
        <v>5.5</v>
      </c>
      <c r="BL1748" s="4">
        <v>138.68</v>
      </c>
      <c r="BM1748" s="4">
        <v>20.8</v>
      </c>
      <c r="BN1748" s="4">
        <v>159.47999999999999</v>
      </c>
      <c r="BO1748" s="4">
        <v>159.47999999999999</v>
      </c>
      <c r="BQ1748" t="s">
        <v>121</v>
      </c>
      <c r="BR1748" t="s">
        <v>84</v>
      </c>
      <c r="BS1748" s="3">
        <v>43784</v>
      </c>
      <c r="BT1748" s="5">
        <v>0.34652777777777777</v>
      </c>
      <c r="BU1748" t="s">
        <v>325</v>
      </c>
      <c r="BV1748" t="s">
        <v>86</v>
      </c>
      <c r="BY1748">
        <v>8569.09</v>
      </c>
      <c r="CA1748" t="s">
        <v>111</v>
      </c>
      <c r="CC1748" t="s">
        <v>107</v>
      </c>
      <c r="CD1748">
        <v>6001</v>
      </c>
      <c r="CE1748" t="s">
        <v>88</v>
      </c>
      <c r="CF1748" s="3">
        <v>43787</v>
      </c>
      <c r="CI1748">
        <v>1</v>
      </c>
      <c r="CJ1748">
        <v>1</v>
      </c>
      <c r="CK1748">
        <v>21</v>
      </c>
      <c r="CL1748" t="s">
        <v>89</v>
      </c>
    </row>
    <row r="1749" spans="1:90">
      <c r="A1749" t="s">
        <v>72</v>
      </c>
      <c r="B1749" t="s">
        <v>73</v>
      </c>
      <c r="C1749" t="s">
        <v>74</v>
      </c>
      <c r="E1749" t="str">
        <f>"FES1162723100"</f>
        <v>FES1162723100</v>
      </c>
      <c r="F1749" s="3">
        <v>43783</v>
      </c>
      <c r="G1749">
        <v>202005</v>
      </c>
      <c r="H1749" t="s">
        <v>75</v>
      </c>
      <c r="I1749" t="s">
        <v>76</v>
      </c>
      <c r="J1749" t="s">
        <v>77</v>
      </c>
      <c r="K1749" t="s">
        <v>78</v>
      </c>
      <c r="L1749" t="s">
        <v>112</v>
      </c>
      <c r="M1749" t="s">
        <v>113</v>
      </c>
      <c r="N1749" t="s">
        <v>160</v>
      </c>
      <c r="O1749" t="s">
        <v>82</v>
      </c>
      <c r="P1749" t="str">
        <f>"2170716734                    "</f>
        <v xml:space="preserve">2170716734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8.58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1.1000000000000001</v>
      </c>
      <c r="BK1749">
        <v>1.5</v>
      </c>
      <c r="BL1749" s="4">
        <v>50.45</v>
      </c>
      <c r="BM1749" s="4">
        <v>7.57</v>
      </c>
      <c r="BN1749" s="4">
        <v>58.02</v>
      </c>
      <c r="BO1749" s="4">
        <v>58.02</v>
      </c>
      <c r="BQ1749" t="s">
        <v>161</v>
      </c>
      <c r="BR1749" t="s">
        <v>84</v>
      </c>
      <c r="BS1749" s="3">
        <v>43784</v>
      </c>
      <c r="BT1749" s="5">
        <v>0.37361111111111112</v>
      </c>
      <c r="BU1749" t="s">
        <v>162</v>
      </c>
      <c r="BV1749" t="s">
        <v>86</v>
      </c>
      <c r="BY1749">
        <v>5320</v>
      </c>
      <c r="CA1749" t="s">
        <v>163</v>
      </c>
      <c r="CC1749" t="s">
        <v>113</v>
      </c>
      <c r="CD1749">
        <v>4000</v>
      </c>
      <c r="CE1749" t="s">
        <v>88</v>
      </c>
      <c r="CF1749" s="3">
        <v>43787</v>
      </c>
      <c r="CI1749">
        <v>1</v>
      </c>
      <c r="CJ1749">
        <v>1</v>
      </c>
      <c r="CK1749">
        <v>21</v>
      </c>
      <c r="CL1749" t="s">
        <v>89</v>
      </c>
    </row>
    <row r="1750" spans="1:90">
      <c r="A1750" t="s">
        <v>72</v>
      </c>
      <c r="B1750" t="s">
        <v>73</v>
      </c>
      <c r="C1750" t="s">
        <v>74</v>
      </c>
      <c r="E1750" t="str">
        <f>"FES1162723107"</f>
        <v>FES1162723107</v>
      </c>
      <c r="F1750" s="3">
        <v>43783</v>
      </c>
      <c r="G1750">
        <v>202005</v>
      </c>
      <c r="H1750" t="s">
        <v>75</v>
      </c>
      <c r="I1750" t="s">
        <v>76</v>
      </c>
      <c r="J1750" t="s">
        <v>77</v>
      </c>
      <c r="K1750" t="s">
        <v>78</v>
      </c>
      <c r="L1750" t="s">
        <v>2138</v>
      </c>
      <c r="M1750" t="s">
        <v>2139</v>
      </c>
      <c r="N1750" t="s">
        <v>2108</v>
      </c>
      <c r="O1750" t="s">
        <v>82</v>
      </c>
      <c r="P1750" t="str">
        <f>"2170717117                    "</f>
        <v xml:space="preserve">2170717117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27.9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1.9</v>
      </c>
      <c r="BJ1750">
        <v>3.3</v>
      </c>
      <c r="BK1750">
        <v>3.5</v>
      </c>
      <c r="BL1750" s="4">
        <v>163.98</v>
      </c>
      <c r="BM1750" s="4">
        <v>24.6</v>
      </c>
      <c r="BN1750" s="4">
        <v>188.58</v>
      </c>
      <c r="BO1750" s="4">
        <v>188.58</v>
      </c>
      <c r="BQ1750" t="s">
        <v>121</v>
      </c>
      <c r="BR1750" t="s">
        <v>84</v>
      </c>
      <c r="BS1750" s="3">
        <v>43783</v>
      </c>
      <c r="BT1750" s="5">
        <v>0.375</v>
      </c>
      <c r="BU1750" t="s">
        <v>2140</v>
      </c>
      <c r="BV1750" t="s">
        <v>86</v>
      </c>
      <c r="BY1750">
        <v>16491.45</v>
      </c>
      <c r="CA1750" t="s">
        <v>123</v>
      </c>
      <c r="CC1750" t="s">
        <v>2139</v>
      </c>
      <c r="CD1750">
        <v>9499</v>
      </c>
      <c r="CE1750" t="s">
        <v>88</v>
      </c>
      <c r="CF1750" s="3">
        <v>43789</v>
      </c>
      <c r="CI1750">
        <v>1</v>
      </c>
      <c r="CJ1750">
        <v>0</v>
      </c>
      <c r="CK1750">
        <v>23</v>
      </c>
      <c r="CL1750" t="s">
        <v>89</v>
      </c>
    </row>
    <row r="1751" spans="1:90">
      <c r="A1751" t="s">
        <v>72</v>
      </c>
      <c r="B1751" t="s">
        <v>73</v>
      </c>
      <c r="C1751" t="s">
        <v>74</v>
      </c>
      <c r="E1751" t="str">
        <f>"FES1162723178"</f>
        <v>FES1162723178</v>
      </c>
      <c r="F1751" s="3">
        <v>43783</v>
      </c>
      <c r="G1751">
        <v>202005</v>
      </c>
      <c r="H1751" t="s">
        <v>75</v>
      </c>
      <c r="I1751" t="s">
        <v>76</v>
      </c>
      <c r="J1751" t="s">
        <v>77</v>
      </c>
      <c r="K1751" t="s">
        <v>78</v>
      </c>
      <c r="L1751" t="s">
        <v>106</v>
      </c>
      <c r="M1751" t="s">
        <v>107</v>
      </c>
      <c r="N1751" t="s">
        <v>108</v>
      </c>
      <c r="O1751" t="s">
        <v>82</v>
      </c>
      <c r="P1751" t="str">
        <f>"2170717044                    "</f>
        <v xml:space="preserve">2170717044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10.73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2.4</v>
      </c>
      <c r="BJ1751">
        <v>2.5</v>
      </c>
      <c r="BK1751">
        <v>2.5</v>
      </c>
      <c r="BL1751" s="4">
        <v>63.06</v>
      </c>
      <c r="BM1751" s="4">
        <v>9.4600000000000009</v>
      </c>
      <c r="BN1751" s="4">
        <v>72.52</v>
      </c>
      <c r="BO1751" s="4">
        <v>72.52</v>
      </c>
      <c r="BQ1751" t="s">
        <v>109</v>
      </c>
      <c r="BR1751" t="s">
        <v>84</v>
      </c>
      <c r="BS1751" s="3">
        <v>43784</v>
      </c>
      <c r="BT1751" s="5">
        <v>0.35972222222222222</v>
      </c>
      <c r="BU1751" t="s">
        <v>1526</v>
      </c>
      <c r="BV1751" t="s">
        <v>86</v>
      </c>
      <c r="BY1751">
        <v>12376.7</v>
      </c>
      <c r="CA1751" t="s">
        <v>111</v>
      </c>
      <c r="CC1751" t="s">
        <v>107</v>
      </c>
      <c r="CD1751">
        <v>6001</v>
      </c>
      <c r="CE1751" t="s">
        <v>88</v>
      </c>
      <c r="CF1751" s="3">
        <v>43787</v>
      </c>
      <c r="CI1751">
        <v>1</v>
      </c>
      <c r="CJ1751">
        <v>1</v>
      </c>
      <c r="CK1751">
        <v>21</v>
      </c>
      <c r="CL1751" t="s">
        <v>89</v>
      </c>
    </row>
    <row r="1752" spans="1:90">
      <c r="A1752" t="s">
        <v>72</v>
      </c>
      <c r="B1752" t="s">
        <v>73</v>
      </c>
      <c r="C1752" t="s">
        <v>74</v>
      </c>
      <c r="E1752" t="str">
        <f>"FES1162723177"</f>
        <v>FES1162723177</v>
      </c>
      <c r="F1752" s="3">
        <v>43783</v>
      </c>
      <c r="G1752">
        <v>202005</v>
      </c>
      <c r="H1752" t="s">
        <v>75</v>
      </c>
      <c r="I1752" t="s">
        <v>76</v>
      </c>
      <c r="J1752" t="s">
        <v>77</v>
      </c>
      <c r="K1752" t="s">
        <v>78</v>
      </c>
      <c r="L1752" t="s">
        <v>106</v>
      </c>
      <c r="M1752" t="s">
        <v>107</v>
      </c>
      <c r="N1752" t="s">
        <v>108</v>
      </c>
      <c r="O1752" t="s">
        <v>82</v>
      </c>
      <c r="P1752" t="str">
        <f>"2170717044                    "</f>
        <v xml:space="preserve">2170717044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34.31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7.9</v>
      </c>
      <c r="BJ1752">
        <v>8</v>
      </c>
      <c r="BK1752">
        <v>8</v>
      </c>
      <c r="BL1752" s="4">
        <v>201.7</v>
      </c>
      <c r="BM1752" s="4">
        <v>30.26</v>
      </c>
      <c r="BN1752" s="4">
        <v>231.96</v>
      </c>
      <c r="BO1752" s="4">
        <v>231.96</v>
      </c>
      <c r="BQ1752" t="s">
        <v>109</v>
      </c>
      <c r="BR1752" t="s">
        <v>84</v>
      </c>
      <c r="BS1752" s="3">
        <v>43784</v>
      </c>
      <c r="BT1752" s="5">
        <v>0.35972222222222222</v>
      </c>
      <c r="BU1752" t="s">
        <v>1526</v>
      </c>
      <c r="BV1752" t="s">
        <v>86</v>
      </c>
      <c r="BY1752">
        <v>40245.199999999997</v>
      </c>
      <c r="CA1752" t="s">
        <v>111</v>
      </c>
      <c r="CC1752" t="s">
        <v>107</v>
      </c>
      <c r="CD1752">
        <v>6001</v>
      </c>
      <c r="CE1752" t="s">
        <v>88</v>
      </c>
      <c r="CF1752" s="3">
        <v>43787</v>
      </c>
      <c r="CI1752">
        <v>1</v>
      </c>
      <c r="CJ1752">
        <v>1</v>
      </c>
      <c r="CK1752">
        <v>21</v>
      </c>
      <c r="CL1752" t="s">
        <v>89</v>
      </c>
    </row>
    <row r="1753" spans="1:90">
      <c r="A1753" t="s">
        <v>72</v>
      </c>
      <c r="B1753" t="s">
        <v>73</v>
      </c>
      <c r="C1753" t="s">
        <v>74</v>
      </c>
      <c r="E1753" t="str">
        <f>"FES1162723112"</f>
        <v>FES1162723112</v>
      </c>
      <c r="F1753" s="3">
        <v>43783</v>
      </c>
      <c r="G1753">
        <v>202005</v>
      </c>
      <c r="H1753" t="s">
        <v>75</v>
      </c>
      <c r="I1753" t="s">
        <v>76</v>
      </c>
      <c r="J1753" t="s">
        <v>77</v>
      </c>
      <c r="K1753" t="s">
        <v>78</v>
      </c>
      <c r="L1753" t="s">
        <v>891</v>
      </c>
      <c r="M1753" t="s">
        <v>892</v>
      </c>
      <c r="N1753" t="s">
        <v>2141</v>
      </c>
      <c r="O1753" t="s">
        <v>82</v>
      </c>
      <c r="P1753" t="str">
        <f>"2170717127                    "</f>
        <v xml:space="preserve">2170717127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27.9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2.2999999999999998</v>
      </c>
      <c r="BJ1753">
        <v>3.1</v>
      </c>
      <c r="BK1753">
        <v>3.5</v>
      </c>
      <c r="BL1753" s="4">
        <v>163.98</v>
      </c>
      <c r="BM1753" s="4">
        <v>24.6</v>
      </c>
      <c r="BN1753" s="4">
        <v>188.58</v>
      </c>
      <c r="BO1753" s="4">
        <v>188.58</v>
      </c>
      <c r="BQ1753" t="s">
        <v>121</v>
      </c>
      <c r="BR1753" t="s">
        <v>84</v>
      </c>
      <c r="BS1753" s="3">
        <v>43784</v>
      </c>
      <c r="BT1753" s="5">
        <v>0.54166666666666663</v>
      </c>
      <c r="BU1753" t="s">
        <v>2142</v>
      </c>
      <c r="BV1753" t="s">
        <v>86</v>
      </c>
      <c r="BY1753">
        <v>15700.16</v>
      </c>
      <c r="CA1753" t="s">
        <v>217</v>
      </c>
      <c r="CC1753" t="s">
        <v>892</v>
      </c>
      <c r="CD1753">
        <v>7655</v>
      </c>
      <c r="CE1753" t="s">
        <v>88</v>
      </c>
      <c r="CF1753" s="3">
        <v>43787</v>
      </c>
      <c r="CI1753">
        <v>1</v>
      </c>
      <c r="CJ1753">
        <v>1</v>
      </c>
      <c r="CK1753">
        <v>23</v>
      </c>
      <c r="CL1753" t="s">
        <v>89</v>
      </c>
    </row>
    <row r="1754" spans="1:90">
      <c r="A1754" t="s">
        <v>72</v>
      </c>
      <c r="B1754" t="s">
        <v>73</v>
      </c>
      <c r="C1754" t="s">
        <v>74</v>
      </c>
      <c r="E1754" t="str">
        <f>"FES1162723151"</f>
        <v>FES1162723151</v>
      </c>
      <c r="F1754" s="3">
        <v>43783</v>
      </c>
      <c r="G1754">
        <v>202005</v>
      </c>
      <c r="H1754" t="s">
        <v>75</v>
      </c>
      <c r="I1754" t="s">
        <v>76</v>
      </c>
      <c r="J1754" t="s">
        <v>77</v>
      </c>
      <c r="K1754" t="s">
        <v>78</v>
      </c>
      <c r="L1754" t="s">
        <v>192</v>
      </c>
      <c r="M1754" t="s">
        <v>193</v>
      </c>
      <c r="N1754" t="s">
        <v>194</v>
      </c>
      <c r="O1754" t="s">
        <v>82</v>
      </c>
      <c r="P1754" t="str">
        <f>"2170717170                    "</f>
        <v xml:space="preserve">2170717170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27.9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3.4</v>
      </c>
      <c r="BJ1754">
        <v>1.4</v>
      </c>
      <c r="BK1754">
        <v>3.5</v>
      </c>
      <c r="BL1754" s="4">
        <v>163.98</v>
      </c>
      <c r="BM1754" s="4">
        <v>24.6</v>
      </c>
      <c r="BN1754" s="4">
        <v>188.58</v>
      </c>
      <c r="BO1754" s="4">
        <v>188.58</v>
      </c>
      <c r="BQ1754" t="s">
        <v>109</v>
      </c>
      <c r="BR1754" t="s">
        <v>84</v>
      </c>
      <c r="BS1754" s="3">
        <v>43784</v>
      </c>
      <c r="BT1754" s="5">
        <v>0.45902777777777781</v>
      </c>
      <c r="BU1754" t="s">
        <v>195</v>
      </c>
      <c r="BV1754" t="s">
        <v>86</v>
      </c>
      <c r="BY1754">
        <v>6893.8</v>
      </c>
      <c r="CA1754" t="s">
        <v>1364</v>
      </c>
      <c r="CC1754" t="s">
        <v>193</v>
      </c>
      <c r="CD1754">
        <v>7130</v>
      </c>
      <c r="CE1754" t="s">
        <v>88</v>
      </c>
      <c r="CF1754" s="3">
        <v>43787</v>
      </c>
      <c r="CI1754">
        <v>1</v>
      </c>
      <c r="CJ1754">
        <v>1</v>
      </c>
      <c r="CK1754">
        <v>23</v>
      </c>
      <c r="CL1754" t="s">
        <v>89</v>
      </c>
    </row>
    <row r="1755" spans="1:90">
      <c r="A1755" t="s">
        <v>72</v>
      </c>
      <c r="B1755" t="s">
        <v>73</v>
      </c>
      <c r="C1755" t="s">
        <v>74</v>
      </c>
      <c r="E1755" t="str">
        <f>"FES1162722924"</f>
        <v>FES1162722924</v>
      </c>
      <c r="F1755" s="3">
        <v>43783</v>
      </c>
      <c r="G1755">
        <v>202005</v>
      </c>
      <c r="H1755" t="s">
        <v>75</v>
      </c>
      <c r="I1755" t="s">
        <v>76</v>
      </c>
      <c r="J1755" t="s">
        <v>77</v>
      </c>
      <c r="K1755" t="s">
        <v>78</v>
      </c>
      <c r="L1755" t="s">
        <v>106</v>
      </c>
      <c r="M1755" t="s">
        <v>107</v>
      </c>
      <c r="N1755" t="s">
        <v>262</v>
      </c>
      <c r="O1755" t="s">
        <v>82</v>
      </c>
      <c r="P1755" t="str">
        <f>"2170717021                    "</f>
        <v xml:space="preserve">2170717021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68.62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4.9000000000000004</v>
      </c>
      <c r="BJ1755">
        <v>15.6</v>
      </c>
      <c r="BK1755">
        <v>16</v>
      </c>
      <c r="BL1755" s="4">
        <v>403.37</v>
      </c>
      <c r="BM1755" s="4">
        <v>60.51</v>
      </c>
      <c r="BN1755" s="4">
        <v>463.88</v>
      </c>
      <c r="BO1755" s="4">
        <v>463.88</v>
      </c>
      <c r="BQ1755" t="s">
        <v>121</v>
      </c>
      <c r="BR1755" t="s">
        <v>84</v>
      </c>
      <c r="BS1755" s="3">
        <v>43784</v>
      </c>
      <c r="BT1755" s="5">
        <v>0.32569444444444445</v>
      </c>
      <c r="BU1755" t="s">
        <v>2143</v>
      </c>
      <c r="BV1755" t="s">
        <v>86</v>
      </c>
      <c r="BY1755">
        <v>78102.64</v>
      </c>
      <c r="CA1755" t="s">
        <v>1247</v>
      </c>
      <c r="CC1755" t="s">
        <v>107</v>
      </c>
      <c r="CD1755">
        <v>6045</v>
      </c>
      <c r="CE1755" t="s">
        <v>88</v>
      </c>
      <c r="CF1755" s="3">
        <v>43787</v>
      </c>
      <c r="CI1755">
        <v>1</v>
      </c>
      <c r="CJ1755">
        <v>1</v>
      </c>
      <c r="CK1755">
        <v>21</v>
      </c>
      <c r="CL1755" t="s">
        <v>89</v>
      </c>
    </row>
    <row r="1756" spans="1:90">
      <c r="A1756" t="s">
        <v>72</v>
      </c>
      <c r="B1756" t="s">
        <v>73</v>
      </c>
      <c r="C1756" t="s">
        <v>74</v>
      </c>
      <c r="E1756" t="str">
        <f>"009935723050"</f>
        <v>009935723050</v>
      </c>
      <c r="F1756" s="3">
        <v>43783</v>
      </c>
      <c r="G1756">
        <v>202005</v>
      </c>
      <c r="H1756" t="s">
        <v>75</v>
      </c>
      <c r="I1756" t="s">
        <v>76</v>
      </c>
      <c r="J1756" t="s">
        <v>77</v>
      </c>
      <c r="K1756" t="s">
        <v>78</v>
      </c>
      <c r="L1756" t="s">
        <v>90</v>
      </c>
      <c r="M1756" t="s">
        <v>91</v>
      </c>
      <c r="N1756" t="s">
        <v>393</v>
      </c>
      <c r="O1756" t="s">
        <v>82</v>
      </c>
      <c r="P1756" t="str">
        <f>"EMANUEL                       "</f>
        <v xml:space="preserve">EMANUEL   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8.58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 s="4">
        <v>50.45</v>
      </c>
      <c r="BM1756" s="4">
        <v>7.57</v>
      </c>
      <c r="BN1756" s="4">
        <v>58.02</v>
      </c>
      <c r="BO1756" s="4">
        <v>58.02</v>
      </c>
      <c r="BQ1756" t="s">
        <v>1630</v>
      </c>
      <c r="BR1756" t="s">
        <v>84</v>
      </c>
      <c r="BS1756" s="3">
        <v>43784</v>
      </c>
      <c r="BT1756" s="5">
        <v>0.29583333333333334</v>
      </c>
      <c r="BU1756" t="s">
        <v>2128</v>
      </c>
      <c r="BV1756" t="s">
        <v>86</v>
      </c>
      <c r="BY1756">
        <v>1200</v>
      </c>
      <c r="CA1756" t="s">
        <v>221</v>
      </c>
      <c r="CC1756" t="s">
        <v>91</v>
      </c>
      <c r="CD1756">
        <v>7405</v>
      </c>
      <c r="CE1756" t="s">
        <v>147</v>
      </c>
      <c r="CF1756" s="3">
        <v>43787</v>
      </c>
      <c r="CI1756">
        <v>1</v>
      </c>
      <c r="CJ1756">
        <v>1</v>
      </c>
      <c r="CK1756">
        <v>21</v>
      </c>
      <c r="CL1756" t="s">
        <v>89</v>
      </c>
    </row>
    <row r="1757" spans="1:90">
      <c r="A1757" t="s">
        <v>72</v>
      </c>
      <c r="B1757" t="s">
        <v>73</v>
      </c>
      <c r="C1757" t="s">
        <v>74</v>
      </c>
      <c r="E1757" t="str">
        <f>"FES1162723172"</f>
        <v>FES1162723172</v>
      </c>
      <c r="F1757" s="3">
        <v>43783</v>
      </c>
      <c r="G1757">
        <v>202005</v>
      </c>
      <c r="H1757" t="s">
        <v>75</v>
      </c>
      <c r="I1757" t="s">
        <v>76</v>
      </c>
      <c r="J1757" t="s">
        <v>77</v>
      </c>
      <c r="K1757" t="s">
        <v>78</v>
      </c>
      <c r="L1757" t="s">
        <v>482</v>
      </c>
      <c r="M1757" t="s">
        <v>483</v>
      </c>
      <c r="N1757" t="s">
        <v>544</v>
      </c>
      <c r="O1757" t="s">
        <v>82</v>
      </c>
      <c r="P1757" t="str">
        <f>"2170717199                    "</f>
        <v xml:space="preserve">2170717199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6.71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 s="4">
        <v>39.42</v>
      </c>
      <c r="BM1757" s="4">
        <v>5.91</v>
      </c>
      <c r="BN1757" s="4">
        <v>45.33</v>
      </c>
      <c r="BO1757" s="4">
        <v>45.33</v>
      </c>
      <c r="BQ1757" t="s">
        <v>545</v>
      </c>
      <c r="BR1757" t="s">
        <v>84</v>
      </c>
      <c r="BS1757" s="3">
        <v>43784</v>
      </c>
      <c r="BT1757" s="5">
        <v>0.5</v>
      </c>
      <c r="BU1757" t="s">
        <v>231</v>
      </c>
      <c r="BV1757" t="s">
        <v>89</v>
      </c>
      <c r="BW1757" t="s">
        <v>319</v>
      </c>
      <c r="BX1757" t="s">
        <v>481</v>
      </c>
      <c r="BY1757">
        <v>1200</v>
      </c>
      <c r="CC1757" t="s">
        <v>483</v>
      </c>
      <c r="CD1757">
        <v>1459</v>
      </c>
      <c r="CE1757" t="s">
        <v>147</v>
      </c>
      <c r="CF1757" s="3">
        <v>43788</v>
      </c>
      <c r="CI1757">
        <v>1</v>
      </c>
      <c r="CJ1757">
        <v>1</v>
      </c>
      <c r="CK1757">
        <v>22</v>
      </c>
      <c r="CL1757" t="s">
        <v>89</v>
      </c>
    </row>
    <row r="1758" spans="1:90">
      <c r="A1758" t="s">
        <v>72</v>
      </c>
      <c r="B1758" t="s">
        <v>73</v>
      </c>
      <c r="C1758" t="s">
        <v>74</v>
      </c>
      <c r="E1758" t="str">
        <f>"FES1162723095"</f>
        <v>FES1162723095</v>
      </c>
      <c r="F1758" s="3">
        <v>43783</v>
      </c>
      <c r="G1758">
        <v>202005</v>
      </c>
      <c r="H1758" t="s">
        <v>75</v>
      </c>
      <c r="I1758" t="s">
        <v>76</v>
      </c>
      <c r="J1758" t="s">
        <v>77</v>
      </c>
      <c r="K1758" t="s">
        <v>78</v>
      </c>
      <c r="L1758" t="s">
        <v>101</v>
      </c>
      <c r="M1758" t="s">
        <v>102</v>
      </c>
      <c r="N1758" t="s">
        <v>181</v>
      </c>
      <c r="O1758" t="s">
        <v>82</v>
      </c>
      <c r="P1758" t="str">
        <f>"2170715751                    "</f>
        <v xml:space="preserve">2170715751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8.58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 s="4">
        <v>50.45</v>
      </c>
      <c r="BM1758" s="4">
        <v>7.57</v>
      </c>
      <c r="BN1758" s="4">
        <v>58.02</v>
      </c>
      <c r="BO1758" s="4">
        <v>58.02</v>
      </c>
      <c r="BQ1758" t="s">
        <v>121</v>
      </c>
      <c r="BR1758" t="s">
        <v>84</v>
      </c>
      <c r="BS1758" s="3">
        <v>43784</v>
      </c>
      <c r="BT1758" s="5">
        <v>0.39930555555555558</v>
      </c>
      <c r="BU1758" t="s">
        <v>1980</v>
      </c>
      <c r="BV1758" t="s">
        <v>86</v>
      </c>
      <c r="BY1758">
        <v>1200</v>
      </c>
      <c r="CC1758" t="s">
        <v>102</v>
      </c>
      <c r="CD1758">
        <v>200</v>
      </c>
      <c r="CE1758" t="s">
        <v>147</v>
      </c>
      <c r="CF1758" s="3">
        <v>43788</v>
      </c>
      <c r="CI1758">
        <v>1</v>
      </c>
      <c r="CJ1758">
        <v>1</v>
      </c>
      <c r="CK1758">
        <v>21</v>
      </c>
      <c r="CL1758" t="s">
        <v>89</v>
      </c>
    </row>
    <row r="1759" spans="1:90">
      <c r="A1759" t="s">
        <v>72</v>
      </c>
      <c r="B1759" t="s">
        <v>73</v>
      </c>
      <c r="C1759" t="s">
        <v>74</v>
      </c>
      <c r="E1759" t="str">
        <f>"FES1162723030"</f>
        <v>FES1162723030</v>
      </c>
      <c r="F1759" s="3">
        <v>43783</v>
      </c>
      <c r="G1759">
        <v>202005</v>
      </c>
      <c r="H1759" t="s">
        <v>75</v>
      </c>
      <c r="I1759" t="s">
        <v>76</v>
      </c>
      <c r="J1759" t="s">
        <v>77</v>
      </c>
      <c r="K1759" t="s">
        <v>78</v>
      </c>
      <c r="L1759" t="s">
        <v>101</v>
      </c>
      <c r="M1759" t="s">
        <v>102</v>
      </c>
      <c r="N1759" t="s">
        <v>380</v>
      </c>
      <c r="O1759" t="s">
        <v>82</v>
      </c>
      <c r="P1759" t="str">
        <f>"21707112                      "</f>
        <v xml:space="preserve">21707112  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8.58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 s="4">
        <v>50.45</v>
      </c>
      <c r="BM1759" s="4">
        <v>7.57</v>
      </c>
      <c r="BN1759" s="4">
        <v>58.02</v>
      </c>
      <c r="BO1759" s="4">
        <v>58.02</v>
      </c>
      <c r="BQ1759" t="s">
        <v>109</v>
      </c>
      <c r="BR1759" t="s">
        <v>84</v>
      </c>
      <c r="BS1759" s="3">
        <v>43784</v>
      </c>
      <c r="BT1759" s="5">
        <v>0.4375</v>
      </c>
      <c r="BU1759" t="s">
        <v>381</v>
      </c>
      <c r="BV1759" t="s">
        <v>86</v>
      </c>
      <c r="BY1759">
        <v>1200</v>
      </c>
      <c r="CA1759" t="s">
        <v>359</v>
      </c>
      <c r="CC1759" t="s">
        <v>102</v>
      </c>
      <c r="CD1759">
        <v>184</v>
      </c>
      <c r="CE1759" t="s">
        <v>147</v>
      </c>
      <c r="CF1759" s="3">
        <v>43787</v>
      </c>
      <c r="CI1759">
        <v>1</v>
      </c>
      <c r="CJ1759">
        <v>1</v>
      </c>
      <c r="CK1759">
        <v>21</v>
      </c>
      <c r="CL1759" t="s">
        <v>89</v>
      </c>
    </row>
    <row r="1760" spans="1:90">
      <c r="A1760" t="s">
        <v>72</v>
      </c>
      <c r="B1760" t="s">
        <v>73</v>
      </c>
      <c r="C1760" t="s">
        <v>74</v>
      </c>
      <c r="E1760" t="str">
        <f>"FES1162723145"</f>
        <v>FES1162723145</v>
      </c>
      <c r="F1760" s="3">
        <v>43783</v>
      </c>
      <c r="G1760">
        <v>202005</v>
      </c>
      <c r="H1760" t="s">
        <v>75</v>
      </c>
      <c r="I1760" t="s">
        <v>76</v>
      </c>
      <c r="J1760" t="s">
        <v>77</v>
      </c>
      <c r="K1760" t="s">
        <v>78</v>
      </c>
      <c r="L1760" t="s">
        <v>101</v>
      </c>
      <c r="M1760" t="s">
        <v>102</v>
      </c>
      <c r="N1760" t="s">
        <v>208</v>
      </c>
      <c r="O1760" t="s">
        <v>82</v>
      </c>
      <c r="P1760" t="str">
        <f>"2170717160                    "</f>
        <v xml:space="preserve">2170717160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8.58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 s="4">
        <v>50.45</v>
      </c>
      <c r="BM1760" s="4">
        <v>7.57</v>
      </c>
      <c r="BN1760" s="4">
        <v>58.02</v>
      </c>
      <c r="BO1760" s="4">
        <v>58.02</v>
      </c>
      <c r="BQ1760" t="s">
        <v>209</v>
      </c>
      <c r="BR1760" t="s">
        <v>84</v>
      </c>
      <c r="BS1760" s="3">
        <v>43784</v>
      </c>
      <c r="BT1760" s="5">
        <v>0.38541666666666669</v>
      </c>
      <c r="BU1760" t="s">
        <v>1606</v>
      </c>
      <c r="BV1760" t="s">
        <v>86</v>
      </c>
      <c r="BY1760">
        <v>1200</v>
      </c>
      <c r="CC1760" t="s">
        <v>102</v>
      </c>
      <c r="CD1760">
        <v>200</v>
      </c>
      <c r="CE1760" t="s">
        <v>147</v>
      </c>
      <c r="CF1760" s="3">
        <v>43788</v>
      </c>
      <c r="CI1760">
        <v>1</v>
      </c>
      <c r="CJ1760">
        <v>1</v>
      </c>
      <c r="CK1760">
        <v>21</v>
      </c>
      <c r="CL1760" t="s">
        <v>89</v>
      </c>
    </row>
    <row r="1761" spans="1:90">
      <c r="A1761" t="s">
        <v>72</v>
      </c>
      <c r="B1761" t="s">
        <v>73</v>
      </c>
      <c r="C1761" t="s">
        <v>74</v>
      </c>
      <c r="E1761" t="str">
        <f>"FES1162723042"</f>
        <v>FES1162723042</v>
      </c>
      <c r="F1761" s="3">
        <v>43783</v>
      </c>
      <c r="G1761">
        <v>202005</v>
      </c>
      <c r="H1761" t="s">
        <v>75</v>
      </c>
      <c r="I1761" t="s">
        <v>76</v>
      </c>
      <c r="J1761" t="s">
        <v>77</v>
      </c>
      <c r="K1761" t="s">
        <v>78</v>
      </c>
      <c r="L1761" t="s">
        <v>101</v>
      </c>
      <c r="M1761" t="s">
        <v>102</v>
      </c>
      <c r="N1761" t="s">
        <v>2016</v>
      </c>
      <c r="O1761" t="s">
        <v>82</v>
      </c>
      <c r="P1761" t="str">
        <f>"2170711643                    "</f>
        <v xml:space="preserve">2170711643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8.58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 s="4">
        <v>50.45</v>
      </c>
      <c r="BM1761" s="4">
        <v>7.57</v>
      </c>
      <c r="BN1761" s="4">
        <v>58.02</v>
      </c>
      <c r="BO1761" s="4">
        <v>58.02</v>
      </c>
      <c r="BQ1761" t="s">
        <v>109</v>
      </c>
      <c r="BR1761" t="s">
        <v>84</v>
      </c>
      <c r="BS1761" s="3">
        <v>43784</v>
      </c>
      <c r="BT1761" s="5">
        <v>0.39027777777777778</v>
      </c>
      <c r="BU1761" t="s">
        <v>2017</v>
      </c>
      <c r="BV1761" t="s">
        <v>86</v>
      </c>
      <c r="BY1761">
        <v>1200</v>
      </c>
      <c r="CC1761" t="s">
        <v>102</v>
      </c>
      <c r="CD1761">
        <v>200</v>
      </c>
      <c r="CE1761" t="s">
        <v>147</v>
      </c>
      <c r="CF1761" s="3">
        <v>43788</v>
      </c>
      <c r="CI1761">
        <v>1</v>
      </c>
      <c r="CJ1761">
        <v>1</v>
      </c>
      <c r="CK1761">
        <v>21</v>
      </c>
      <c r="CL1761" t="s">
        <v>89</v>
      </c>
    </row>
    <row r="1762" spans="1:90">
      <c r="A1762" t="s">
        <v>72</v>
      </c>
      <c r="B1762" t="s">
        <v>73</v>
      </c>
      <c r="C1762" t="s">
        <v>74</v>
      </c>
      <c r="E1762" t="str">
        <f>"FES1162723053"</f>
        <v>FES1162723053</v>
      </c>
      <c r="F1762" s="3">
        <v>43783</v>
      </c>
      <c r="G1762">
        <v>202005</v>
      </c>
      <c r="H1762" t="s">
        <v>75</v>
      </c>
      <c r="I1762" t="s">
        <v>76</v>
      </c>
      <c r="J1762" t="s">
        <v>77</v>
      </c>
      <c r="K1762" t="s">
        <v>78</v>
      </c>
      <c r="L1762" t="s">
        <v>405</v>
      </c>
      <c r="M1762" t="s">
        <v>406</v>
      </c>
      <c r="N1762" t="s">
        <v>407</v>
      </c>
      <c r="O1762" t="s">
        <v>82</v>
      </c>
      <c r="P1762" t="str">
        <f>"2170714279                    "</f>
        <v xml:space="preserve">2170714279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12.07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 s="4">
        <v>70.95</v>
      </c>
      <c r="BM1762" s="4">
        <v>10.64</v>
      </c>
      <c r="BN1762" s="4">
        <v>81.59</v>
      </c>
      <c r="BO1762" s="4">
        <v>81.59</v>
      </c>
      <c r="BQ1762" t="s">
        <v>121</v>
      </c>
      <c r="BR1762" t="s">
        <v>84</v>
      </c>
      <c r="BS1762" s="3">
        <v>43784</v>
      </c>
      <c r="BT1762" s="5">
        <v>0.375</v>
      </c>
      <c r="BU1762" t="s">
        <v>408</v>
      </c>
      <c r="BV1762" t="s">
        <v>86</v>
      </c>
      <c r="BY1762">
        <v>1200</v>
      </c>
      <c r="CA1762" t="s">
        <v>873</v>
      </c>
      <c r="CC1762" t="s">
        <v>406</v>
      </c>
      <c r="CD1762">
        <v>250</v>
      </c>
      <c r="CE1762" t="s">
        <v>147</v>
      </c>
      <c r="CF1762" s="3">
        <v>43788</v>
      </c>
      <c r="CI1762">
        <v>1</v>
      </c>
      <c r="CJ1762">
        <v>1</v>
      </c>
      <c r="CK1762">
        <v>24</v>
      </c>
      <c r="CL1762" t="s">
        <v>89</v>
      </c>
    </row>
    <row r="1763" spans="1:90">
      <c r="A1763" t="s">
        <v>72</v>
      </c>
      <c r="B1763" t="s">
        <v>73</v>
      </c>
      <c r="C1763" t="s">
        <v>74</v>
      </c>
      <c r="E1763" t="str">
        <f>"FES1162723060"</f>
        <v>FES1162723060</v>
      </c>
      <c r="F1763" s="3">
        <v>43783</v>
      </c>
      <c r="G1763">
        <v>202005</v>
      </c>
      <c r="H1763" t="s">
        <v>75</v>
      </c>
      <c r="I1763" t="s">
        <v>76</v>
      </c>
      <c r="J1763" t="s">
        <v>77</v>
      </c>
      <c r="K1763" t="s">
        <v>78</v>
      </c>
      <c r="L1763" t="s">
        <v>605</v>
      </c>
      <c r="M1763" t="s">
        <v>606</v>
      </c>
      <c r="N1763" t="s">
        <v>1775</v>
      </c>
      <c r="O1763" t="s">
        <v>82</v>
      </c>
      <c r="P1763" t="str">
        <f>"2170714410                    "</f>
        <v xml:space="preserve">2170714410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12.07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 s="4">
        <v>70.95</v>
      </c>
      <c r="BM1763" s="4">
        <v>10.64</v>
      </c>
      <c r="BN1763" s="4">
        <v>81.59</v>
      </c>
      <c r="BO1763" s="4">
        <v>81.59</v>
      </c>
      <c r="BQ1763" t="s">
        <v>1776</v>
      </c>
      <c r="BR1763" t="s">
        <v>84</v>
      </c>
      <c r="BS1763" s="3">
        <v>43784</v>
      </c>
      <c r="BT1763" s="5">
        <v>0.41666666666666669</v>
      </c>
      <c r="BU1763" t="s">
        <v>1777</v>
      </c>
      <c r="BV1763" t="s">
        <v>86</v>
      </c>
      <c r="BY1763">
        <v>1200</v>
      </c>
      <c r="CA1763" t="s">
        <v>889</v>
      </c>
      <c r="CC1763" t="s">
        <v>606</v>
      </c>
      <c r="CD1763">
        <v>208</v>
      </c>
      <c r="CE1763" t="s">
        <v>147</v>
      </c>
      <c r="CI1763">
        <v>1</v>
      </c>
      <c r="CJ1763">
        <v>1</v>
      </c>
      <c r="CK1763">
        <v>24</v>
      </c>
      <c r="CL1763" t="s">
        <v>89</v>
      </c>
    </row>
    <row r="1764" spans="1:90">
      <c r="A1764" t="s">
        <v>72</v>
      </c>
      <c r="B1764" t="s">
        <v>73</v>
      </c>
      <c r="C1764" t="s">
        <v>74</v>
      </c>
      <c r="E1764" t="str">
        <f>"FES1162723187"</f>
        <v>FES1162723187</v>
      </c>
      <c r="F1764" s="3">
        <v>43783</v>
      </c>
      <c r="G1764">
        <v>202005</v>
      </c>
      <c r="H1764" t="s">
        <v>75</v>
      </c>
      <c r="I1764" t="s">
        <v>76</v>
      </c>
      <c r="J1764" t="s">
        <v>77</v>
      </c>
      <c r="K1764" t="s">
        <v>78</v>
      </c>
      <c r="L1764" t="s">
        <v>1651</v>
      </c>
      <c r="M1764" t="s">
        <v>1651</v>
      </c>
      <c r="N1764" t="s">
        <v>2144</v>
      </c>
      <c r="O1764" t="s">
        <v>82</v>
      </c>
      <c r="P1764" t="str">
        <f>"21707206                      "</f>
        <v xml:space="preserve">21707206  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12.07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 s="4">
        <v>70.95</v>
      </c>
      <c r="BM1764" s="4">
        <v>10.64</v>
      </c>
      <c r="BN1764" s="4">
        <v>81.59</v>
      </c>
      <c r="BO1764" s="4">
        <v>81.59</v>
      </c>
      <c r="BR1764" t="s">
        <v>84</v>
      </c>
      <c r="BS1764" s="3">
        <v>43784</v>
      </c>
      <c r="BT1764" s="5">
        <v>0.4375</v>
      </c>
      <c r="BU1764" t="s">
        <v>2145</v>
      </c>
      <c r="BV1764" t="s">
        <v>86</v>
      </c>
      <c r="BY1764">
        <v>1200</v>
      </c>
      <c r="CA1764" t="s">
        <v>362</v>
      </c>
      <c r="CC1764" t="s">
        <v>1651</v>
      </c>
      <c r="CD1764">
        <v>1491</v>
      </c>
      <c r="CE1764" t="s">
        <v>147</v>
      </c>
      <c r="CF1764" s="3">
        <v>43788</v>
      </c>
      <c r="CI1764">
        <v>1</v>
      </c>
      <c r="CJ1764">
        <v>1</v>
      </c>
      <c r="CK1764">
        <v>24</v>
      </c>
      <c r="CL1764" t="s">
        <v>89</v>
      </c>
    </row>
    <row r="1765" spans="1:90">
      <c r="A1765" t="s">
        <v>72</v>
      </c>
      <c r="B1765" t="s">
        <v>73</v>
      </c>
      <c r="C1765" t="s">
        <v>74</v>
      </c>
      <c r="E1765" t="str">
        <f>"FES1162723162"</f>
        <v>FES1162723162</v>
      </c>
      <c r="F1765" s="3">
        <v>43783</v>
      </c>
      <c r="G1765">
        <v>202005</v>
      </c>
      <c r="H1765" t="s">
        <v>75</v>
      </c>
      <c r="I1765" t="s">
        <v>76</v>
      </c>
      <c r="J1765" t="s">
        <v>77</v>
      </c>
      <c r="K1765" t="s">
        <v>78</v>
      </c>
      <c r="L1765" t="s">
        <v>482</v>
      </c>
      <c r="M1765" t="s">
        <v>483</v>
      </c>
      <c r="N1765" t="s">
        <v>1054</v>
      </c>
      <c r="O1765" t="s">
        <v>82</v>
      </c>
      <c r="P1765" t="str">
        <f>"2170717186                    "</f>
        <v xml:space="preserve">2170717186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6.71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 s="4">
        <v>39.42</v>
      </c>
      <c r="BM1765" s="4">
        <v>5.91</v>
      </c>
      <c r="BN1765" s="4">
        <v>45.33</v>
      </c>
      <c r="BO1765" s="4">
        <v>45.33</v>
      </c>
      <c r="BQ1765" t="s">
        <v>109</v>
      </c>
      <c r="BR1765" t="s">
        <v>84</v>
      </c>
      <c r="BS1765" s="3">
        <v>43784</v>
      </c>
      <c r="BT1765" s="5">
        <v>0.35000000000000003</v>
      </c>
      <c r="BU1765" t="s">
        <v>1620</v>
      </c>
      <c r="BV1765" t="s">
        <v>86</v>
      </c>
      <c r="BY1765">
        <v>1200</v>
      </c>
      <c r="CA1765" t="s">
        <v>486</v>
      </c>
      <c r="CC1765" t="s">
        <v>483</v>
      </c>
      <c r="CD1765">
        <v>1459</v>
      </c>
      <c r="CE1765" t="s">
        <v>147</v>
      </c>
      <c r="CF1765" s="3">
        <v>43787</v>
      </c>
      <c r="CI1765">
        <v>1</v>
      </c>
      <c r="CJ1765">
        <v>1</v>
      </c>
      <c r="CK1765">
        <v>22</v>
      </c>
      <c r="CL1765" t="s">
        <v>89</v>
      </c>
    </row>
    <row r="1766" spans="1:90">
      <c r="A1766" t="s">
        <v>72</v>
      </c>
      <c r="B1766" t="s">
        <v>73</v>
      </c>
      <c r="C1766" t="s">
        <v>74</v>
      </c>
      <c r="E1766" t="str">
        <f>"FES1162723192"</f>
        <v>FES1162723192</v>
      </c>
      <c r="F1766" s="3">
        <v>43783</v>
      </c>
      <c r="G1766">
        <v>202005</v>
      </c>
      <c r="H1766" t="s">
        <v>75</v>
      </c>
      <c r="I1766" t="s">
        <v>76</v>
      </c>
      <c r="J1766" t="s">
        <v>77</v>
      </c>
      <c r="K1766" t="s">
        <v>78</v>
      </c>
      <c r="L1766" t="s">
        <v>552</v>
      </c>
      <c r="M1766" t="s">
        <v>553</v>
      </c>
      <c r="N1766" t="s">
        <v>2146</v>
      </c>
      <c r="O1766" t="s">
        <v>82</v>
      </c>
      <c r="P1766" t="str">
        <f>"2170717216                    "</f>
        <v xml:space="preserve">2170717216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6.71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 s="4">
        <v>39.42</v>
      </c>
      <c r="BM1766" s="4">
        <v>5.91</v>
      </c>
      <c r="BN1766" s="4">
        <v>45.33</v>
      </c>
      <c r="BO1766" s="4">
        <v>45.33</v>
      </c>
      <c r="BQ1766" t="s">
        <v>2147</v>
      </c>
      <c r="BR1766" t="s">
        <v>84</v>
      </c>
      <c r="BS1766" s="3">
        <v>43784</v>
      </c>
      <c r="BT1766" s="5">
        <v>0.37847222222222227</v>
      </c>
      <c r="BU1766" t="s">
        <v>2148</v>
      </c>
      <c r="BV1766" t="s">
        <v>86</v>
      </c>
      <c r="BY1766">
        <v>1200</v>
      </c>
      <c r="CA1766" t="s">
        <v>556</v>
      </c>
      <c r="CC1766" t="s">
        <v>553</v>
      </c>
      <c r="CD1766">
        <v>1541</v>
      </c>
      <c r="CE1766" t="s">
        <v>147</v>
      </c>
      <c r="CF1766" s="3">
        <v>43788</v>
      </c>
      <c r="CI1766">
        <v>1</v>
      </c>
      <c r="CJ1766">
        <v>1</v>
      </c>
      <c r="CK1766">
        <v>22</v>
      </c>
      <c r="CL1766" t="s">
        <v>89</v>
      </c>
    </row>
    <row r="1767" spans="1:90">
      <c r="A1767" t="s">
        <v>72</v>
      </c>
      <c r="B1767" t="s">
        <v>73</v>
      </c>
      <c r="C1767" t="s">
        <v>74</v>
      </c>
      <c r="E1767" t="str">
        <f>"FES1162723029"</f>
        <v>FES1162723029</v>
      </c>
      <c r="F1767" s="3">
        <v>43783</v>
      </c>
      <c r="G1767">
        <v>202005</v>
      </c>
      <c r="H1767" t="s">
        <v>75</v>
      </c>
      <c r="I1767" t="s">
        <v>76</v>
      </c>
      <c r="J1767" t="s">
        <v>77</v>
      </c>
      <c r="K1767" t="s">
        <v>78</v>
      </c>
      <c r="L1767" t="s">
        <v>101</v>
      </c>
      <c r="M1767" t="s">
        <v>102</v>
      </c>
      <c r="N1767" t="s">
        <v>380</v>
      </c>
      <c r="O1767" t="s">
        <v>82</v>
      </c>
      <c r="P1767" t="str">
        <f>"2170717111                    "</f>
        <v xml:space="preserve">2170717111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10.73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1.3</v>
      </c>
      <c r="BJ1767">
        <v>2.4</v>
      </c>
      <c r="BK1767">
        <v>2.5</v>
      </c>
      <c r="BL1767" s="4">
        <v>63.06</v>
      </c>
      <c r="BM1767" s="4">
        <v>9.4600000000000009</v>
      </c>
      <c r="BN1767" s="4">
        <v>72.52</v>
      </c>
      <c r="BO1767" s="4">
        <v>72.52</v>
      </c>
      <c r="BQ1767" t="s">
        <v>109</v>
      </c>
      <c r="BR1767" t="s">
        <v>84</v>
      </c>
      <c r="BS1767" s="3">
        <v>43784</v>
      </c>
      <c r="BT1767" s="5">
        <v>0.4375</v>
      </c>
      <c r="BU1767" t="s">
        <v>381</v>
      </c>
      <c r="BV1767" t="s">
        <v>86</v>
      </c>
      <c r="BY1767">
        <v>12061.37</v>
      </c>
      <c r="CA1767" t="s">
        <v>359</v>
      </c>
      <c r="CC1767" t="s">
        <v>102</v>
      </c>
      <c r="CD1767">
        <v>184</v>
      </c>
      <c r="CE1767" t="s">
        <v>88</v>
      </c>
      <c r="CF1767" s="3">
        <v>43787</v>
      </c>
      <c r="CI1767">
        <v>1</v>
      </c>
      <c r="CJ1767">
        <v>1</v>
      </c>
      <c r="CK1767">
        <v>21</v>
      </c>
      <c r="CL1767" t="s">
        <v>89</v>
      </c>
    </row>
    <row r="1768" spans="1:90">
      <c r="A1768" t="s">
        <v>72</v>
      </c>
      <c r="B1768" t="s">
        <v>73</v>
      </c>
      <c r="C1768" t="s">
        <v>74</v>
      </c>
      <c r="E1768" t="str">
        <f>"FES1162723146"</f>
        <v>FES1162723146</v>
      </c>
      <c r="F1768" s="3">
        <v>43783</v>
      </c>
      <c r="G1768">
        <v>202005</v>
      </c>
      <c r="H1768" t="s">
        <v>75</v>
      </c>
      <c r="I1768" t="s">
        <v>76</v>
      </c>
      <c r="J1768" t="s">
        <v>77</v>
      </c>
      <c r="K1768" t="s">
        <v>78</v>
      </c>
      <c r="L1768" t="s">
        <v>101</v>
      </c>
      <c r="M1768" t="s">
        <v>102</v>
      </c>
      <c r="N1768" t="s">
        <v>208</v>
      </c>
      <c r="O1768" t="s">
        <v>82</v>
      </c>
      <c r="P1768" t="str">
        <f>"2170717161                    "</f>
        <v xml:space="preserve">2170717161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15.02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2</v>
      </c>
      <c r="BJ1768">
        <v>3.3</v>
      </c>
      <c r="BK1768">
        <v>3.5</v>
      </c>
      <c r="BL1768" s="4">
        <v>88.27</v>
      </c>
      <c r="BM1768" s="4">
        <v>13.24</v>
      </c>
      <c r="BN1768" s="4">
        <v>101.51</v>
      </c>
      <c r="BO1768" s="4">
        <v>101.51</v>
      </c>
      <c r="BQ1768" t="s">
        <v>121</v>
      </c>
      <c r="BR1768" t="s">
        <v>84</v>
      </c>
      <c r="BS1768" s="3">
        <v>43784</v>
      </c>
      <c r="BT1768" s="5">
        <v>0.38541666666666669</v>
      </c>
      <c r="BU1768" t="s">
        <v>1606</v>
      </c>
      <c r="BV1768" t="s">
        <v>86</v>
      </c>
      <c r="BY1768">
        <v>16466.060000000001</v>
      </c>
      <c r="CC1768" t="s">
        <v>102</v>
      </c>
      <c r="CD1768">
        <v>200</v>
      </c>
      <c r="CE1768" t="s">
        <v>88</v>
      </c>
      <c r="CF1768" s="3">
        <v>43788</v>
      </c>
      <c r="CI1768">
        <v>1</v>
      </c>
      <c r="CJ1768">
        <v>1</v>
      </c>
      <c r="CK1768">
        <v>21</v>
      </c>
      <c r="CL1768" t="s">
        <v>89</v>
      </c>
    </row>
    <row r="1769" spans="1:90">
      <c r="A1769" t="s">
        <v>72</v>
      </c>
      <c r="B1769" t="s">
        <v>73</v>
      </c>
      <c r="C1769" t="s">
        <v>74</v>
      </c>
      <c r="E1769" t="str">
        <f>"FES1162723049"</f>
        <v>FES1162723049</v>
      </c>
      <c r="F1769" s="3">
        <v>43783</v>
      </c>
      <c r="G1769">
        <v>202005</v>
      </c>
      <c r="H1769" t="s">
        <v>75</v>
      </c>
      <c r="I1769" t="s">
        <v>76</v>
      </c>
      <c r="J1769" t="s">
        <v>77</v>
      </c>
      <c r="K1769" t="s">
        <v>78</v>
      </c>
      <c r="L1769" t="s">
        <v>101</v>
      </c>
      <c r="M1769" t="s">
        <v>102</v>
      </c>
      <c r="N1769" t="s">
        <v>768</v>
      </c>
      <c r="O1769" t="s">
        <v>82</v>
      </c>
      <c r="P1769" t="str">
        <f>"2170714118                    "</f>
        <v xml:space="preserve">2170714118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8.58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1.3</v>
      </c>
      <c r="BJ1769">
        <v>1.3</v>
      </c>
      <c r="BK1769">
        <v>1.5</v>
      </c>
      <c r="BL1769" s="4">
        <v>50.45</v>
      </c>
      <c r="BM1769" s="4">
        <v>7.57</v>
      </c>
      <c r="BN1769" s="4">
        <v>58.02</v>
      </c>
      <c r="BO1769" s="4">
        <v>58.02</v>
      </c>
      <c r="BQ1769" t="s">
        <v>121</v>
      </c>
      <c r="BR1769" t="s">
        <v>84</v>
      </c>
      <c r="BS1769" s="3">
        <v>43784</v>
      </c>
      <c r="BT1769" s="5">
        <v>0.375</v>
      </c>
      <c r="BU1769" t="s">
        <v>1780</v>
      </c>
      <c r="BV1769" t="s">
        <v>86</v>
      </c>
      <c r="BY1769">
        <v>6450.69</v>
      </c>
      <c r="CA1769" t="s">
        <v>105</v>
      </c>
      <c r="CC1769" t="s">
        <v>102</v>
      </c>
      <c r="CD1769">
        <v>117</v>
      </c>
      <c r="CE1769" t="s">
        <v>88</v>
      </c>
      <c r="CF1769" s="3">
        <v>43787</v>
      </c>
      <c r="CI1769">
        <v>1</v>
      </c>
      <c r="CJ1769">
        <v>1</v>
      </c>
      <c r="CK1769">
        <v>21</v>
      </c>
      <c r="CL1769" t="s">
        <v>89</v>
      </c>
    </row>
    <row r="1770" spans="1:90">
      <c r="A1770" t="s">
        <v>72</v>
      </c>
      <c r="B1770" t="s">
        <v>73</v>
      </c>
      <c r="C1770" t="s">
        <v>74</v>
      </c>
      <c r="E1770" t="str">
        <f>"FES1162723048"</f>
        <v>FES1162723048</v>
      </c>
      <c r="F1770" s="3">
        <v>43783</v>
      </c>
      <c r="G1770">
        <v>202005</v>
      </c>
      <c r="H1770" t="s">
        <v>75</v>
      </c>
      <c r="I1770" t="s">
        <v>76</v>
      </c>
      <c r="J1770" t="s">
        <v>77</v>
      </c>
      <c r="K1770" t="s">
        <v>78</v>
      </c>
      <c r="L1770" t="s">
        <v>101</v>
      </c>
      <c r="M1770" t="s">
        <v>102</v>
      </c>
      <c r="N1770" t="s">
        <v>1390</v>
      </c>
      <c r="O1770" t="s">
        <v>82</v>
      </c>
      <c r="P1770" t="str">
        <f>"2170713779                    "</f>
        <v xml:space="preserve">2170713779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8.58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0.6</v>
      </c>
      <c r="BJ1770">
        <v>0.8</v>
      </c>
      <c r="BK1770">
        <v>1</v>
      </c>
      <c r="BL1770" s="4">
        <v>50.45</v>
      </c>
      <c r="BM1770" s="4">
        <v>7.57</v>
      </c>
      <c r="BN1770" s="4">
        <v>58.02</v>
      </c>
      <c r="BO1770" s="4">
        <v>58.02</v>
      </c>
      <c r="BQ1770" t="s">
        <v>109</v>
      </c>
      <c r="BR1770" t="s">
        <v>84</v>
      </c>
      <c r="BS1770" s="3">
        <v>43784</v>
      </c>
      <c r="BT1770" s="5">
        <v>0.4375</v>
      </c>
      <c r="BU1770" t="s">
        <v>295</v>
      </c>
      <c r="BV1770" t="s">
        <v>86</v>
      </c>
      <c r="BY1770">
        <v>4153.83</v>
      </c>
      <c r="CC1770" t="s">
        <v>102</v>
      </c>
      <c r="CD1770">
        <v>200</v>
      </c>
      <c r="CE1770" t="s">
        <v>88</v>
      </c>
      <c r="CF1770" s="3">
        <v>43788</v>
      </c>
      <c r="CI1770">
        <v>1</v>
      </c>
      <c r="CJ1770">
        <v>1</v>
      </c>
      <c r="CK1770">
        <v>21</v>
      </c>
      <c r="CL1770" t="s">
        <v>89</v>
      </c>
    </row>
    <row r="1771" spans="1:90">
      <c r="A1771" t="s">
        <v>72</v>
      </c>
      <c r="B1771" t="s">
        <v>73</v>
      </c>
      <c r="C1771" t="s">
        <v>74</v>
      </c>
      <c r="E1771" t="str">
        <f>"FES1162723214"</f>
        <v>FES1162723214</v>
      </c>
      <c r="F1771" s="3">
        <v>43783</v>
      </c>
      <c r="G1771">
        <v>202005</v>
      </c>
      <c r="H1771" t="s">
        <v>75</v>
      </c>
      <c r="I1771" t="s">
        <v>76</v>
      </c>
      <c r="J1771" t="s">
        <v>77</v>
      </c>
      <c r="K1771" t="s">
        <v>78</v>
      </c>
      <c r="L1771" t="s">
        <v>304</v>
      </c>
      <c r="M1771" t="s">
        <v>305</v>
      </c>
      <c r="N1771" t="s">
        <v>2108</v>
      </c>
      <c r="O1771" t="s">
        <v>82</v>
      </c>
      <c r="P1771" t="str">
        <f>"2170717237                    "</f>
        <v xml:space="preserve">2170717237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24.14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2.7</v>
      </c>
      <c r="BJ1771">
        <v>2.9</v>
      </c>
      <c r="BK1771">
        <v>3</v>
      </c>
      <c r="BL1771" s="4">
        <v>141.9</v>
      </c>
      <c r="BM1771" s="4">
        <v>21.29</v>
      </c>
      <c r="BN1771" s="4">
        <v>163.19</v>
      </c>
      <c r="BO1771" s="4">
        <v>163.19</v>
      </c>
      <c r="BQ1771" t="s">
        <v>121</v>
      </c>
      <c r="BR1771" t="s">
        <v>84</v>
      </c>
      <c r="BS1771" s="3">
        <v>43784</v>
      </c>
      <c r="BT1771" s="5">
        <v>0.41666666666666669</v>
      </c>
      <c r="BU1771" t="s">
        <v>2149</v>
      </c>
      <c r="BV1771" t="s">
        <v>86</v>
      </c>
      <c r="BY1771">
        <v>14676.82</v>
      </c>
      <c r="CC1771" t="s">
        <v>305</v>
      </c>
      <c r="CD1771">
        <v>5605</v>
      </c>
      <c r="CE1771" t="s">
        <v>88</v>
      </c>
      <c r="CF1771" s="3">
        <v>43790</v>
      </c>
      <c r="CI1771">
        <v>4</v>
      </c>
      <c r="CJ1771">
        <v>1</v>
      </c>
      <c r="CK1771">
        <v>23</v>
      </c>
      <c r="CL1771" t="s">
        <v>89</v>
      </c>
    </row>
    <row r="1772" spans="1:90">
      <c r="A1772" t="s">
        <v>72</v>
      </c>
      <c r="B1772" t="s">
        <v>73</v>
      </c>
      <c r="C1772" t="s">
        <v>74</v>
      </c>
      <c r="E1772" t="str">
        <f>"FES1162723156"</f>
        <v>FES1162723156</v>
      </c>
      <c r="F1772" s="3">
        <v>43783</v>
      </c>
      <c r="G1772">
        <v>202005</v>
      </c>
      <c r="H1772" t="s">
        <v>75</v>
      </c>
      <c r="I1772" t="s">
        <v>76</v>
      </c>
      <c r="J1772" t="s">
        <v>77</v>
      </c>
      <c r="K1772" t="s">
        <v>78</v>
      </c>
      <c r="L1772" t="s">
        <v>176</v>
      </c>
      <c r="M1772" t="s">
        <v>177</v>
      </c>
      <c r="N1772" t="s">
        <v>1778</v>
      </c>
      <c r="O1772" t="s">
        <v>82</v>
      </c>
      <c r="P1772" t="str">
        <f>"2170717174                    "</f>
        <v xml:space="preserve">2170717174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34.31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7.4</v>
      </c>
      <c r="BJ1772">
        <v>7.9</v>
      </c>
      <c r="BK1772">
        <v>8</v>
      </c>
      <c r="BL1772" s="4">
        <v>201.7</v>
      </c>
      <c r="BM1772" s="4">
        <v>30.26</v>
      </c>
      <c r="BN1772" s="4">
        <v>231.96</v>
      </c>
      <c r="BO1772" s="4">
        <v>231.96</v>
      </c>
      <c r="BQ1772" t="s">
        <v>161</v>
      </c>
      <c r="BR1772" t="s">
        <v>84</v>
      </c>
      <c r="BS1772" s="3">
        <v>43784</v>
      </c>
      <c r="BT1772" s="5">
        <v>0.2986111111111111</v>
      </c>
      <c r="BU1772" t="s">
        <v>2150</v>
      </c>
      <c r="BV1772" t="s">
        <v>86</v>
      </c>
      <c r="BY1772">
        <v>39667.56</v>
      </c>
      <c r="CA1772" t="s">
        <v>1339</v>
      </c>
      <c r="CC1772" t="s">
        <v>177</v>
      </c>
      <c r="CD1772">
        <v>4037</v>
      </c>
      <c r="CE1772" t="s">
        <v>88</v>
      </c>
      <c r="CF1772" s="3">
        <v>43787</v>
      </c>
      <c r="CI1772">
        <v>1</v>
      </c>
      <c r="CJ1772">
        <v>1</v>
      </c>
      <c r="CK1772">
        <v>21</v>
      </c>
      <c r="CL1772" t="s">
        <v>89</v>
      </c>
    </row>
    <row r="1773" spans="1:90">
      <c r="A1773" t="s">
        <v>72</v>
      </c>
      <c r="B1773" t="s">
        <v>73</v>
      </c>
      <c r="C1773" t="s">
        <v>74</v>
      </c>
      <c r="E1773" t="str">
        <f>"FES1162723102"</f>
        <v>FES1162723102</v>
      </c>
      <c r="F1773" s="3">
        <v>43783</v>
      </c>
      <c r="G1773">
        <v>202005</v>
      </c>
      <c r="H1773" t="s">
        <v>75</v>
      </c>
      <c r="I1773" t="s">
        <v>76</v>
      </c>
      <c r="J1773" t="s">
        <v>77</v>
      </c>
      <c r="K1773" t="s">
        <v>78</v>
      </c>
      <c r="L1773" t="s">
        <v>431</v>
      </c>
      <c r="M1773" t="s">
        <v>432</v>
      </c>
      <c r="N1773" t="s">
        <v>436</v>
      </c>
      <c r="O1773" t="s">
        <v>82</v>
      </c>
      <c r="P1773" t="str">
        <f>"2170716846                    "</f>
        <v xml:space="preserve">2170716846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68.62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5.7</v>
      </c>
      <c r="BJ1773">
        <v>15.8</v>
      </c>
      <c r="BK1773">
        <v>16</v>
      </c>
      <c r="BL1773" s="4">
        <v>403.37</v>
      </c>
      <c r="BM1773" s="4">
        <v>60.51</v>
      </c>
      <c r="BN1773" s="4">
        <v>463.88</v>
      </c>
      <c r="BO1773" s="4">
        <v>463.88</v>
      </c>
      <c r="BQ1773" t="s">
        <v>121</v>
      </c>
      <c r="BR1773" t="s">
        <v>84</v>
      </c>
      <c r="BS1773" s="3">
        <v>43784</v>
      </c>
      <c r="BT1773" s="5">
        <v>0.48958333333333331</v>
      </c>
      <c r="BU1773" t="s">
        <v>1717</v>
      </c>
      <c r="BV1773" t="s">
        <v>86</v>
      </c>
      <c r="BY1773">
        <v>79039.8</v>
      </c>
      <c r="CA1773" t="s">
        <v>435</v>
      </c>
      <c r="CC1773" t="s">
        <v>432</v>
      </c>
      <c r="CD1773">
        <v>3699</v>
      </c>
      <c r="CE1773" t="s">
        <v>88</v>
      </c>
      <c r="CF1773" s="3">
        <v>43787</v>
      </c>
      <c r="CI1773">
        <v>1</v>
      </c>
      <c r="CJ1773">
        <v>1</v>
      </c>
      <c r="CK1773">
        <v>21</v>
      </c>
      <c r="CL1773" t="s">
        <v>89</v>
      </c>
    </row>
    <row r="1774" spans="1:90">
      <c r="A1774" t="s">
        <v>72</v>
      </c>
      <c r="B1774" t="s">
        <v>73</v>
      </c>
      <c r="C1774" t="s">
        <v>74</v>
      </c>
      <c r="E1774" t="str">
        <f>"FES1162723136"</f>
        <v>FES1162723136</v>
      </c>
      <c r="F1774" s="3">
        <v>43783</v>
      </c>
      <c r="G1774">
        <v>202005</v>
      </c>
      <c r="H1774" t="s">
        <v>75</v>
      </c>
      <c r="I1774" t="s">
        <v>76</v>
      </c>
      <c r="J1774" t="s">
        <v>77</v>
      </c>
      <c r="K1774" t="s">
        <v>78</v>
      </c>
      <c r="L1774" t="s">
        <v>112</v>
      </c>
      <c r="M1774" t="s">
        <v>113</v>
      </c>
      <c r="N1774" t="s">
        <v>373</v>
      </c>
      <c r="O1774" t="s">
        <v>82</v>
      </c>
      <c r="P1774" t="str">
        <f>"2170712632                    "</f>
        <v xml:space="preserve">2170712632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62.19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14.1</v>
      </c>
      <c r="BJ1774">
        <v>4.3</v>
      </c>
      <c r="BK1774">
        <v>14.5</v>
      </c>
      <c r="BL1774" s="4">
        <v>365.56</v>
      </c>
      <c r="BM1774" s="4">
        <v>54.83</v>
      </c>
      <c r="BN1774" s="4">
        <v>420.39</v>
      </c>
      <c r="BO1774" s="4">
        <v>420.39</v>
      </c>
      <c r="BQ1774" t="s">
        <v>121</v>
      </c>
      <c r="BR1774" t="s">
        <v>84</v>
      </c>
      <c r="BS1774" s="3">
        <v>43784</v>
      </c>
      <c r="BT1774" s="5">
        <v>0.41805555555555557</v>
      </c>
      <c r="BU1774" t="s">
        <v>2151</v>
      </c>
      <c r="BV1774" t="s">
        <v>86</v>
      </c>
      <c r="BY1774">
        <v>21446.54</v>
      </c>
      <c r="CA1774" t="s">
        <v>255</v>
      </c>
      <c r="CC1774" t="s">
        <v>113</v>
      </c>
      <c r="CD1774">
        <v>4052</v>
      </c>
      <c r="CE1774" t="s">
        <v>88</v>
      </c>
      <c r="CF1774" s="3">
        <v>43787</v>
      </c>
      <c r="CI1774">
        <v>1</v>
      </c>
      <c r="CJ1774">
        <v>1</v>
      </c>
      <c r="CK1774">
        <v>21</v>
      </c>
      <c r="CL1774" t="s">
        <v>89</v>
      </c>
    </row>
    <row r="1775" spans="1:90">
      <c r="A1775" t="s">
        <v>72</v>
      </c>
      <c r="B1775" t="s">
        <v>73</v>
      </c>
      <c r="C1775" t="s">
        <v>74</v>
      </c>
      <c r="E1775" t="str">
        <f>"FES1162723169"</f>
        <v>FES1162723169</v>
      </c>
      <c r="F1775" s="3">
        <v>43783</v>
      </c>
      <c r="G1775">
        <v>202005</v>
      </c>
      <c r="H1775" t="s">
        <v>75</v>
      </c>
      <c r="I1775" t="s">
        <v>76</v>
      </c>
      <c r="J1775" t="s">
        <v>77</v>
      </c>
      <c r="K1775" t="s">
        <v>78</v>
      </c>
      <c r="L1775" t="s">
        <v>225</v>
      </c>
      <c r="M1775" t="s">
        <v>226</v>
      </c>
      <c r="N1775" t="s">
        <v>227</v>
      </c>
      <c r="O1775" t="s">
        <v>82</v>
      </c>
      <c r="P1775" t="str">
        <f>"2170717196                    "</f>
        <v xml:space="preserve">2170717196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8.58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 s="4">
        <v>50.45</v>
      </c>
      <c r="BM1775" s="4">
        <v>7.57</v>
      </c>
      <c r="BN1775" s="4">
        <v>58.02</v>
      </c>
      <c r="BO1775" s="4">
        <v>58.02</v>
      </c>
      <c r="BQ1775" t="s">
        <v>121</v>
      </c>
      <c r="BR1775" t="s">
        <v>84</v>
      </c>
      <c r="BS1775" s="3">
        <v>43784</v>
      </c>
      <c r="BT1775" s="5">
        <v>0.34722222222222227</v>
      </c>
      <c r="BU1775" t="s">
        <v>1684</v>
      </c>
      <c r="BV1775" t="s">
        <v>86</v>
      </c>
      <c r="BY1775">
        <v>1200</v>
      </c>
      <c r="CA1775" t="s">
        <v>229</v>
      </c>
      <c r="CC1775" t="s">
        <v>226</v>
      </c>
      <c r="CD1775">
        <v>4026</v>
      </c>
      <c r="CE1775" t="s">
        <v>147</v>
      </c>
      <c r="CF1775" s="3">
        <v>43787</v>
      </c>
      <c r="CI1775">
        <v>1</v>
      </c>
      <c r="CJ1775">
        <v>1</v>
      </c>
      <c r="CK1775">
        <v>21</v>
      </c>
      <c r="CL1775" t="s">
        <v>89</v>
      </c>
    </row>
    <row r="1776" spans="1:90">
      <c r="A1776" t="s">
        <v>72</v>
      </c>
      <c r="B1776" t="s">
        <v>73</v>
      </c>
      <c r="C1776" t="s">
        <v>74</v>
      </c>
      <c r="E1776" t="str">
        <f>"FES1162723184"</f>
        <v>FES1162723184</v>
      </c>
      <c r="F1776" s="3">
        <v>43783</v>
      </c>
      <c r="G1776">
        <v>202005</v>
      </c>
      <c r="H1776" t="s">
        <v>75</v>
      </c>
      <c r="I1776" t="s">
        <v>76</v>
      </c>
      <c r="J1776" t="s">
        <v>77</v>
      </c>
      <c r="K1776" t="s">
        <v>78</v>
      </c>
      <c r="L1776" t="s">
        <v>176</v>
      </c>
      <c r="M1776" t="s">
        <v>177</v>
      </c>
      <c r="N1776" t="s">
        <v>222</v>
      </c>
      <c r="O1776" t="s">
        <v>82</v>
      </c>
      <c r="P1776" t="str">
        <f>"217071721.3                   "</f>
        <v xml:space="preserve">217071721.3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8.58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 s="4">
        <v>50.45</v>
      </c>
      <c r="BM1776" s="4">
        <v>7.57</v>
      </c>
      <c r="BN1776" s="4">
        <v>58.02</v>
      </c>
      <c r="BO1776" s="4">
        <v>58.02</v>
      </c>
      <c r="BQ1776" t="s">
        <v>121</v>
      </c>
      <c r="BR1776" t="s">
        <v>84</v>
      </c>
      <c r="BS1776" s="3">
        <v>43784</v>
      </c>
      <c r="BT1776" s="5">
        <v>0.42777777777777781</v>
      </c>
      <c r="BU1776" t="s">
        <v>223</v>
      </c>
      <c r="BV1776" t="s">
        <v>86</v>
      </c>
      <c r="BY1776">
        <v>1200</v>
      </c>
      <c r="CA1776" t="s">
        <v>224</v>
      </c>
      <c r="CC1776" t="s">
        <v>177</v>
      </c>
      <c r="CD1776">
        <v>3610</v>
      </c>
      <c r="CE1776" t="s">
        <v>147</v>
      </c>
      <c r="CF1776" s="3">
        <v>43787</v>
      </c>
      <c r="CI1776">
        <v>1</v>
      </c>
      <c r="CJ1776">
        <v>1</v>
      </c>
      <c r="CK1776">
        <v>21</v>
      </c>
      <c r="CL1776" t="s">
        <v>89</v>
      </c>
    </row>
    <row r="1777" spans="1:90">
      <c r="A1777" t="s">
        <v>72</v>
      </c>
      <c r="B1777" t="s">
        <v>73</v>
      </c>
      <c r="C1777" t="s">
        <v>74</v>
      </c>
      <c r="E1777" t="str">
        <f>"FES1162723139"</f>
        <v>FES1162723139</v>
      </c>
      <c r="F1777" s="3">
        <v>43783</v>
      </c>
      <c r="G1777">
        <v>202005</v>
      </c>
      <c r="H1777" t="s">
        <v>75</v>
      </c>
      <c r="I1777" t="s">
        <v>76</v>
      </c>
      <c r="J1777" t="s">
        <v>77</v>
      </c>
      <c r="K1777" t="s">
        <v>78</v>
      </c>
      <c r="L1777" t="s">
        <v>112</v>
      </c>
      <c r="M1777" t="s">
        <v>113</v>
      </c>
      <c r="N1777" t="s">
        <v>2108</v>
      </c>
      <c r="O1777" t="s">
        <v>82</v>
      </c>
      <c r="P1777" t="str">
        <f>"2170717152                    "</f>
        <v xml:space="preserve">2170717152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8.58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 s="4">
        <v>50.45</v>
      </c>
      <c r="BM1777" s="4">
        <v>7.57</v>
      </c>
      <c r="BN1777" s="4">
        <v>58.02</v>
      </c>
      <c r="BO1777" s="4">
        <v>58.02</v>
      </c>
      <c r="BR1777" t="s">
        <v>84</v>
      </c>
      <c r="BS1777" s="3">
        <v>43784</v>
      </c>
      <c r="BT1777" s="5">
        <v>0.4375</v>
      </c>
      <c r="BU1777" t="s">
        <v>2109</v>
      </c>
      <c r="BV1777" t="s">
        <v>86</v>
      </c>
      <c r="BY1777">
        <v>1200</v>
      </c>
      <c r="CC1777" t="s">
        <v>113</v>
      </c>
      <c r="CD1777">
        <v>4001</v>
      </c>
      <c r="CE1777" t="s">
        <v>147</v>
      </c>
      <c r="CF1777" s="3">
        <v>43787</v>
      </c>
      <c r="CI1777">
        <v>1</v>
      </c>
      <c r="CJ1777">
        <v>1</v>
      </c>
      <c r="CK1777">
        <v>21</v>
      </c>
      <c r="CL1777" t="s">
        <v>89</v>
      </c>
    </row>
    <row r="1778" spans="1:90">
      <c r="A1778" t="s">
        <v>72</v>
      </c>
      <c r="B1778" t="s">
        <v>73</v>
      </c>
      <c r="C1778" t="s">
        <v>74</v>
      </c>
      <c r="E1778" t="str">
        <f>"FES1162723140"</f>
        <v>FES1162723140</v>
      </c>
      <c r="F1778" s="3">
        <v>43783</v>
      </c>
      <c r="G1778">
        <v>202005</v>
      </c>
      <c r="H1778" t="s">
        <v>75</v>
      </c>
      <c r="I1778" t="s">
        <v>76</v>
      </c>
      <c r="J1778" t="s">
        <v>77</v>
      </c>
      <c r="K1778" t="s">
        <v>78</v>
      </c>
      <c r="L1778" t="s">
        <v>112</v>
      </c>
      <c r="M1778" t="s">
        <v>113</v>
      </c>
      <c r="N1778" t="s">
        <v>2108</v>
      </c>
      <c r="O1778" t="s">
        <v>82</v>
      </c>
      <c r="P1778" t="str">
        <f>"2170717154                    "</f>
        <v xml:space="preserve">2170717154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8.58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 s="4">
        <v>50.45</v>
      </c>
      <c r="BM1778" s="4">
        <v>7.57</v>
      </c>
      <c r="BN1778" s="4">
        <v>58.02</v>
      </c>
      <c r="BO1778" s="4">
        <v>58.02</v>
      </c>
      <c r="BR1778" t="s">
        <v>84</v>
      </c>
      <c r="BS1778" s="3">
        <v>43784</v>
      </c>
      <c r="BT1778" s="5">
        <v>0.4375</v>
      </c>
      <c r="BU1778" t="s">
        <v>2109</v>
      </c>
      <c r="BV1778" t="s">
        <v>86</v>
      </c>
      <c r="BY1778">
        <v>1200</v>
      </c>
      <c r="CC1778" t="s">
        <v>113</v>
      </c>
      <c r="CD1778">
        <v>4001</v>
      </c>
      <c r="CE1778" t="s">
        <v>147</v>
      </c>
      <c r="CF1778" s="3">
        <v>43787</v>
      </c>
      <c r="CI1778">
        <v>1</v>
      </c>
      <c r="CJ1778">
        <v>1</v>
      </c>
      <c r="CK1778">
        <v>21</v>
      </c>
      <c r="CL1778" t="s">
        <v>89</v>
      </c>
    </row>
    <row r="1779" spans="1:90">
      <c r="A1779" t="s">
        <v>72</v>
      </c>
      <c r="B1779" t="s">
        <v>73</v>
      </c>
      <c r="C1779" t="s">
        <v>74</v>
      </c>
      <c r="E1779" t="str">
        <f>"FES1162723179"</f>
        <v>FES1162723179</v>
      </c>
      <c r="F1779" s="3">
        <v>43783</v>
      </c>
      <c r="G1779">
        <v>202005</v>
      </c>
      <c r="H1779" t="s">
        <v>75</v>
      </c>
      <c r="I1779" t="s">
        <v>76</v>
      </c>
      <c r="J1779" t="s">
        <v>77</v>
      </c>
      <c r="K1779" t="s">
        <v>78</v>
      </c>
      <c r="L1779" t="s">
        <v>214</v>
      </c>
      <c r="M1779" t="s">
        <v>214</v>
      </c>
      <c r="N1779" t="s">
        <v>1985</v>
      </c>
      <c r="O1779" t="s">
        <v>82</v>
      </c>
      <c r="P1779" t="str">
        <f>"217077211                     "</f>
        <v xml:space="preserve">217077211 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50.43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3.7</v>
      </c>
      <c r="BJ1779">
        <v>6.4</v>
      </c>
      <c r="BK1779">
        <v>6.5</v>
      </c>
      <c r="BL1779" s="4">
        <v>296.43</v>
      </c>
      <c r="BM1779" s="4">
        <v>44.46</v>
      </c>
      <c r="BN1779" s="4">
        <v>340.89</v>
      </c>
      <c r="BO1779" s="4">
        <v>340.89</v>
      </c>
      <c r="BQ1779" t="s">
        <v>121</v>
      </c>
      <c r="BR1779" t="s">
        <v>84</v>
      </c>
      <c r="BS1779" s="3">
        <v>43784</v>
      </c>
      <c r="BT1779" s="5">
        <v>0.47430555555555554</v>
      </c>
      <c r="BU1779" t="s">
        <v>1986</v>
      </c>
      <c r="BV1779" t="s">
        <v>86</v>
      </c>
      <c r="BY1779">
        <v>32073.78</v>
      </c>
      <c r="CA1779" t="s">
        <v>217</v>
      </c>
      <c r="CC1779" t="s">
        <v>214</v>
      </c>
      <c r="CD1779">
        <v>7646</v>
      </c>
      <c r="CE1779" t="s">
        <v>88</v>
      </c>
      <c r="CF1779" s="3">
        <v>43787</v>
      </c>
      <c r="CI1779">
        <v>1</v>
      </c>
      <c r="CJ1779">
        <v>1</v>
      </c>
      <c r="CK1779">
        <v>23</v>
      </c>
      <c r="CL1779" t="s">
        <v>89</v>
      </c>
    </row>
    <row r="1780" spans="1:90">
      <c r="A1780" t="s">
        <v>72</v>
      </c>
      <c r="B1780" t="s">
        <v>73</v>
      </c>
      <c r="C1780" t="s">
        <v>74</v>
      </c>
      <c r="E1780" t="str">
        <f>"FES1162723135"</f>
        <v>FES1162723135</v>
      </c>
      <c r="F1780" s="3">
        <v>43783</v>
      </c>
      <c r="G1780">
        <v>202005</v>
      </c>
      <c r="H1780" t="s">
        <v>75</v>
      </c>
      <c r="I1780" t="s">
        <v>76</v>
      </c>
      <c r="J1780" t="s">
        <v>77</v>
      </c>
      <c r="K1780" t="s">
        <v>78</v>
      </c>
      <c r="L1780" t="s">
        <v>118</v>
      </c>
      <c r="M1780" t="s">
        <v>119</v>
      </c>
      <c r="N1780" t="s">
        <v>630</v>
      </c>
      <c r="O1780" t="s">
        <v>82</v>
      </c>
      <c r="P1780" t="str">
        <f>"2170717150                    "</f>
        <v xml:space="preserve">2170717150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8.58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 s="4">
        <v>50.45</v>
      </c>
      <c r="BM1780" s="4">
        <v>7.57</v>
      </c>
      <c r="BN1780" s="4">
        <v>58.02</v>
      </c>
      <c r="BO1780" s="4">
        <v>58.02</v>
      </c>
      <c r="BQ1780" t="s">
        <v>121</v>
      </c>
      <c r="BR1780" t="s">
        <v>84</v>
      </c>
      <c r="BS1780" s="3">
        <v>43784</v>
      </c>
      <c r="BT1780" s="5">
        <v>0.33888888888888885</v>
      </c>
      <c r="BU1780" t="s">
        <v>631</v>
      </c>
      <c r="BV1780" t="s">
        <v>86</v>
      </c>
      <c r="BY1780">
        <v>1200</v>
      </c>
      <c r="CA1780" t="s">
        <v>632</v>
      </c>
      <c r="CC1780" t="s">
        <v>119</v>
      </c>
      <c r="CD1780">
        <v>3201</v>
      </c>
      <c r="CE1780" t="s">
        <v>147</v>
      </c>
      <c r="CF1780" s="3">
        <v>43787</v>
      </c>
      <c r="CI1780">
        <v>1</v>
      </c>
      <c r="CJ1780">
        <v>1</v>
      </c>
      <c r="CK1780">
        <v>21</v>
      </c>
      <c r="CL1780" t="s">
        <v>89</v>
      </c>
    </row>
    <row r="1781" spans="1:90">
      <c r="A1781" t="s">
        <v>72</v>
      </c>
      <c r="B1781" t="s">
        <v>73</v>
      </c>
      <c r="C1781" t="s">
        <v>74</v>
      </c>
      <c r="E1781" t="str">
        <f>"FES1162723090"</f>
        <v>FES1162723090</v>
      </c>
      <c r="F1781" s="3">
        <v>43783</v>
      </c>
      <c r="G1781">
        <v>202005</v>
      </c>
      <c r="H1781" t="s">
        <v>75</v>
      </c>
      <c r="I1781" t="s">
        <v>76</v>
      </c>
      <c r="J1781" t="s">
        <v>77</v>
      </c>
      <c r="K1781" t="s">
        <v>78</v>
      </c>
      <c r="L1781" t="s">
        <v>112</v>
      </c>
      <c r="M1781" t="s">
        <v>113</v>
      </c>
      <c r="N1781" t="s">
        <v>620</v>
      </c>
      <c r="O1781" t="s">
        <v>82</v>
      </c>
      <c r="P1781" t="str">
        <f>"2170715029                    "</f>
        <v xml:space="preserve">2170715029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8.58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 s="4">
        <v>50.45</v>
      </c>
      <c r="BM1781" s="4">
        <v>7.57</v>
      </c>
      <c r="BN1781" s="4">
        <v>58.02</v>
      </c>
      <c r="BO1781" s="4">
        <v>58.02</v>
      </c>
      <c r="BQ1781" t="s">
        <v>109</v>
      </c>
      <c r="BR1781" t="s">
        <v>84</v>
      </c>
      <c r="BS1781" s="3">
        <v>43784</v>
      </c>
      <c r="BT1781" s="5">
        <v>0.35555555555555557</v>
      </c>
      <c r="BU1781" t="s">
        <v>1377</v>
      </c>
      <c r="BV1781" t="s">
        <v>86</v>
      </c>
      <c r="BY1781">
        <v>1200</v>
      </c>
      <c r="CA1781" t="s">
        <v>255</v>
      </c>
      <c r="CC1781" t="s">
        <v>113</v>
      </c>
      <c r="CD1781">
        <v>4302</v>
      </c>
      <c r="CE1781" t="s">
        <v>147</v>
      </c>
      <c r="CF1781" s="3">
        <v>43787</v>
      </c>
      <c r="CI1781">
        <v>1</v>
      </c>
      <c r="CJ1781">
        <v>1</v>
      </c>
      <c r="CK1781">
        <v>21</v>
      </c>
      <c r="CL1781" t="s">
        <v>89</v>
      </c>
    </row>
    <row r="1782" spans="1:90">
      <c r="A1782" t="s">
        <v>72</v>
      </c>
      <c r="B1782" t="s">
        <v>73</v>
      </c>
      <c r="C1782" t="s">
        <v>74</v>
      </c>
      <c r="E1782" t="str">
        <f>"FES1162723171"</f>
        <v>FES1162723171</v>
      </c>
      <c r="F1782" s="3">
        <v>43783</v>
      </c>
      <c r="G1782">
        <v>202005</v>
      </c>
      <c r="H1782" t="s">
        <v>75</v>
      </c>
      <c r="I1782" t="s">
        <v>76</v>
      </c>
      <c r="J1782" t="s">
        <v>77</v>
      </c>
      <c r="K1782" t="s">
        <v>78</v>
      </c>
      <c r="L1782" t="s">
        <v>90</v>
      </c>
      <c r="M1782" t="s">
        <v>91</v>
      </c>
      <c r="N1782" t="s">
        <v>950</v>
      </c>
      <c r="O1782" t="s">
        <v>82</v>
      </c>
      <c r="P1782" t="str">
        <f>"2170717198                    "</f>
        <v xml:space="preserve">2170717198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8.58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 s="4">
        <v>50.45</v>
      </c>
      <c r="BM1782" s="4">
        <v>7.57</v>
      </c>
      <c r="BN1782" s="4">
        <v>58.02</v>
      </c>
      <c r="BO1782" s="4">
        <v>58.02</v>
      </c>
      <c r="BQ1782" t="s">
        <v>121</v>
      </c>
      <c r="BR1782" t="s">
        <v>84</v>
      </c>
      <c r="BS1782" s="3">
        <v>43784</v>
      </c>
      <c r="BT1782" s="5">
        <v>0.32569444444444445</v>
      </c>
      <c r="BU1782" t="s">
        <v>1692</v>
      </c>
      <c r="BV1782" t="s">
        <v>86</v>
      </c>
      <c r="BY1782">
        <v>1200</v>
      </c>
      <c r="CA1782" t="s">
        <v>1309</v>
      </c>
      <c r="CC1782" t="s">
        <v>91</v>
      </c>
      <c r="CD1782">
        <v>7530</v>
      </c>
      <c r="CE1782" t="s">
        <v>147</v>
      </c>
      <c r="CF1782" s="3">
        <v>43787</v>
      </c>
      <c r="CI1782">
        <v>1</v>
      </c>
      <c r="CJ1782">
        <v>1</v>
      </c>
      <c r="CK1782">
        <v>21</v>
      </c>
      <c r="CL1782" t="s">
        <v>89</v>
      </c>
    </row>
    <row r="1783" spans="1:90">
      <c r="A1783" t="s">
        <v>72</v>
      </c>
      <c r="B1783" t="s">
        <v>73</v>
      </c>
      <c r="C1783" t="s">
        <v>74</v>
      </c>
      <c r="E1783" t="str">
        <f>"FES1162723173"</f>
        <v>FES1162723173</v>
      </c>
      <c r="F1783" s="3">
        <v>43783</v>
      </c>
      <c r="G1783">
        <v>202005</v>
      </c>
      <c r="H1783" t="s">
        <v>75</v>
      </c>
      <c r="I1783" t="s">
        <v>76</v>
      </c>
      <c r="J1783" t="s">
        <v>77</v>
      </c>
      <c r="K1783" t="s">
        <v>78</v>
      </c>
      <c r="L1783" t="s">
        <v>90</v>
      </c>
      <c r="M1783" t="s">
        <v>91</v>
      </c>
      <c r="N1783" t="s">
        <v>2152</v>
      </c>
      <c r="O1783" t="s">
        <v>82</v>
      </c>
      <c r="P1783" t="str">
        <f>"2170714618                    "</f>
        <v xml:space="preserve">2170714618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8.58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 s="4">
        <v>50.45</v>
      </c>
      <c r="BM1783" s="4">
        <v>7.57</v>
      </c>
      <c r="BN1783" s="4">
        <v>58.02</v>
      </c>
      <c r="BO1783" s="4">
        <v>58.02</v>
      </c>
      <c r="BQ1783" t="s">
        <v>2153</v>
      </c>
      <c r="BR1783" t="s">
        <v>84</v>
      </c>
      <c r="BS1783" s="3">
        <v>43784</v>
      </c>
      <c r="BT1783" s="5">
        <v>0.37847222222222227</v>
      </c>
      <c r="BU1783" t="s">
        <v>2106</v>
      </c>
      <c r="BV1783" t="s">
        <v>86</v>
      </c>
      <c r="BY1783">
        <v>1200</v>
      </c>
      <c r="CA1783" t="s">
        <v>1522</v>
      </c>
      <c r="CC1783" t="s">
        <v>91</v>
      </c>
      <c r="CD1783">
        <v>7780</v>
      </c>
      <c r="CE1783" t="s">
        <v>147</v>
      </c>
      <c r="CF1783" s="3">
        <v>43787</v>
      </c>
      <c r="CI1783">
        <v>1</v>
      </c>
      <c r="CJ1783">
        <v>1</v>
      </c>
      <c r="CK1783">
        <v>21</v>
      </c>
      <c r="CL1783" t="s">
        <v>89</v>
      </c>
    </row>
    <row r="1784" spans="1:90">
      <c r="A1784" t="s">
        <v>72</v>
      </c>
      <c r="B1784" t="s">
        <v>73</v>
      </c>
      <c r="C1784" t="s">
        <v>74</v>
      </c>
      <c r="E1784" t="str">
        <f>"FES1162723207"</f>
        <v>FES1162723207</v>
      </c>
      <c r="F1784" s="3">
        <v>43783</v>
      </c>
      <c r="G1784">
        <v>202005</v>
      </c>
      <c r="H1784" t="s">
        <v>75</v>
      </c>
      <c r="I1784" t="s">
        <v>76</v>
      </c>
      <c r="J1784" t="s">
        <v>77</v>
      </c>
      <c r="K1784" t="s">
        <v>78</v>
      </c>
      <c r="L1784" t="s">
        <v>106</v>
      </c>
      <c r="M1784" t="s">
        <v>107</v>
      </c>
      <c r="N1784" t="s">
        <v>150</v>
      </c>
      <c r="O1784" t="s">
        <v>82</v>
      </c>
      <c r="P1784" t="str">
        <f>"2170717229                    "</f>
        <v xml:space="preserve">2170717229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8.58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 s="4">
        <v>50.45</v>
      </c>
      <c r="BM1784" s="4">
        <v>7.57</v>
      </c>
      <c r="BN1784" s="4">
        <v>58.02</v>
      </c>
      <c r="BO1784" s="4">
        <v>58.02</v>
      </c>
      <c r="BQ1784" t="s">
        <v>109</v>
      </c>
      <c r="BR1784" t="s">
        <v>84</v>
      </c>
      <c r="BS1784" s="3">
        <v>43784</v>
      </c>
      <c r="BT1784" s="5">
        <v>0.35486111111111113</v>
      </c>
      <c r="BU1784" t="s">
        <v>151</v>
      </c>
      <c r="BV1784" t="s">
        <v>86</v>
      </c>
      <c r="BY1784">
        <v>1200</v>
      </c>
      <c r="CC1784" t="s">
        <v>107</v>
      </c>
      <c r="CD1784">
        <v>6001</v>
      </c>
      <c r="CE1784" t="s">
        <v>147</v>
      </c>
      <c r="CF1784" s="3">
        <v>43787</v>
      </c>
      <c r="CI1784">
        <v>1</v>
      </c>
      <c r="CJ1784">
        <v>1</v>
      </c>
      <c r="CK1784">
        <v>21</v>
      </c>
      <c r="CL1784" t="s">
        <v>89</v>
      </c>
    </row>
    <row r="1785" spans="1:90">
      <c r="A1785" t="s">
        <v>72</v>
      </c>
      <c r="B1785" t="s">
        <v>73</v>
      </c>
      <c r="C1785" t="s">
        <v>74</v>
      </c>
      <c r="E1785" t="str">
        <f>"FES1162723125"</f>
        <v>FES1162723125</v>
      </c>
      <c r="F1785" s="3">
        <v>43783</v>
      </c>
      <c r="G1785">
        <v>202005</v>
      </c>
      <c r="H1785" t="s">
        <v>75</v>
      </c>
      <c r="I1785" t="s">
        <v>76</v>
      </c>
      <c r="J1785" t="s">
        <v>77</v>
      </c>
      <c r="K1785" t="s">
        <v>78</v>
      </c>
      <c r="L1785" t="s">
        <v>106</v>
      </c>
      <c r="M1785" t="s">
        <v>107</v>
      </c>
      <c r="N1785" t="s">
        <v>2154</v>
      </c>
      <c r="O1785" t="s">
        <v>82</v>
      </c>
      <c r="P1785" t="str">
        <f>"2170717125                    "</f>
        <v xml:space="preserve">2170717125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8.58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 s="4">
        <v>50.45</v>
      </c>
      <c r="BM1785" s="4">
        <v>7.57</v>
      </c>
      <c r="BN1785" s="4">
        <v>58.02</v>
      </c>
      <c r="BO1785" s="4">
        <v>58.02</v>
      </c>
      <c r="BP1785" t="s">
        <v>2155</v>
      </c>
      <c r="BQ1785" t="s">
        <v>2156</v>
      </c>
      <c r="BR1785" t="s">
        <v>84</v>
      </c>
      <c r="BS1785" s="3">
        <v>43788</v>
      </c>
      <c r="BT1785" s="5">
        <v>0.42499999999999999</v>
      </c>
      <c r="BU1785" t="s">
        <v>2157</v>
      </c>
      <c r="BV1785" t="s">
        <v>89</v>
      </c>
      <c r="BW1785" t="s">
        <v>364</v>
      </c>
      <c r="BX1785" t="s">
        <v>2158</v>
      </c>
      <c r="BY1785">
        <v>1200</v>
      </c>
      <c r="CA1785" t="s">
        <v>1309</v>
      </c>
      <c r="CC1785" t="s">
        <v>107</v>
      </c>
      <c r="CD1785">
        <v>6012</v>
      </c>
      <c r="CE1785" t="s">
        <v>147</v>
      </c>
      <c r="CF1785" s="3">
        <v>43789</v>
      </c>
      <c r="CI1785">
        <v>1</v>
      </c>
      <c r="CJ1785">
        <v>3</v>
      </c>
      <c r="CK1785">
        <v>21</v>
      </c>
      <c r="CL1785" t="s">
        <v>89</v>
      </c>
    </row>
    <row r="1786" spans="1:90">
      <c r="A1786" t="s">
        <v>72</v>
      </c>
      <c r="B1786" t="s">
        <v>73</v>
      </c>
      <c r="C1786" t="s">
        <v>74</v>
      </c>
      <c r="E1786" t="str">
        <f>"009935723351"</f>
        <v>009935723351</v>
      </c>
      <c r="F1786" s="3">
        <v>43783</v>
      </c>
      <c r="G1786">
        <v>202005</v>
      </c>
      <c r="H1786" t="s">
        <v>75</v>
      </c>
      <c r="I1786" t="s">
        <v>76</v>
      </c>
      <c r="J1786" t="s">
        <v>77</v>
      </c>
      <c r="K1786" t="s">
        <v>78</v>
      </c>
      <c r="L1786" t="s">
        <v>106</v>
      </c>
      <c r="M1786" t="s">
        <v>107</v>
      </c>
      <c r="N1786" t="s">
        <v>262</v>
      </c>
      <c r="O1786" t="s">
        <v>82</v>
      </c>
      <c r="P1786" t="str">
        <f>"KAVENESH                      "</f>
        <v xml:space="preserve">KAVENESH  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8.58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2</v>
      </c>
      <c r="BJ1786">
        <v>1.5</v>
      </c>
      <c r="BK1786">
        <v>2</v>
      </c>
      <c r="BL1786" s="4">
        <v>50.45</v>
      </c>
      <c r="BM1786" s="4">
        <v>7.57</v>
      </c>
      <c r="BN1786" s="4">
        <v>58.02</v>
      </c>
      <c r="BO1786" s="4">
        <v>58.02</v>
      </c>
      <c r="BQ1786" t="s">
        <v>121</v>
      </c>
      <c r="BR1786" t="s">
        <v>84</v>
      </c>
      <c r="BS1786" s="3">
        <v>43784</v>
      </c>
      <c r="BT1786" s="5">
        <v>0.3611111111111111</v>
      </c>
      <c r="BU1786" t="s">
        <v>534</v>
      </c>
      <c r="BV1786" t="s">
        <v>86</v>
      </c>
      <c r="BY1786">
        <v>7540</v>
      </c>
      <c r="CA1786" t="s">
        <v>244</v>
      </c>
      <c r="CC1786" t="s">
        <v>107</v>
      </c>
      <c r="CD1786">
        <v>6045</v>
      </c>
      <c r="CE1786" t="s">
        <v>88</v>
      </c>
      <c r="CF1786" s="3">
        <v>43787</v>
      </c>
      <c r="CI1786">
        <v>1</v>
      </c>
      <c r="CJ1786">
        <v>1</v>
      </c>
      <c r="CK1786">
        <v>21</v>
      </c>
      <c r="CL1786" t="s">
        <v>89</v>
      </c>
    </row>
    <row r="1787" spans="1:90">
      <c r="A1787" t="s">
        <v>72</v>
      </c>
      <c r="B1787" t="s">
        <v>73</v>
      </c>
      <c r="C1787" t="s">
        <v>74</v>
      </c>
      <c r="E1787" t="str">
        <f>"FES1162723194"</f>
        <v>FES1162723194</v>
      </c>
      <c r="F1787" s="3">
        <v>43783</v>
      </c>
      <c r="G1787">
        <v>202005</v>
      </c>
      <c r="H1787" t="s">
        <v>75</v>
      </c>
      <c r="I1787" t="s">
        <v>76</v>
      </c>
      <c r="J1787" t="s">
        <v>77</v>
      </c>
      <c r="K1787" t="s">
        <v>78</v>
      </c>
      <c r="L1787" t="s">
        <v>112</v>
      </c>
      <c r="M1787" t="s">
        <v>113</v>
      </c>
      <c r="N1787" t="s">
        <v>2159</v>
      </c>
      <c r="O1787" t="s">
        <v>82</v>
      </c>
      <c r="P1787" t="str">
        <f>"2170717218                    "</f>
        <v xml:space="preserve">2170717218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27.88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3.9</v>
      </c>
      <c r="BJ1787">
        <v>6.1</v>
      </c>
      <c r="BK1787">
        <v>6.5</v>
      </c>
      <c r="BL1787" s="4">
        <v>163.89</v>
      </c>
      <c r="BM1787" s="4">
        <v>24.58</v>
      </c>
      <c r="BN1787" s="4">
        <v>188.47</v>
      </c>
      <c r="BO1787" s="4">
        <v>188.47</v>
      </c>
      <c r="BQ1787" t="s">
        <v>121</v>
      </c>
      <c r="BR1787" t="s">
        <v>84</v>
      </c>
      <c r="BS1787" s="3">
        <v>43784</v>
      </c>
      <c r="BT1787" s="5">
        <v>0.41319444444444442</v>
      </c>
      <c r="BU1787" t="s">
        <v>2160</v>
      </c>
      <c r="BV1787" t="s">
        <v>86</v>
      </c>
      <c r="BY1787">
        <v>30618</v>
      </c>
      <c r="CA1787" t="s">
        <v>428</v>
      </c>
      <c r="CC1787" t="s">
        <v>113</v>
      </c>
      <c r="CD1787">
        <v>4094</v>
      </c>
      <c r="CE1787" t="s">
        <v>88</v>
      </c>
      <c r="CF1787" s="3">
        <v>43787</v>
      </c>
      <c r="CI1787">
        <v>1</v>
      </c>
      <c r="CJ1787">
        <v>1</v>
      </c>
      <c r="CK1787">
        <v>21</v>
      </c>
      <c r="CL1787" t="s">
        <v>89</v>
      </c>
    </row>
    <row r="1788" spans="1:90">
      <c r="A1788" t="s">
        <v>72</v>
      </c>
      <c r="B1788" t="s">
        <v>73</v>
      </c>
      <c r="C1788" t="s">
        <v>74</v>
      </c>
      <c r="E1788" t="str">
        <f>"FES1162723195"</f>
        <v>FES1162723195</v>
      </c>
      <c r="F1788" s="3">
        <v>43783</v>
      </c>
      <c r="G1788">
        <v>202005</v>
      </c>
      <c r="H1788" t="s">
        <v>75</v>
      </c>
      <c r="I1788" t="s">
        <v>76</v>
      </c>
      <c r="J1788" t="s">
        <v>77</v>
      </c>
      <c r="K1788" t="s">
        <v>78</v>
      </c>
      <c r="L1788" t="s">
        <v>118</v>
      </c>
      <c r="M1788" t="s">
        <v>119</v>
      </c>
      <c r="N1788" t="s">
        <v>885</v>
      </c>
      <c r="O1788" t="s">
        <v>82</v>
      </c>
      <c r="P1788" t="str">
        <f>"2170717219                    "</f>
        <v xml:space="preserve">2170717219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79.349999999999994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14</v>
      </c>
      <c r="BJ1788">
        <v>18.3</v>
      </c>
      <c r="BK1788">
        <v>18.5</v>
      </c>
      <c r="BL1788" s="4">
        <v>466.4</v>
      </c>
      <c r="BM1788" s="4">
        <v>69.959999999999994</v>
      </c>
      <c r="BN1788" s="4">
        <v>536.36</v>
      </c>
      <c r="BO1788" s="4">
        <v>536.36</v>
      </c>
      <c r="BQ1788" t="s">
        <v>109</v>
      </c>
      <c r="BR1788" t="s">
        <v>84</v>
      </c>
      <c r="BS1788" s="3">
        <v>43784</v>
      </c>
      <c r="BT1788" s="5">
        <v>0.39583333333333331</v>
      </c>
      <c r="BU1788" t="s">
        <v>886</v>
      </c>
      <c r="BV1788" t="s">
        <v>86</v>
      </c>
      <c r="BY1788">
        <v>91264</v>
      </c>
      <c r="CA1788" t="s">
        <v>435</v>
      </c>
      <c r="CC1788" t="s">
        <v>119</v>
      </c>
      <c r="CD1788">
        <v>3212</v>
      </c>
      <c r="CE1788" t="s">
        <v>88</v>
      </c>
      <c r="CF1788" s="3">
        <v>43787</v>
      </c>
      <c r="CI1788">
        <v>1</v>
      </c>
      <c r="CJ1788">
        <v>1</v>
      </c>
      <c r="CK1788">
        <v>21</v>
      </c>
      <c r="CL1788" t="s">
        <v>89</v>
      </c>
    </row>
    <row r="1789" spans="1:90">
      <c r="A1789" t="s">
        <v>72</v>
      </c>
      <c r="B1789" t="s">
        <v>73</v>
      </c>
      <c r="C1789" t="s">
        <v>74</v>
      </c>
      <c r="E1789" t="str">
        <f>"FES1162723196"</f>
        <v>FES1162723196</v>
      </c>
      <c r="F1789" s="3">
        <v>43783</v>
      </c>
      <c r="G1789">
        <v>202005</v>
      </c>
      <c r="H1789" t="s">
        <v>75</v>
      </c>
      <c r="I1789" t="s">
        <v>76</v>
      </c>
      <c r="J1789" t="s">
        <v>77</v>
      </c>
      <c r="K1789" t="s">
        <v>78</v>
      </c>
      <c r="L1789" t="s">
        <v>225</v>
      </c>
      <c r="M1789" t="s">
        <v>226</v>
      </c>
      <c r="N1789" t="s">
        <v>227</v>
      </c>
      <c r="O1789" t="s">
        <v>82</v>
      </c>
      <c r="P1789" t="str">
        <f>"2170717221                    "</f>
        <v xml:space="preserve">2170717221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8.58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0.9</v>
      </c>
      <c r="BJ1789">
        <v>0.9</v>
      </c>
      <c r="BK1789">
        <v>1</v>
      </c>
      <c r="BL1789" s="4">
        <v>50.45</v>
      </c>
      <c r="BM1789" s="4">
        <v>7.57</v>
      </c>
      <c r="BN1789" s="4">
        <v>58.02</v>
      </c>
      <c r="BO1789" s="4">
        <v>58.02</v>
      </c>
      <c r="BQ1789" t="s">
        <v>121</v>
      </c>
      <c r="BR1789" t="s">
        <v>84</v>
      </c>
      <c r="BS1789" s="3">
        <v>43784</v>
      </c>
      <c r="BT1789" s="5">
        <v>0.34722222222222227</v>
      </c>
      <c r="BU1789" t="s">
        <v>1684</v>
      </c>
      <c r="BV1789" t="s">
        <v>86</v>
      </c>
      <c r="BY1789">
        <v>4287.01</v>
      </c>
      <c r="CA1789" t="s">
        <v>229</v>
      </c>
      <c r="CC1789" t="s">
        <v>226</v>
      </c>
      <c r="CD1789">
        <v>4026</v>
      </c>
      <c r="CE1789" t="s">
        <v>88</v>
      </c>
      <c r="CF1789" s="3">
        <v>43787</v>
      </c>
      <c r="CI1789">
        <v>1</v>
      </c>
      <c r="CJ1789">
        <v>1</v>
      </c>
      <c r="CK1789">
        <v>21</v>
      </c>
      <c r="CL1789" t="s">
        <v>89</v>
      </c>
    </row>
    <row r="1790" spans="1:90">
      <c r="A1790" t="s">
        <v>72</v>
      </c>
      <c r="B1790" t="s">
        <v>73</v>
      </c>
      <c r="C1790" t="s">
        <v>74</v>
      </c>
      <c r="E1790" t="str">
        <f>"FES1162723247"</f>
        <v>FES1162723247</v>
      </c>
      <c r="F1790" s="3">
        <v>43783</v>
      </c>
      <c r="G1790">
        <v>202005</v>
      </c>
      <c r="H1790" t="s">
        <v>75</v>
      </c>
      <c r="I1790" t="s">
        <v>76</v>
      </c>
      <c r="J1790" t="s">
        <v>77</v>
      </c>
      <c r="K1790" t="s">
        <v>78</v>
      </c>
      <c r="L1790" t="s">
        <v>106</v>
      </c>
      <c r="M1790" t="s">
        <v>107</v>
      </c>
      <c r="N1790" t="s">
        <v>1637</v>
      </c>
      <c r="O1790" t="s">
        <v>82</v>
      </c>
      <c r="P1790" t="str">
        <f>"2170717270                    "</f>
        <v xml:space="preserve">2170717270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8.58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 s="4">
        <v>50.45</v>
      </c>
      <c r="BM1790" s="4">
        <v>7.57</v>
      </c>
      <c r="BN1790" s="4">
        <v>58.02</v>
      </c>
      <c r="BO1790" s="4">
        <v>58.02</v>
      </c>
      <c r="BR1790" t="s">
        <v>84</v>
      </c>
      <c r="BS1790" s="3">
        <v>43784</v>
      </c>
      <c r="BT1790" s="5">
        <v>0.42569444444444443</v>
      </c>
      <c r="BU1790" t="s">
        <v>1900</v>
      </c>
      <c r="BV1790" t="s">
        <v>86</v>
      </c>
      <c r="BY1790">
        <v>1200</v>
      </c>
      <c r="CA1790" t="s">
        <v>773</v>
      </c>
      <c r="CC1790" t="s">
        <v>107</v>
      </c>
      <c r="CD1790">
        <v>6210</v>
      </c>
      <c r="CE1790" t="s">
        <v>147</v>
      </c>
      <c r="CF1790" s="3">
        <v>43787</v>
      </c>
      <c r="CI1790">
        <v>1</v>
      </c>
      <c r="CJ1790">
        <v>1</v>
      </c>
      <c r="CK1790">
        <v>21</v>
      </c>
      <c r="CL1790" t="s">
        <v>89</v>
      </c>
    </row>
    <row r="1791" spans="1:90">
      <c r="A1791" t="s">
        <v>72</v>
      </c>
      <c r="B1791" t="s">
        <v>73</v>
      </c>
      <c r="C1791" t="s">
        <v>74</v>
      </c>
      <c r="E1791" t="str">
        <f>"FES1162723058"</f>
        <v>FES1162723058</v>
      </c>
      <c r="F1791" s="3">
        <v>43783</v>
      </c>
      <c r="G1791">
        <v>202005</v>
      </c>
      <c r="H1791" t="s">
        <v>75</v>
      </c>
      <c r="I1791" t="s">
        <v>76</v>
      </c>
      <c r="J1791" t="s">
        <v>77</v>
      </c>
      <c r="K1791" t="s">
        <v>78</v>
      </c>
      <c r="L1791" t="s">
        <v>344</v>
      </c>
      <c r="M1791" t="s">
        <v>345</v>
      </c>
      <c r="N1791" t="s">
        <v>2161</v>
      </c>
      <c r="O1791" t="s">
        <v>82</v>
      </c>
      <c r="P1791" t="str">
        <f>"2170714398                    "</f>
        <v xml:space="preserve">2170714398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9.1199999999999992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3.3</v>
      </c>
      <c r="BJ1791">
        <v>1</v>
      </c>
      <c r="BK1791">
        <v>3.5</v>
      </c>
      <c r="BL1791" s="4">
        <v>53.59</v>
      </c>
      <c r="BM1791" s="4">
        <v>8.0399999999999991</v>
      </c>
      <c r="BN1791" s="4">
        <v>61.63</v>
      </c>
      <c r="BO1791" s="4">
        <v>61.63</v>
      </c>
      <c r="BQ1791" t="s">
        <v>121</v>
      </c>
      <c r="BR1791" t="s">
        <v>84</v>
      </c>
      <c r="BS1791" s="3">
        <v>43784</v>
      </c>
      <c r="BT1791" s="5">
        <v>0.42708333333333331</v>
      </c>
      <c r="BU1791" t="s">
        <v>2162</v>
      </c>
      <c r="BV1791" t="s">
        <v>86</v>
      </c>
      <c r="BY1791">
        <v>5035.8500000000004</v>
      </c>
      <c r="CC1791" t="s">
        <v>345</v>
      </c>
      <c r="CD1791">
        <v>2162</v>
      </c>
      <c r="CE1791" t="s">
        <v>88</v>
      </c>
      <c r="CF1791" s="3">
        <v>43787</v>
      </c>
      <c r="CI1791">
        <v>1</v>
      </c>
      <c r="CJ1791">
        <v>1</v>
      </c>
      <c r="CK1791">
        <v>22</v>
      </c>
      <c r="CL1791" t="s">
        <v>89</v>
      </c>
    </row>
    <row r="1792" spans="1:90">
      <c r="A1792" t="s">
        <v>72</v>
      </c>
      <c r="B1792" t="s">
        <v>73</v>
      </c>
      <c r="C1792" t="s">
        <v>74</v>
      </c>
      <c r="E1792" t="str">
        <f>"FES1162722967"</f>
        <v>FES1162722967</v>
      </c>
      <c r="F1792" s="3">
        <v>43783</v>
      </c>
      <c r="G1792">
        <v>202005</v>
      </c>
      <c r="H1792" t="s">
        <v>75</v>
      </c>
      <c r="I1792" t="s">
        <v>76</v>
      </c>
      <c r="J1792" t="s">
        <v>77</v>
      </c>
      <c r="K1792" t="s">
        <v>78</v>
      </c>
      <c r="L1792" t="s">
        <v>124</v>
      </c>
      <c r="M1792" t="s">
        <v>125</v>
      </c>
      <c r="N1792" t="s">
        <v>218</v>
      </c>
      <c r="O1792" t="s">
        <v>82</v>
      </c>
      <c r="P1792" t="str">
        <f>"2170717063                    "</f>
        <v xml:space="preserve">2170717063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15.55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7.3</v>
      </c>
      <c r="BJ1792">
        <v>3.5</v>
      </c>
      <c r="BK1792">
        <v>7.5</v>
      </c>
      <c r="BL1792" s="4">
        <v>91.38</v>
      </c>
      <c r="BM1792" s="4">
        <v>13.71</v>
      </c>
      <c r="BN1792" s="4">
        <v>105.09</v>
      </c>
      <c r="BO1792" s="4">
        <v>105.09</v>
      </c>
      <c r="BQ1792" t="s">
        <v>121</v>
      </c>
      <c r="BR1792" t="s">
        <v>84</v>
      </c>
      <c r="BS1792" s="3">
        <v>43784</v>
      </c>
      <c r="BT1792" s="5">
        <v>0.3888888888888889</v>
      </c>
      <c r="BU1792" t="s">
        <v>838</v>
      </c>
      <c r="BV1792" t="s">
        <v>86</v>
      </c>
      <c r="BY1792">
        <v>17341.150000000001</v>
      </c>
      <c r="CA1792" t="s">
        <v>837</v>
      </c>
      <c r="CC1792" t="s">
        <v>125</v>
      </c>
      <c r="CD1792">
        <v>2094</v>
      </c>
      <c r="CE1792" t="s">
        <v>88</v>
      </c>
      <c r="CF1792" s="3">
        <v>43788</v>
      </c>
      <c r="CI1792">
        <v>1</v>
      </c>
      <c r="CJ1792">
        <v>1</v>
      </c>
      <c r="CK1792">
        <v>22</v>
      </c>
      <c r="CL1792" t="s">
        <v>89</v>
      </c>
    </row>
    <row r="1793" spans="1:90">
      <c r="A1793" t="s">
        <v>72</v>
      </c>
      <c r="B1793" t="s">
        <v>73</v>
      </c>
      <c r="C1793" t="s">
        <v>74</v>
      </c>
      <c r="E1793" t="str">
        <f>"FES1162723159"</f>
        <v>FES1162723159</v>
      </c>
      <c r="F1793" s="3">
        <v>43783</v>
      </c>
      <c r="G1793">
        <v>202005</v>
      </c>
      <c r="H1793" t="s">
        <v>75</v>
      </c>
      <c r="I1793" t="s">
        <v>76</v>
      </c>
      <c r="J1793" t="s">
        <v>77</v>
      </c>
      <c r="K1793" t="s">
        <v>78</v>
      </c>
      <c r="L1793" t="s">
        <v>101</v>
      </c>
      <c r="M1793" t="s">
        <v>102</v>
      </c>
      <c r="N1793" t="s">
        <v>768</v>
      </c>
      <c r="O1793" t="s">
        <v>82</v>
      </c>
      <c r="P1793" t="str">
        <f>"2170717180                    "</f>
        <v xml:space="preserve">2170717180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8.58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 s="4">
        <v>50.45</v>
      </c>
      <c r="BM1793" s="4">
        <v>7.57</v>
      </c>
      <c r="BN1793" s="4">
        <v>58.02</v>
      </c>
      <c r="BO1793" s="4">
        <v>58.02</v>
      </c>
      <c r="BQ1793" t="s">
        <v>769</v>
      </c>
      <c r="BR1793" t="s">
        <v>84</v>
      </c>
      <c r="BS1793" s="3">
        <v>43784</v>
      </c>
      <c r="BT1793" s="5">
        <v>0.375</v>
      </c>
      <c r="BU1793" t="s">
        <v>1780</v>
      </c>
      <c r="BV1793" t="s">
        <v>86</v>
      </c>
      <c r="BY1793">
        <v>1200</v>
      </c>
      <c r="CA1793" t="s">
        <v>105</v>
      </c>
      <c r="CC1793" t="s">
        <v>102</v>
      </c>
      <c r="CD1793">
        <v>117</v>
      </c>
      <c r="CE1793" t="s">
        <v>147</v>
      </c>
      <c r="CF1793" s="3">
        <v>43787</v>
      </c>
      <c r="CI1793">
        <v>1</v>
      </c>
      <c r="CJ1793">
        <v>1</v>
      </c>
      <c r="CK1793">
        <v>21</v>
      </c>
      <c r="CL1793" t="s">
        <v>89</v>
      </c>
    </row>
    <row r="1794" spans="1:90">
      <c r="A1794" t="s">
        <v>72</v>
      </c>
      <c r="B1794" t="s">
        <v>73</v>
      </c>
      <c r="C1794" t="s">
        <v>74</v>
      </c>
      <c r="E1794" t="str">
        <f>"FES1162723070"</f>
        <v>FES1162723070</v>
      </c>
      <c r="F1794" s="3">
        <v>43783</v>
      </c>
      <c r="G1794">
        <v>202005</v>
      </c>
      <c r="H1794" t="s">
        <v>75</v>
      </c>
      <c r="I1794" t="s">
        <v>76</v>
      </c>
      <c r="J1794" t="s">
        <v>77</v>
      </c>
      <c r="K1794" t="s">
        <v>78</v>
      </c>
      <c r="L1794" t="s">
        <v>124</v>
      </c>
      <c r="M1794" t="s">
        <v>125</v>
      </c>
      <c r="N1794" t="s">
        <v>1876</v>
      </c>
      <c r="O1794" t="s">
        <v>82</v>
      </c>
      <c r="P1794" t="str">
        <f>"2170714554                    "</f>
        <v xml:space="preserve">2170714554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6.71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 s="4">
        <v>39.42</v>
      </c>
      <c r="BM1794" s="4">
        <v>5.91</v>
      </c>
      <c r="BN1794" s="4">
        <v>45.33</v>
      </c>
      <c r="BO1794" s="4">
        <v>45.33</v>
      </c>
      <c r="BQ1794" t="s">
        <v>121</v>
      </c>
      <c r="BR1794" t="s">
        <v>84</v>
      </c>
      <c r="BS1794" s="3">
        <v>43784</v>
      </c>
      <c r="BT1794" s="5">
        <v>0.40972222222222227</v>
      </c>
      <c r="BU1794" t="s">
        <v>1990</v>
      </c>
      <c r="BV1794" t="s">
        <v>86</v>
      </c>
      <c r="BY1794">
        <v>1200</v>
      </c>
      <c r="CA1794" t="s">
        <v>1991</v>
      </c>
      <c r="CC1794" t="s">
        <v>125</v>
      </c>
      <c r="CD1794">
        <v>2157</v>
      </c>
      <c r="CE1794" t="s">
        <v>147</v>
      </c>
      <c r="CF1794" s="3">
        <v>43788</v>
      </c>
      <c r="CI1794">
        <v>1</v>
      </c>
      <c r="CJ1794">
        <v>1</v>
      </c>
      <c r="CK1794">
        <v>22</v>
      </c>
      <c r="CL1794" t="s">
        <v>89</v>
      </c>
    </row>
    <row r="1795" spans="1:90">
      <c r="A1795" t="s">
        <v>72</v>
      </c>
      <c r="B1795" t="s">
        <v>73</v>
      </c>
      <c r="C1795" t="s">
        <v>74</v>
      </c>
      <c r="E1795" t="str">
        <f>"FES1162723227"</f>
        <v>FES1162723227</v>
      </c>
      <c r="F1795" s="3">
        <v>43783</v>
      </c>
      <c r="G1795">
        <v>202005</v>
      </c>
      <c r="H1795" t="s">
        <v>75</v>
      </c>
      <c r="I1795" t="s">
        <v>76</v>
      </c>
      <c r="J1795" t="s">
        <v>77</v>
      </c>
      <c r="K1795" t="s">
        <v>78</v>
      </c>
      <c r="L1795" t="s">
        <v>124</v>
      </c>
      <c r="M1795" t="s">
        <v>125</v>
      </c>
      <c r="N1795" t="s">
        <v>2163</v>
      </c>
      <c r="O1795" t="s">
        <v>82</v>
      </c>
      <c r="P1795" t="str">
        <f>"2170715997                    "</f>
        <v xml:space="preserve">2170715997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6.71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 s="4">
        <v>39.42</v>
      </c>
      <c r="BM1795" s="4">
        <v>5.91</v>
      </c>
      <c r="BN1795" s="4">
        <v>45.33</v>
      </c>
      <c r="BO1795" s="4">
        <v>45.33</v>
      </c>
      <c r="BR1795" t="s">
        <v>84</v>
      </c>
      <c r="BS1795" s="3">
        <v>43788</v>
      </c>
      <c r="BT1795" s="5">
        <v>0.4375</v>
      </c>
      <c r="BU1795" t="s">
        <v>2164</v>
      </c>
      <c r="BV1795" t="s">
        <v>89</v>
      </c>
      <c r="BY1795">
        <v>1200</v>
      </c>
      <c r="CA1795" t="s">
        <v>2165</v>
      </c>
      <c r="CC1795" t="s">
        <v>125</v>
      </c>
      <c r="CD1795">
        <v>2007</v>
      </c>
      <c r="CE1795" t="s">
        <v>147</v>
      </c>
      <c r="CI1795">
        <v>1</v>
      </c>
      <c r="CJ1795">
        <v>3</v>
      </c>
      <c r="CK1795">
        <v>22</v>
      </c>
      <c r="CL1795" t="s">
        <v>89</v>
      </c>
    </row>
    <row r="1796" spans="1:90">
      <c r="A1796" t="s">
        <v>72</v>
      </c>
      <c r="B1796" t="s">
        <v>73</v>
      </c>
      <c r="C1796" t="s">
        <v>74</v>
      </c>
      <c r="E1796" t="str">
        <f>"FES1162723150"</f>
        <v>FES1162723150</v>
      </c>
      <c r="F1796" s="3">
        <v>43783</v>
      </c>
      <c r="G1796">
        <v>202005</v>
      </c>
      <c r="H1796" t="s">
        <v>75</v>
      </c>
      <c r="I1796" t="s">
        <v>76</v>
      </c>
      <c r="J1796" t="s">
        <v>77</v>
      </c>
      <c r="K1796" t="s">
        <v>78</v>
      </c>
      <c r="L1796" t="s">
        <v>124</v>
      </c>
      <c r="M1796" t="s">
        <v>125</v>
      </c>
      <c r="N1796" t="s">
        <v>218</v>
      </c>
      <c r="O1796" t="s">
        <v>82</v>
      </c>
      <c r="P1796" t="str">
        <f>"2170717167                    "</f>
        <v xml:space="preserve">2170717167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17.149999999999999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8.3000000000000007</v>
      </c>
      <c r="BJ1796">
        <v>3.4</v>
      </c>
      <c r="BK1796">
        <v>8.5</v>
      </c>
      <c r="BL1796" s="4">
        <v>100.82</v>
      </c>
      <c r="BM1796" s="4">
        <v>15.12</v>
      </c>
      <c r="BN1796" s="4">
        <v>115.94</v>
      </c>
      <c r="BO1796" s="4">
        <v>115.94</v>
      </c>
      <c r="BQ1796" t="s">
        <v>121</v>
      </c>
      <c r="BR1796" t="s">
        <v>84</v>
      </c>
      <c r="BS1796" s="3">
        <v>43784</v>
      </c>
      <c r="BT1796" s="5">
        <v>0.38958333333333334</v>
      </c>
      <c r="BU1796" t="s">
        <v>838</v>
      </c>
      <c r="BV1796" t="s">
        <v>86</v>
      </c>
      <c r="BY1796">
        <v>16828.560000000001</v>
      </c>
      <c r="CA1796" t="s">
        <v>837</v>
      </c>
      <c r="CC1796" t="s">
        <v>125</v>
      </c>
      <c r="CD1796">
        <v>2094</v>
      </c>
      <c r="CE1796" t="s">
        <v>88</v>
      </c>
      <c r="CF1796" s="3">
        <v>43788</v>
      </c>
      <c r="CI1796">
        <v>1</v>
      </c>
      <c r="CJ1796">
        <v>1</v>
      </c>
      <c r="CK1796">
        <v>22</v>
      </c>
      <c r="CL1796" t="s">
        <v>89</v>
      </c>
    </row>
    <row r="1797" spans="1:90">
      <c r="A1797" t="s">
        <v>72</v>
      </c>
      <c r="B1797" t="s">
        <v>73</v>
      </c>
      <c r="C1797" t="s">
        <v>74</v>
      </c>
      <c r="E1797" t="str">
        <f>"FES1162723087"</f>
        <v>FES1162723087</v>
      </c>
      <c r="F1797" s="3">
        <v>43783</v>
      </c>
      <c r="G1797">
        <v>202005</v>
      </c>
      <c r="H1797" t="s">
        <v>75</v>
      </c>
      <c r="I1797" t="s">
        <v>76</v>
      </c>
      <c r="J1797" t="s">
        <v>77</v>
      </c>
      <c r="K1797" t="s">
        <v>78</v>
      </c>
      <c r="L1797" t="s">
        <v>124</v>
      </c>
      <c r="M1797" t="s">
        <v>125</v>
      </c>
      <c r="N1797" t="s">
        <v>218</v>
      </c>
      <c r="O1797" t="s">
        <v>82</v>
      </c>
      <c r="P1797" t="str">
        <f>"2170714995                    "</f>
        <v xml:space="preserve">2170714995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9.92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3</v>
      </c>
      <c r="BJ1797">
        <v>4</v>
      </c>
      <c r="BK1797">
        <v>4</v>
      </c>
      <c r="BL1797" s="4">
        <v>58.31</v>
      </c>
      <c r="BM1797" s="4">
        <v>8.75</v>
      </c>
      <c r="BN1797" s="4">
        <v>67.06</v>
      </c>
      <c r="BO1797" s="4">
        <v>67.06</v>
      </c>
      <c r="BQ1797" t="s">
        <v>121</v>
      </c>
      <c r="BR1797" t="s">
        <v>84</v>
      </c>
      <c r="BS1797" s="3">
        <v>43784</v>
      </c>
      <c r="BT1797" s="5">
        <v>0.3923611111111111</v>
      </c>
      <c r="BU1797" t="s">
        <v>838</v>
      </c>
      <c r="BV1797" t="s">
        <v>86</v>
      </c>
      <c r="BY1797">
        <v>20020.96</v>
      </c>
      <c r="CC1797" t="s">
        <v>125</v>
      </c>
      <c r="CD1797">
        <v>2094</v>
      </c>
      <c r="CE1797" t="s">
        <v>88</v>
      </c>
      <c r="CF1797" s="3">
        <v>43788</v>
      </c>
      <c r="CI1797">
        <v>1</v>
      </c>
      <c r="CJ1797">
        <v>1</v>
      </c>
      <c r="CK1797">
        <v>22</v>
      </c>
      <c r="CL1797" t="s">
        <v>89</v>
      </c>
    </row>
    <row r="1798" spans="1:90">
      <c r="A1798" t="s">
        <v>72</v>
      </c>
      <c r="B1798" t="s">
        <v>73</v>
      </c>
      <c r="C1798" t="s">
        <v>74</v>
      </c>
      <c r="E1798" t="str">
        <f>"FES1162723203"</f>
        <v>FES1162723203</v>
      </c>
      <c r="F1798" s="3">
        <v>43783</v>
      </c>
      <c r="G1798">
        <v>202005</v>
      </c>
      <c r="H1798" t="s">
        <v>75</v>
      </c>
      <c r="I1798" t="s">
        <v>76</v>
      </c>
      <c r="J1798" t="s">
        <v>77</v>
      </c>
      <c r="K1798" t="s">
        <v>78</v>
      </c>
      <c r="L1798" t="s">
        <v>124</v>
      </c>
      <c r="M1798" t="s">
        <v>125</v>
      </c>
      <c r="N1798" t="s">
        <v>218</v>
      </c>
      <c r="O1798" t="s">
        <v>82</v>
      </c>
      <c r="P1798" t="str">
        <f>"2170717228                    "</f>
        <v xml:space="preserve">2170717228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6.71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 s="4">
        <v>39.42</v>
      </c>
      <c r="BM1798" s="4">
        <v>5.91</v>
      </c>
      <c r="BN1798" s="4">
        <v>45.33</v>
      </c>
      <c r="BO1798" s="4">
        <v>45.33</v>
      </c>
      <c r="BQ1798" t="s">
        <v>121</v>
      </c>
      <c r="BR1798" t="s">
        <v>84</v>
      </c>
      <c r="BS1798" s="3">
        <v>43784</v>
      </c>
      <c r="BT1798" s="5">
        <v>0.39166666666666666</v>
      </c>
      <c r="BU1798" t="s">
        <v>838</v>
      </c>
      <c r="BV1798" t="s">
        <v>86</v>
      </c>
      <c r="BY1798">
        <v>1200</v>
      </c>
      <c r="CC1798" t="s">
        <v>125</v>
      </c>
      <c r="CD1798">
        <v>2094</v>
      </c>
      <c r="CE1798" t="s">
        <v>147</v>
      </c>
      <c r="CF1798" s="3">
        <v>43788</v>
      </c>
      <c r="CI1798">
        <v>1</v>
      </c>
      <c r="CJ1798">
        <v>1</v>
      </c>
      <c r="CK1798">
        <v>22</v>
      </c>
      <c r="CL1798" t="s">
        <v>89</v>
      </c>
    </row>
    <row r="1799" spans="1:90">
      <c r="A1799" t="s">
        <v>72</v>
      </c>
      <c r="B1799" t="s">
        <v>73</v>
      </c>
      <c r="C1799" t="s">
        <v>74</v>
      </c>
      <c r="E1799" t="str">
        <f>"FES1162723216"</f>
        <v>FES1162723216</v>
      </c>
      <c r="F1799" s="3">
        <v>43783</v>
      </c>
      <c r="G1799">
        <v>202005</v>
      </c>
      <c r="H1799" t="s">
        <v>75</v>
      </c>
      <c r="I1799" t="s">
        <v>76</v>
      </c>
      <c r="J1799" t="s">
        <v>77</v>
      </c>
      <c r="K1799" t="s">
        <v>78</v>
      </c>
      <c r="L1799" t="s">
        <v>101</v>
      </c>
      <c r="M1799" t="s">
        <v>102</v>
      </c>
      <c r="N1799" t="s">
        <v>2166</v>
      </c>
      <c r="O1799" t="s">
        <v>82</v>
      </c>
      <c r="P1799" t="str">
        <f>"2170717242                    "</f>
        <v xml:space="preserve">2170717242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8.58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 s="4">
        <v>50.45</v>
      </c>
      <c r="BM1799" s="4">
        <v>7.57</v>
      </c>
      <c r="BN1799" s="4">
        <v>58.02</v>
      </c>
      <c r="BO1799" s="4">
        <v>58.02</v>
      </c>
      <c r="BR1799" t="s">
        <v>84</v>
      </c>
      <c r="BS1799" s="3">
        <v>43784</v>
      </c>
      <c r="BT1799" s="5">
        <v>0.375</v>
      </c>
      <c r="BU1799" t="s">
        <v>2167</v>
      </c>
      <c r="BV1799" t="s">
        <v>86</v>
      </c>
      <c r="BY1799">
        <v>1200</v>
      </c>
      <c r="CC1799" t="s">
        <v>102</v>
      </c>
      <c r="CD1799">
        <v>181</v>
      </c>
      <c r="CE1799" t="s">
        <v>147</v>
      </c>
      <c r="CF1799" s="3">
        <v>43787</v>
      </c>
      <c r="CI1799">
        <v>1</v>
      </c>
      <c r="CJ1799">
        <v>1</v>
      </c>
      <c r="CK1799">
        <v>21</v>
      </c>
      <c r="CL1799" t="s">
        <v>89</v>
      </c>
    </row>
    <row r="1800" spans="1:90">
      <c r="A1800" t="s">
        <v>72</v>
      </c>
      <c r="B1800" t="s">
        <v>73</v>
      </c>
      <c r="C1800" t="s">
        <v>74</v>
      </c>
      <c r="E1800" t="str">
        <f>"FES1162723235"</f>
        <v>FES1162723235</v>
      </c>
      <c r="F1800" s="3">
        <v>43783</v>
      </c>
      <c r="G1800">
        <v>202005</v>
      </c>
      <c r="H1800" t="s">
        <v>75</v>
      </c>
      <c r="I1800" t="s">
        <v>76</v>
      </c>
      <c r="J1800" t="s">
        <v>77</v>
      </c>
      <c r="K1800" t="s">
        <v>78</v>
      </c>
      <c r="L1800" t="s">
        <v>118</v>
      </c>
      <c r="M1800" t="s">
        <v>119</v>
      </c>
      <c r="N1800" t="s">
        <v>248</v>
      </c>
      <c r="O1800" t="s">
        <v>82</v>
      </c>
      <c r="P1800" t="str">
        <f>"2170717262                    "</f>
        <v xml:space="preserve">2170717262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8.58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 s="4">
        <v>50.45</v>
      </c>
      <c r="BM1800" s="4">
        <v>7.57</v>
      </c>
      <c r="BN1800" s="4">
        <v>58.02</v>
      </c>
      <c r="BO1800" s="4">
        <v>58.02</v>
      </c>
      <c r="BQ1800" t="s">
        <v>121</v>
      </c>
      <c r="BR1800" t="s">
        <v>84</v>
      </c>
      <c r="BS1800" s="3">
        <v>43784</v>
      </c>
      <c r="BT1800" s="5">
        <v>0.38958333333333334</v>
      </c>
      <c r="BU1800" t="s">
        <v>623</v>
      </c>
      <c r="BV1800" t="s">
        <v>86</v>
      </c>
      <c r="BY1800">
        <v>1200</v>
      </c>
      <c r="CA1800" t="s">
        <v>435</v>
      </c>
      <c r="CC1800" t="s">
        <v>119</v>
      </c>
      <c r="CD1800">
        <v>3212</v>
      </c>
      <c r="CE1800" t="s">
        <v>147</v>
      </c>
      <c r="CF1800" s="3">
        <v>43787</v>
      </c>
      <c r="CI1800">
        <v>1</v>
      </c>
      <c r="CJ1800">
        <v>1</v>
      </c>
      <c r="CK1800">
        <v>21</v>
      </c>
      <c r="CL1800" t="s">
        <v>89</v>
      </c>
    </row>
    <row r="1801" spans="1:90">
      <c r="A1801" t="s">
        <v>72</v>
      </c>
      <c r="B1801" t="s">
        <v>73</v>
      </c>
      <c r="C1801" t="s">
        <v>74</v>
      </c>
      <c r="E1801" t="str">
        <f>"FES1162723170"</f>
        <v>FES1162723170</v>
      </c>
      <c r="F1801" s="3">
        <v>43783</v>
      </c>
      <c r="G1801">
        <v>202005</v>
      </c>
      <c r="H1801" t="s">
        <v>75</v>
      </c>
      <c r="I1801" t="s">
        <v>76</v>
      </c>
      <c r="J1801" t="s">
        <v>77</v>
      </c>
      <c r="K1801" t="s">
        <v>78</v>
      </c>
      <c r="L1801" t="s">
        <v>124</v>
      </c>
      <c r="M1801" t="s">
        <v>125</v>
      </c>
      <c r="N1801" t="s">
        <v>218</v>
      </c>
      <c r="O1801" t="s">
        <v>82</v>
      </c>
      <c r="P1801" t="str">
        <f>"2170717197                    "</f>
        <v xml:space="preserve">2170717197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8.31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2.8</v>
      </c>
      <c r="BJ1801">
        <v>0.9</v>
      </c>
      <c r="BK1801">
        <v>3</v>
      </c>
      <c r="BL1801" s="4">
        <v>48.86</v>
      </c>
      <c r="BM1801" s="4">
        <v>7.33</v>
      </c>
      <c r="BN1801" s="4">
        <v>56.19</v>
      </c>
      <c r="BO1801" s="4">
        <v>56.19</v>
      </c>
      <c r="BQ1801" t="s">
        <v>121</v>
      </c>
      <c r="BR1801" t="s">
        <v>84</v>
      </c>
      <c r="BS1801" s="3">
        <v>43784</v>
      </c>
      <c r="BT1801" s="5">
        <v>0.38958333333333334</v>
      </c>
      <c r="BU1801" t="s">
        <v>838</v>
      </c>
      <c r="BV1801" t="s">
        <v>86</v>
      </c>
      <c r="BY1801">
        <v>4686.08</v>
      </c>
      <c r="CC1801" t="s">
        <v>125</v>
      </c>
      <c r="CD1801">
        <v>2094</v>
      </c>
      <c r="CE1801" t="s">
        <v>88</v>
      </c>
      <c r="CF1801" s="3">
        <v>43788</v>
      </c>
      <c r="CI1801">
        <v>1</v>
      </c>
      <c r="CJ1801">
        <v>1</v>
      </c>
      <c r="CK1801">
        <v>22</v>
      </c>
      <c r="CL1801" t="s">
        <v>89</v>
      </c>
    </row>
    <row r="1802" spans="1:90">
      <c r="A1802" t="s">
        <v>72</v>
      </c>
      <c r="B1802" t="s">
        <v>73</v>
      </c>
      <c r="C1802" t="s">
        <v>74</v>
      </c>
      <c r="E1802" t="str">
        <f>"FES1162723433"</f>
        <v>FES1162723433</v>
      </c>
      <c r="F1802" s="3">
        <v>43784</v>
      </c>
      <c r="G1802">
        <v>202005</v>
      </c>
      <c r="H1802" t="s">
        <v>75</v>
      </c>
      <c r="I1802" t="s">
        <v>76</v>
      </c>
      <c r="J1802" t="s">
        <v>77</v>
      </c>
      <c r="K1802" t="s">
        <v>78</v>
      </c>
      <c r="L1802" t="s">
        <v>133</v>
      </c>
      <c r="M1802" t="s">
        <v>134</v>
      </c>
      <c r="N1802" t="s">
        <v>135</v>
      </c>
      <c r="O1802" t="s">
        <v>282</v>
      </c>
      <c r="P1802" t="str">
        <f>"2170717383                    "</f>
        <v xml:space="preserve">2170717383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27.35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2</v>
      </c>
      <c r="BI1802">
        <v>27.5</v>
      </c>
      <c r="BJ1802">
        <v>17.899999999999999</v>
      </c>
      <c r="BK1802">
        <v>28</v>
      </c>
      <c r="BL1802" s="4">
        <v>165.77</v>
      </c>
      <c r="BM1802" s="4">
        <v>24.87</v>
      </c>
      <c r="BN1802" s="4">
        <v>190.64</v>
      </c>
      <c r="BO1802" s="4">
        <v>190.64</v>
      </c>
      <c r="BQ1802" t="s">
        <v>109</v>
      </c>
      <c r="BR1802" t="s">
        <v>84</v>
      </c>
      <c r="BS1802" s="3">
        <v>43787</v>
      </c>
      <c r="BT1802" s="5">
        <v>0.3430555555555555</v>
      </c>
      <c r="BU1802" t="s">
        <v>2168</v>
      </c>
      <c r="BV1802" t="s">
        <v>86</v>
      </c>
      <c r="BY1802">
        <v>89381.45</v>
      </c>
      <c r="CA1802" t="s">
        <v>912</v>
      </c>
      <c r="CC1802" t="s">
        <v>134</v>
      </c>
      <c r="CD1802">
        <v>5201</v>
      </c>
      <c r="CE1802" t="s">
        <v>1892</v>
      </c>
      <c r="CF1802" s="3">
        <v>43788</v>
      </c>
      <c r="CI1802">
        <v>2</v>
      </c>
      <c r="CJ1802">
        <v>1</v>
      </c>
      <c r="CK1802" t="s">
        <v>994</v>
      </c>
      <c r="CL1802" t="s">
        <v>89</v>
      </c>
    </row>
    <row r="1803" spans="1:90">
      <c r="A1803" t="s">
        <v>72</v>
      </c>
      <c r="B1803" t="s">
        <v>73</v>
      </c>
      <c r="C1803" t="s">
        <v>74</v>
      </c>
      <c r="E1803" t="str">
        <f>"019911311438"</f>
        <v>019911311438</v>
      </c>
      <c r="F1803" s="3">
        <v>43783</v>
      </c>
      <c r="G1803">
        <v>202005</v>
      </c>
      <c r="H1803" t="s">
        <v>90</v>
      </c>
      <c r="I1803" t="s">
        <v>91</v>
      </c>
      <c r="J1803" t="s">
        <v>211</v>
      </c>
      <c r="K1803" t="s">
        <v>78</v>
      </c>
      <c r="L1803" t="s">
        <v>75</v>
      </c>
      <c r="M1803" t="s">
        <v>76</v>
      </c>
      <c r="N1803" t="s">
        <v>2169</v>
      </c>
      <c r="O1803" t="s">
        <v>282</v>
      </c>
      <c r="P1803" t="str">
        <f>"1703                          "</f>
        <v xml:space="preserve">1703      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17.57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0.4</v>
      </c>
      <c r="BJ1803">
        <v>2</v>
      </c>
      <c r="BK1803">
        <v>2</v>
      </c>
      <c r="BL1803" s="4">
        <v>108.28</v>
      </c>
      <c r="BM1803" s="4">
        <v>16.239999999999998</v>
      </c>
      <c r="BN1803" s="4">
        <v>124.52</v>
      </c>
      <c r="BO1803" s="4">
        <v>124.52</v>
      </c>
      <c r="BQ1803" t="s">
        <v>1015</v>
      </c>
      <c r="BR1803" t="s">
        <v>1011</v>
      </c>
      <c r="BS1803" s="3">
        <v>43787</v>
      </c>
      <c r="BT1803" s="5">
        <v>0.33333333333333331</v>
      </c>
      <c r="BU1803" t="s">
        <v>2170</v>
      </c>
      <c r="BV1803" t="s">
        <v>86</v>
      </c>
      <c r="BY1803">
        <v>9806.25</v>
      </c>
      <c r="CA1803" t="s">
        <v>198</v>
      </c>
      <c r="CC1803" t="s">
        <v>76</v>
      </c>
      <c r="CD1803">
        <v>1620</v>
      </c>
      <c r="CE1803" t="s">
        <v>88</v>
      </c>
      <c r="CF1803" s="3">
        <v>43789</v>
      </c>
      <c r="CI1803">
        <v>2</v>
      </c>
      <c r="CJ1803">
        <v>2</v>
      </c>
      <c r="CK1803" t="s">
        <v>1002</v>
      </c>
      <c r="CL1803" t="s">
        <v>89</v>
      </c>
    </row>
    <row r="1804" spans="1:90">
      <c r="A1804" t="s">
        <v>72</v>
      </c>
      <c r="B1804" t="s">
        <v>73</v>
      </c>
      <c r="C1804" t="s">
        <v>74</v>
      </c>
      <c r="E1804" t="str">
        <f>"FES1162723444"</f>
        <v>FES1162723444</v>
      </c>
      <c r="F1804" s="3">
        <v>43784</v>
      </c>
      <c r="G1804">
        <v>202005</v>
      </c>
      <c r="H1804" t="s">
        <v>75</v>
      </c>
      <c r="I1804" t="s">
        <v>76</v>
      </c>
      <c r="J1804" t="s">
        <v>77</v>
      </c>
      <c r="K1804" t="s">
        <v>78</v>
      </c>
      <c r="L1804" t="s">
        <v>225</v>
      </c>
      <c r="M1804" t="s">
        <v>226</v>
      </c>
      <c r="N1804" t="s">
        <v>1977</v>
      </c>
      <c r="O1804" t="s">
        <v>82</v>
      </c>
      <c r="P1804" t="str">
        <f>"2170717398                    "</f>
        <v xml:space="preserve">2170717398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68.62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9.4</v>
      </c>
      <c r="BJ1804">
        <v>15.9</v>
      </c>
      <c r="BK1804">
        <v>16</v>
      </c>
      <c r="BL1804" s="4">
        <v>403.37</v>
      </c>
      <c r="BM1804" s="4">
        <v>60.51</v>
      </c>
      <c r="BN1804" s="4">
        <v>463.88</v>
      </c>
      <c r="BO1804" s="4">
        <v>463.88</v>
      </c>
      <c r="BQ1804" t="s">
        <v>337</v>
      </c>
      <c r="BR1804" t="s">
        <v>84</v>
      </c>
      <c r="BS1804" s="3">
        <v>43787</v>
      </c>
      <c r="BT1804" s="5">
        <v>0.39374999999999999</v>
      </c>
      <c r="BU1804" t="s">
        <v>2171</v>
      </c>
      <c r="BV1804" t="s">
        <v>86</v>
      </c>
      <c r="BY1804">
        <v>79349.17</v>
      </c>
      <c r="CA1804" t="s">
        <v>255</v>
      </c>
      <c r="CC1804" t="s">
        <v>226</v>
      </c>
      <c r="CD1804">
        <v>4026</v>
      </c>
      <c r="CE1804" t="s">
        <v>1598</v>
      </c>
      <c r="CF1804" s="3">
        <v>43788</v>
      </c>
      <c r="CI1804">
        <v>1</v>
      </c>
      <c r="CJ1804">
        <v>1</v>
      </c>
      <c r="CK1804">
        <v>21</v>
      </c>
      <c r="CL1804" t="s">
        <v>89</v>
      </c>
    </row>
    <row r="1805" spans="1:90">
      <c r="A1805" t="s">
        <v>72</v>
      </c>
      <c r="B1805" t="s">
        <v>73</v>
      </c>
      <c r="C1805" t="s">
        <v>74</v>
      </c>
      <c r="E1805" t="str">
        <f>"FES1162723326"</f>
        <v>FES1162723326</v>
      </c>
      <c r="F1805" s="3">
        <v>43784</v>
      </c>
      <c r="G1805">
        <v>202005</v>
      </c>
      <c r="H1805" t="s">
        <v>75</v>
      </c>
      <c r="I1805" t="s">
        <v>76</v>
      </c>
      <c r="J1805" t="s">
        <v>77</v>
      </c>
      <c r="K1805" t="s">
        <v>78</v>
      </c>
      <c r="L1805" t="s">
        <v>90</v>
      </c>
      <c r="M1805" t="s">
        <v>91</v>
      </c>
      <c r="N1805" t="s">
        <v>1825</v>
      </c>
      <c r="O1805" t="s">
        <v>82</v>
      </c>
      <c r="P1805" t="str">
        <f>"2170715425                    "</f>
        <v xml:space="preserve">2170715425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25.74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5.8</v>
      </c>
      <c r="BJ1805">
        <v>3.9</v>
      </c>
      <c r="BK1805">
        <v>6</v>
      </c>
      <c r="BL1805" s="4">
        <v>151.29</v>
      </c>
      <c r="BM1805" s="4">
        <v>22.69</v>
      </c>
      <c r="BN1805" s="4">
        <v>173.98</v>
      </c>
      <c r="BO1805" s="4">
        <v>173.98</v>
      </c>
      <c r="BQ1805" t="s">
        <v>121</v>
      </c>
      <c r="BR1805" t="s">
        <v>84</v>
      </c>
      <c r="BS1805" s="3">
        <v>43787</v>
      </c>
      <c r="BT1805" s="5">
        <v>0.40833333333333338</v>
      </c>
      <c r="BU1805" t="s">
        <v>1826</v>
      </c>
      <c r="BV1805" t="s">
        <v>86</v>
      </c>
      <c r="BY1805">
        <v>19273.79</v>
      </c>
      <c r="CA1805" t="s">
        <v>323</v>
      </c>
      <c r="CC1805" t="s">
        <v>91</v>
      </c>
      <c r="CD1805">
        <v>7460</v>
      </c>
      <c r="CE1805" t="s">
        <v>88</v>
      </c>
      <c r="CI1805">
        <v>1</v>
      </c>
      <c r="CJ1805">
        <v>1</v>
      </c>
      <c r="CK1805">
        <v>21</v>
      </c>
      <c r="CL1805" t="s">
        <v>89</v>
      </c>
    </row>
    <row r="1806" spans="1:90">
      <c r="A1806" t="s">
        <v>72</v>
      </c>
      <c r="B1806" t="s">
        <v>73</v>
      </c>
      <c r="C1806" t="s">
        <v>74</v>
      </c>
      <c r="E1806" t="str">
        <f>"FES1162723459"</f>
        <v>FES1162723459</v>
      </c>
      <c r="F1806" s="3">
        <v>43784</v>
      </c>
      <c r="G1806">
        <v>202005</v>
      </c>
      <c r="H1806" t="s">
        <v>75</v>
      </c>
      <c r="I1806" t="s">
        <v>76</v>
      </c>
      <c r="J1806" t="s">
        <v>77</v>
      </c>
      <c r="K1806" t="s">
        <v>78</v>
      </c>
      <c r="L1806" t="s">
        <v>112</v>
      </c>
      <c r="M1806" t="s">
        <v>113</v>
      </c>
      <c r="N1806" t="s">
        <v>373</v>
      </c>
      <c r="O1806" t="s">
        <v>82</v>
      </c>
      <c r="P1806" t="str">
        <f>"217071415                     "</f>
        <v xml:space="preserve">217071415 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23.59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5.5</v>
      </c>
      <c r="BJ1806">
        <v>3.2</v>
      </c>
      <c r="BK1806">
        <v>5.5</v>
      </c>
      <c r="BL1806" s="4">
        <v>138.68</v>
      </c>
      <c r="BM1806" s="4">
        <v>20.8</v>
      </c>
      <c r="BN1806" s="4">
        <v>159.47999999999999</v>
      </c>
      <c r="BO1806" s="4">
        <v>159.47999999999999</v>
      </c>
      <c r="BQ1806" t="s">
        <v>121</v>
      </c>
      <c r="BR1806" t="s">
        <v>84</v>
      </c>
      <c r="BS1806" s="3">
        <v>43787</v>
      </c>
      <c r="BT1806" s="5">
        <v>0.3743055555555555</v>
      </c>
      <c r="BU1806" t="s">
        <v>930</v>
      </c>
      <c r="BV1806" t="s">
        <v>86</v>
      </c>
      <c r="BY1806">
        <v>15827.76</v>
      </c>
      <c r="CA1806" t="s">
        <v>255</v>
      </c>
      <c r="CC1806" t="s">
        <v>113</v>
      </c>
      <c r="CD1806">
        <v>4052</v>
      </c>
      <c r="CE1806" t="s">
        <v>88</v>
      </c>
      <c r="CF1806" s="3">
        <v>43788</v>
      </c>
      <c r="CI1806">
        <v>1</v>
      </c>
      <c r="CJ1806">
        <v>1</v>
      </c>
      <c r="CK1806">
        <v>21</v>
      </c>
      <c r="CL1806" t="s">
        <v>89</v>
      </c>
    </row>
    <row r="1807" spans="1:90">
      <c r="A1807" t="s">
        <v>72</v>
      </c>
      <c r="B1807" t="s">
        <v>73</v>
      </c>
      <c r="C1807" t="s">
        <v>74</v>
      </c>
      <c r="E1807" t="str">
        <f>"FES1162723404"</f>
        <v>FES1162723404</v>
      </c>
      <c r="F1807" s="3">
        <v>43784</v>
      </c>
      <c r="G1807">
        <v>202005</v>
      </c>
      <c r="H1807" t="s">
        <v>75</v>
      </c>
      <c r="I1807" t="s">
        <v>76</v>
      </c>
      <c r="J1807" t="s">
        <v>77</v>
      </c>
      <c r="K1807" t="s">
        <v>78</v>
      </c>
      <c r="L1807" t="s">
        <v>112</v>
      </c>
      <c r="M1807" t="s">
        <v>113</v>
      </c>
      <c r="N1807" t="s">
        <v>620</v>
      </c>
      <c r="O1807" t="s">
        <v>82</v>
      </c>
      <c r="P1807" t="str">
        <f>"2170717350                    "</f>
        <v xml:space="preserve">2170717350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36.46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7.5</v>
      </c>
      <c r="BJ1807">
        <v>8.1999999999999993</v>
      </c>
      <c r="BK1807">
        <v>8.5</v>
      </c>
      <c r="BL1807" s="4">
        <v>214.31</v>
      </c>
      <c r="BM1807" s="4">
        <v>32.15</v>
      </c>
      <c r="BN1807" s="4">
        <v>246.46</v>
      </c>
      <c r="BO1807" s="4">
        <v>246.46</v>
      </c>
      <c r="BQ1807" t="s">
        <v>109</v>
      </c>
      <c r="BR1807" t="s">
        <v>84</v>
      </c>
      <c r="BS1807" s="3">
        <v>43787</v>
      </c>
      <c r="BT1807" s="5">
        <v>0.41041666666666665</v>
      </c>
      <c r="BU1807" t="s">
        <v>2172</v>
      </c>
      <c r="BV1807" t="s">
        <v>86</v>
      </c>
      <c r="BY1807">
        <v>40897.75</v>
      </c>
      <c r="CA1807" t="s">
        <v>255</v>
      </c>
      <c r="CC1807" t="s">
        <v>113</v>
      </c>
      <c r="CD1807">
        <v>4302</v>
      </c>
      <c r="CE1807" t="s">
        <v>1598</v>
      </c>
      <c r="CF1807" s="3">
        <v>43788</v>
      </c>
      <c r="CI1807">
        <v>1</v>
      </c>
      <c r="CJ1807">
        <v>1</v>
      </c>
      <c r="CK1807">
        <v>21</v>
      </c>
      <c r="CL1807" t="s">
        <v>89</v>
      </c>
    </row>
    <row r="1808" spans="1:90">
      <c r="A1808" t="s">
        <v>72</v>
      </c>
      <c r="B1808" t="s">
        <v>73</v>
      </c>
      <c r="C1808" t="s">
        <v>74</v>
      </c>
      <c r="E1808" t="str">
        <f>"FES1162723417"</f>
        <v>FES1162723417</v>
      </c>
      <c r="F1808" s="3">
        <v>43784</v>
      </c>
      <c r="G1808">
        <v>202005</v>
      </c>
      <c r="H1808" t="s">
        <v>75</v>
      </c>
      <c r="I1808" t="s">
        <v>76</v>
      </c>
      <c r="J1808" t="s">
        <v>77</v>
      </c>
      <c r="K1808" t="s">
        <v>78</v>
      </c>
      <c r="L1808" t="s">
        <v>112</v>
      </c>
      <c r="M1808" t="s">
        <v>113</v>
      </c>
      <c r="N1808" t="s">
        <v>620</v>
      </c>
      <c r="O1808" t="s">
        <v>82</v>
      </c>
      <c r="P1808" t="str">
        <f>"2170717371                    "</f>
        <v xml:space="preserve">2170717371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34.31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6.1</v>
      </c>
      <c r="BJ1808">
        <v>7.9</v>
      </c>
      <c r="BK1808">
        <v>8</v>
      </c>
      <c r="BL1808" s="4">
        <v>201.7</v>
      </c>
      <c r="BM1808" s="4">
        <v>30.26</v>
      </c>
      <c r="BN1808" s="4">
        <v>231.96</v>
      </c>
      <c r="BO1808" s="4">
        <v>231.96</v>
      </c>
      <c r="BQ1808" t="s">
        <v>109</v>
      </c>
      <c r="BR1808" t="s">
        <v>84</v>
      </c>
      <c r="BS1808" s="3">
        <v>43787</v>
      </c>
      <c r="BT1808" s="5">
        <v>0.41041666666666665</v>
      </c>
      <c r="BU1808" t="s">
        <v>2172</v>
      </c>
      <c r="BV1808" t="s">
        <v>86</v>
      </c>
      <c r="BY1808">
        <v>39730.5</v>
      </c>
      <c r="CA1808" t="s">
        <v>255</v>
      </c>
      <c r="CC1808" t="s">
        <v>113</v>
      </c>
      <c r="CD1808">
        <v>4302</v>
      </c>
      <c r="CE1808" t="s">
        <v>88</v>
      </c>
      <c r="CF1808" s="3">
        <v>43788</v>
      </c>
      <c r="CI1808">
        <v>1</v>
      </c>
      <c r="CJ1808">
        <v>1</v>
      </c>
      <c r="CK1808">
        <v>21</v>
      </c>
      <c r="CL1808" t="s">
        <v>89</v>
      </c>
    </row>
    <row r="1809" spans="1:90">
      <c r="A1809" t="s">
        <v>72</v>
      </c>
      <c r="B1809" t="s">
        <v>73</v>
      </c>
      <c r="C1809" t="s">
        <v>74</v>
      </c>
      <c r="E1809" t="str">
        <f>"FES1162723466"</f>
        <v>FES1162723466</v>
      </c>
      <c r="F1809" s="3">
        <v>43784</v>
      </c>
      <c r="G1809">
        <v>202005</v>
      </c>
      <c r="H1809" t="s">
        <v>75</v>
      </c>
      <c r="I1809" t="s">
        <v>76</v>
      </c>
      <c r="J1809" t="s">
        <v>77</v>
      </c>
      <c r="K1809" t="s">
        <v>78</v>
      </c>
      <c r="L1809" t="s">
        <v>176</v>
      </c>
      <c r="M1809" t="s">
        <v>177</v>
      </c>
      <c r="N1809" t="s">
        <v>334</v>
      </c>
      <c r="O1809" t="s">
        <v>82</v>
      </c>
      <c r="P1809" t="str">
        <f>"2170717414                    "</f>
        <v xml:space="preserve">2170717414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8.58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 s="4">
        <v>50.45</v>
      </c>
      <c r="BM1809" s="4">
        <v>7.57</v>
      </c>
      <c r="BN1809" s="4">
        <v>58.02</v>
      </c>
      <c r="BO1809" s="4">
        <v>58.02</v>
      </c>
      <c r="BQ1809" t="s">
        <v>121</v>
      </c>
      <c r="BR1809" t="s">
        <v>84</v>
      </c>
      <c r="BS1809" s="3">
        <v>43787</v>
      </c>
      <c r="BT1809" s="5">
        <v>0.39513888888888887</v>
      </c>
      <c r="BU1809" t="s">
        <v>302</v>
      </c>
      <c r="BV1809" t="s">
        <v>86</v>
      </c>
      <c r="BY1809">
        <v>1200</v>
      </c>
      <c r="CA1809" t="s">
        <v>180</v>
      </c>
      <c r="CC1809" t="s">
        <v>177</v>
      </c>
      <c r="CD1809">
        <v>3610</v>
      </c>
      <c r="CE1809" t="s">
        <v>147</v>
      </c>
      <c r="CF1809" s="3">
        <v>43788</v>
      </c>
      <c r="CI1809">
        <v>1</v>
      </c>
      <c r="CJ1809">
        <v>1</v>
      </c>
      <c r="CK1809">
        <v>21</v>
      </c>
      <c r="CL1809" t="s">
        <v>89</v>
      </c>
    </row>
    <row r="1810" spans="1:90">
      <c r="A1810" t="s">
        <v>72</v>
      </c>
      <c r="B1810" t="s">
        <v>73</v>
      </c>
      <c r="C1810" t="s">
        <v>74</v>
      </c>
      <c r="E1810" t="str">
        <f>"FES1162723465"</f>
        <v>FES1162723465</v>
      </c>
      <c r="F1810" s="3">
        <v>43784</v>
      </c>
      <c r="G1810">
        <v>202005</v>
      </c>
      <c r="H1810" t="s">
        <v>75</v>
      </c>
      <c r="I1810" t="s">
        <v>76</v>
      </c>
      <c r="J1810" t="s">
        <v>77</v>
      </c>
      <c r="K1810" t="s">
        <v>78</v>
      </c>
      <c r="L1810" t="s">
        <v>225</v>
      </c>
      <c r="M1810" t="s">
        <v>226</v>
      </c>
      <c r="N1810" t="s">
        <v>227</v>
      </c>
      <c r="O1810" t="s">
        <v>82</v>
      </c>
      <c r="P1810" t="str">
        <f>"2170717412                    "</f>
        <v xml:space="preserve">2170717412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8.58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 s="4">
        <v>50.45</v>
      </c>
      <c r="BM1810" s="4">
        <v>7.57</v>
      </c>
      <c r="BN1810" s="4">
        <v>58.02</v>
      </c>
      <c r="BO1810" s="4">
        <v>58.02</v>
      </c>
      <c r="BQ1810" t="s">
        <v>121</v>
      </c>
      <c r="BR1810" t="s">
        <v>84</v>
      </c>
      <c r="BS1810" s="3">
        <v>43787</v>
      </c>
      <c r="BT1810" s="5">
        <v>0.34027777777777773</v>
      </c>
      <c r="BU1810" t="s">
        <v>228</v>
      </c>
      <c r="BV1810" t="s">
        <v>86</v>
      </c>
      <c r="BY1810">
        <v>1200</v>
      </c>
      <c r="CA1810" t="s">
        <v>229</v>
      </c>
      <c r="CC1810" t="s">
        <v>226</v>
      </c>
      <c r="CD1810">
        <v>4026</v>
      </c>
      <c r="CE1810" t="s">
        <v>147</v>
      </c>
      <c r="CF1810" s="3">
        <v>43788</v>
      </c>
      <c r="CI1810">
        <v>1</v>
      </c>
      <c r="CJ1810">
        <v>1</v>
      </c>
      <c r="CK1810">
        <v>21</v>
      </c>
      <c r="CL1810" t="s">
        <v>89</v>
      </c>
    </row>
    <row r="1811" spans="1:90">
      <c r="A1811" t="s">
        <v>72</v>
      </c>
      <c r="B1811" t="s">
        <v>73</v>
      </c>
      <c r="C1811" t="s">
        <v>74</v>
      </c>
      <c r="E1811" t="str">
        <f>"FES1162723472"</f>
        <v>FES1162723472</v>
      </c>
      <c r="F1811" s="3">
        <v>43784</v>
      </c>
      <c r="G1811">
        <v>202005</v>
      </c>
      <c r="H1811" t="s">
        <v>75</v>
      </c>
      <c r="I1811" t="s">
        <v>76</v>
      </c>
      <c r="J1811" t="s">
        <v>77</v>
      </c>
      <c r="K1811" t="s">
        <v>78</v>
      </c>
      <c r="L1811" t="s">
        <v>176</v>
      </c>
      <c r="M1811" t="s">
        <v>177</v>
      </c>
      <c r="N1811" t="s">
        <v>256</v>
      </c>
      <c r="O1811" t="s">
        <v>82</v>
      </c>
      <c r="P1811" t="str">
        <f>"2170717420                    "</f>
        <v xml:space="preserve">2170717420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8.58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 s="4">
        <v>50.45</v>
      </c>
      <c r="BM1811" s="4">
        <v>7.57</v>
      </c>
      <c r="BN1811" s="4">
        <v>58.02</v>
      </c>
      <c r="BO1811" s="4">
        <v>58.02</v>
      </c>
      <c r="BQ1811" t="s">
        <v>109</v>
      </c>
      <c r="BR1811" t="s">
        <v>84</v>
      </c>
      <c r="BS1811" s="3">
        <v>43787</v>
      </c>
      <c r="BT1811" s="5">
        <v>0.37291666666666662</v>
      </c>
      <c r="BU1811" t="s">
        <v>2173</v>
      </c>
      <c r="BV1811" t="s">
        <v>86</v>
      </c>
      <c r="BY1811">
        <v>1200</v>
      </c>
      <c r="CA1811" t="s">
        <v>180</v>
      </c>
      <c r="CC1811" t="s">
        <v>177</v>
      </c>
      <c r="CD1811">
        <v>3610</v>
      </c>
      <c r="CE1811" t="s">
        <v>147</v>
      </c>
      <c r="CF1811" s="3">
        <v>43788</v>
      </c>
      <c r="CI1811">
        <v>1</v>
      </c>
      <c r="CJ1811">
        <v>1</v>
      </c>
      <c r="CK1811">
        <v>21</v>
      </c>
      <c r="CL1811" t="s">
        <v>89</v>
      </c>
    </row>
    <row r="1812" spans="1:90">
      <c r="A1812" t="s">
        <v>72</v>
      </c>
      <c r="B1812" t="s">
        <v>73</v>
      </c>
      <c r="C1812" t="s">
        <v>74</v>
      </c>
      <c r="E1812" t="str">
        <f>"FES1162723478"</f>
        <v>FES1162723478</v>
      </c>
      <c r="F1812" s="3">
        <v>43784</v>
      </c>
      <c r="G1812">
        <v>202005</v>
      </c>
      <c r="H1812" t="s">
        <v>75</v>
      </c>
      <c r="I1812" t="s">
        <v>76</v>
      </c>
      <c r="J1812" t="s">
        <v>77</v>
      </c>
      <c r="K1812" t="s">
        <v>78</v>
      </c>
      <c r="L1812" t="s">
        <v>124</v>
      </c>
      <c r="M1812" t="s">
        <v>125</v>
      </c>
      <c r="N1812" t="s">
        <v>2174</v>
      </c>
      <c r="O1812" t="s">
        <v>82</v>
      </c>
      <c r="P1812" t="str">
        <f>"2170717429                    "</f>
        <v xml:space="preserve">2170717429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9.92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3.7</v>
      </c>
      <c r="BJ1812">
        <v>3.4</v>
      </c>
      <c r="BK1812">
        <v>4</v>
      </c>
      <c r="BL1812" s="4">
        <v>58.31</v>
      </c>
      <c r="BM1812" s="4">
        <v>8.75</v>
      </c>
      <c r="BN1812" s="4">
        <v>67.06</v>
      </c>
      <c r="BO1812" s="4">
        <v>67.06</v>
      </c>
      <c r="BQ1812" t="s">
        <v>121</v>
      </c>
      <c r="BR1812" t="s">
        <v>84</v>
      </c>
      <c r="BS1812" s="3">
        <v>43787</v>
      </c>
      <c r="BT1812" s="5">
        <v>0.33333333333333331</v>
      </c>
      <c r="BU1812" t="s">
        <v>2175</v>
      </c>
      <c r="BV1812" t="s">
        <v>86</v>
      </c>
      <c r="BY1812">
        <v>16892.05</v>
      </c>
      <c r="CC1812" t="s">
        <v>125</v>
      </c>
      <c r="CD1812">
        <v>2090</v>
      </c>
      <c r="CE1812" t="s">
        <v>88</v>
      </c>
      <c r="CF1812" s="3">
        <v>43789</v>
      </c>
      <c r="CI1812">
        <v>1</v>
      </c>
      <c r="CJ1812">
        <v>1</v>
      </c>
      <c r="CK1812">
        <v>22</v>
      </c>
      <c r="CL1812" t="s">
        <v>89</v>
      </c>
    </row>
    <row r="1813" spans="1:90">
      <c r="A1813" t="s">
        <v>72</v>
      </c>
      <c r="B1813" t="s">
        <v>73</v>
      </c>
      <c r="C1813" t="s">
        <v>74</v>
      </c>
      <c r="E1813" t="str">
        <f>"FES1162723485"</f>
        <v>FES1162723485</v>
      </c>
      <c r="F1813" s="3">
        <v>43784</v>
      </c>
      <c r="G1813">
        <v>202005</v>
      </c>
      <c r="H1813" t="s">
        <v>75</v>
      </c>
      <c r="I1813" t="s">
        <v>76</v>
      </c>
      <c r="J1813" t="s">
        <v>77</v>
      </c>
      <c r="K1813" t="s">
        <v>78</v>
      </c>
      <c r="L1813" t="s">
        <v>192</v>
      </c>
      <c r="M1813" t="s">
        <v>193</v>
      </c>
      <c r="N1813" t="s">
        <v>194</v>
      </c>
      <c r="O1813" t="s">
        <v>82</v>
      </c>
      <c r="P1813" t="str">
        <f>"217074868                     "</f>
        <v xml:space="preserve">217074868 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39.159999999999997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4.8</v>
      </c>
      <c r="BJ1813">
        <v>1.6</v>
      </c>
      <c r="BK1813">
        <v>5</v>
      </c>
      <c r="BL1813" s="4">
        <v>230.2</v>
      </c>
      <c r="BM1813" s="4">
        <v>34.53</v>
      </c>
      <c r="BN1813" s="4">
        <v>264.73</v>
      </c>
      <c r="BO1813" s="4">
        <v>264.73</v>
      </c>
      <c r="BQ1813" t="s">
        <v>109</v>
      </c>
      <c r="BR1813" t="s">
        <v>84</v>
      </c>
      <c r="BS1813" s="3">
        <v>43787</v>
      </c>
      <c r="BT1813" s="5">
        <v>0.52152777777777781</v>
      </c>
      <c r="BU1813" t="s">
        <v>2176</v>
      </c>
      <c r="BV1813" t="s">
        <v>86</v>
      </c>
      <c r="BY1813">
        <v>8248.9699999999993</v>
      </c>
      <c r="CA1813" t="s">
        <v>1364</v>
      </c>
      <c r="CC1813" t="s">
        <v>193</v>
      </c>
      <c r="CD1813">
        <v>7130</v>
      </c>
      <c r="CE1813" t="s">
        <v>88</v>
      </c>
      <c r="CF1813" s="3">
        <v>43788</v>
      </c>
      <c r="CI1813">
        <v>1</v>
      </c>
      <c r="CJ1813">
        <v>1</v>
      </c>
      <c r="CK1813">
        <v>23</v>
      </c>
      <c r="CL1813" t="s">
        <v>89</v>
      </c>
    </row>
    <row r="1814" spans="1:90">
      <c r="A1814" t="s">
        <v>72</v>
      </c>
      <c r="B1814" t="s">
        <v>73</v>
      </c>
      <c r="C1814" t="s">
        <v>74</v>
      </c>
      <c r="E1814" t="str">
        <f>"FES1162723495"</f>
        <v>FES1162723495</v>
      </c>
      <c r="F1814" s="3">
        <v>43784</v>
      </c>
      <c r="G1814">
        <v>202005</v>
      </c>
      <c r="H1814" t="s">
        <v>75</v>
      </c>
      <c r="I1814" t="s">
        <v>76</v>
      </c>
      <c r="J1814" t="s">
        <v>77</v>
      </c>
      <c r="K1814" t="s">
        <v>78</v>
      </c>
      <c r="L1814" t="s">
        <v>90</v>
      </c>
      <c r="M1814" t="s">
        <v>91</v>
      </c>
      <c r="N1814" t="s">
        <v>527</v>
      </c>
      <c r="O1814" t="s">
        <v>82</v>
      </c>
      <c r="P1814" t="str">
        <f>"2170717441                    "</f>
        <v xml:space="preserve">2170717441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17.16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3.6</v>
      </c>
      <c r="BJ1814">
        <v>0.9</v>
      </c>
      <c r="BK1814">
        <v>4</v>
      </c>
      <c r="BL1814" s="4">
        <v>100.87</v>
      </c>
      <c r="BM1814" s="4">
        <v>15.13</v>
      </c>
      <c r="BN1814" s="4">
        <v>116</v>
      </c>
      <c r="BO1814" s="4">
        <v>116</v>
      </c>
      <c r="BQ1814" t="s">
        <v>109</v>
      </c>
      <c r="BR1814" t="s">
        <v>84</v>
      </c>
      <c r="BS1814" s="3">
        <v>43787</v>
      </c>
      <c r="BT1814" s="5">
        <v>0.30555555555555552</v>
      </c>
      <c r="BU1814" t="s">
        <v>2177</v>
      </c>
      <c r="BV1814" t="s">
        <v>86</v>
      </c>
      <c r="BY1814">
        <v>4375.6000000000004</v>
      </c>
      <c r="CA1814" t="s">
        <v>1942</v>
      </c>
      <c r="CC1814" t="s">
        <v>91</v>
      </c>
      <c r="CD1814">
        <v>7405</v>
      </c>
      <c r="CE1814" t="s">
        <v>88</v>
      </c>
      <c r="CF1814" s="3">
        <v>43788</v>
      </c>
      <c r="CI1814">
        <v>1</v>
      </c>
      <c r="CJ1814">
        <v>1</v>
      </c>
      <c r="CK1814">
        <v>21</v>
      </c>
      <c r="CL1814" t="s">
        <v>89</v>
      </c>
    </row>
    <row r="1815" spans="1:90">
      <c r="A1815" t="s">
        <v>72</v>
      </c>
      <c r="B1815" t="s">
        <v>73</v>
      </c>
      <c r="C1815" t="s">
        <v>74</v>
      </c>
      <c r="E1815" t="str">
        <f>"FES1162723226"</f>
        <v>FES1162723226</v>
      </c>
      <c r="F1815" s="3">
        <v>43784</v>
      </c>
      <c r="G1815">
        <v>202005</v>
      </c>
      <c r="H1815" t="s">
        <v>75</v>
      </c>
      <c r="I1815" t="s">
        <v>76</v>
      </c>
      <c r="J1815" t="s">
        <v>77</v>
      </c>
      <c r="K1815" t="s">
        <v>78</v>
      </c>
      <c r="L1815" t="s">
        <v>2178</v>
      </c>
      <c r="M1815" t="s">
        <v>2179</v>
      </c>
      <c r="N1815" t="s">
        <v>2180</v>
      </c>
      <c r="O1815" t="s">
        <v>82</v>
      </c>
      <c r="P1815" t="str">
        <f>"2170713453                    "</f>
        <v xml:space="preserve">2170713453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16.63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 s="4">
        <v>97.75</v>
      </c>
      <c r="BM1815" s="4">
        <v>14.66</v>
      </c>
      <c r="BN1815" s="4">
        <v>112.41</v>
      </c>
      <c r="BO1815" s="4">
        <v>112.41</v>
      </c>
      <c r="BR1815" t="s">
        <v>84</v>
      </c>
      <c r="BS1815" s="3">
        <v>43787</v>
      </c>
      <c r="BT1815" s="5">
        <v>0.5</v>
      </c>
      <c r="BU1815" t="s">
        <v>2181</v>
      </c>
      <c r="BV1815" t="s">
        <v>86</v>
      </c>
      <c r="BY1815">
        <v>1200</v>
      </c>
      <c r="CC1815" t="s">
        <v>2179</v>
      </c>
      <c r="CD1815">
        <v>8800</v>
      </c>
      <c r="CE1815" t="s">
        <v>147</v>
      </c>
      <c r="CF1815" s="3">
        <v>43791</v>
      </c>
      <c r="CI1815">
        <v>3</v>
      </c>
      <c r="CJ1815">
        <v>1</v>
      </c>
      <c r="CK1815">
        <v>23</v>
      </c>
      <c r="CL1815" t="s">
        <v>89</v>
      </c>
    </row>
    <row r="1816" spans="1:90">
      <c r="A1816" t="s">
        <v>72</v>
      </c>
      <c r="B1816" t="s">
        <v>73</v>
      </c>
      <c r="C1816" t="s">
        <v>74</v>
      </c>
      <c r="E1816" t="str">
        <f>"FES1162723460"</f>
        <v>FES1162723460</v>
      </c>
      <c r="F1816" s="3">
        <v>43784</v>
      </c>
      <c r="G1816">
        <v>202005</v>
      </c>
      <c r="H1816" t="s">
        <v>75</v>
      </c>
      <c r="I1816" t="s">
        <v>76</v>
      </c>
      <c r="J1816" t="s">
        <v>77</v>
      </c>
      <c r="K1816" t="s">
        <v>78</v>
      </c>
      <c r="L1816" t="s">
        <v>176</v>
      </c>
      <c r="M1816" t="s">
        <v>177</v>
      </c>
      <c r="N1816" t="s">
        <v>334</v>
      </c>
      <c r="O1816" t="s">
        <v>82</v>
      </c>
      <c r="P1816" t="str">
        <f>"2170716471                    "</f>
        <v xml:space="preserve">2170716471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79.349999999999994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12.4</v>
      </c>
      <c r="BJ1816">
        <v>18.5</v>
      </c>
      <c r="BK1816">
        <v>18.5</v>
      </c>
      <c r="BL1816" s="4">
        <v>466.4</v>
      </c>
      <c r="BM1816" s="4">
        <v>69.959999999999994</v>
      </c>
      <c r="BN1816" s="4">
        <v>536.36</v>
      </c>
      <c r="BO1816" s="4">
        <v>536.36</v>
      </c>
      <c r="BQ1816" t="s">
        <v>121</v>
      </c>
      <c r="BR1816" t="s">
        <v>84</v>
      </c>
      <c r="BS1816" s="3">
        <v>43787</v>
      </c>
      <c r="BT1816" s="5">
        <v>0.39513888888888887</v>
      </c>
      <c r="BU1816" t="s">
        <v>302</v>
      </c>
      <c r="BV1816" t="s">
        <v>86</v>
      </c>
      <c r="BY1816">
        <v>92449.279999999999</v>
      </c>
      <c r="CA1816" t="s">
        <v>180</v>
      </c>
      <c r="CC1816" t="s">
        <v>177</v>
      </c>
      <c r="CD1816">
        <v>3610</v>
      </c>
      <c r="CE1816" t="s">
        <v>88</v>
      </c>
      <c r="CF1816" s="3">
        <v>43788</v>
      </c>
      <c r="CI1816">
        <v>1</v>
      </c>
      <c r="CJ1816">
        <v>1</v>
      </c>
      <c r="CK1816">
        <v>21</v>
      </c>
      <c r="CL1816" t="s">
        <v>89</v>
      </c>
    </row>
    <row r="1817" spans="1:90">
      <c r="A1817" t="s">
        <v>72</v>
      </c>
      <c r="B1817" t="s">
        <v>73</v>
      </c>
      <c r="C1817" t="s">
        <v>74</v>
      </c>
      <c r="E1817" t="str">
        <f>"FES1162723438"</f>
        <v>FES1162723438</v>
      </c>
      <c r="F1817" s="3">
        <v>43784</v>
      </c>
      <c r="G1817">
        <v>202005</v>
      </c>
      <c r="H1817" t="s">
        <v>75</v>
      </c>
      <c r="I1817" t="s">
        <v>76</v>
      </c>
      <c r="J1817" t="s">
        <v>77</v>
      </c>
      <c r="K1817" t="s">
        <v>78</v>
      </c>
      <c r="L1817" t="s">
        <v>133</v>
      </c>
      <c r="M1817" t="s">
        <v>134</v>
      </c>
      <c r="N1817" t="s">
        <v>310</v>
      </c>
      <c r="O1817" t="s">
        <v>82</v>
      </c>
      <c r="P1817" t="str">
        <f>"2170717390                    "</f>
        <v xml:space="preserve">2170717390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30.03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2</v>
      </c>
      <c r="BI1817">
        <v>6.8</v>
      </c>
      <c r="BJ1817">
        <v>3</v>
      </c>
      <c r="BK1817">
        <v>7</v>
      </c>
      <c r="BL1817" s="4">
        <v>176.5</v>
      </c>
      <c r="BM1817" s="4">
        <v>26.48</v>
      </c>
      <c r="BN1817" s="4">
        <v>202.98</v>
      </c>
      <c r="BO1817" s="4">
        <v>202.98</v>
      </c>
      <c r="BQ1817" t="s">
        <v>121</v>
      </c>
      <c r="BR1817" t="s">
        <v>84</v>
      </c>
      <c r="BS1817" s="3">
        <v>43787</v>
      </c>
      <c r="BT1817" s="5">
        <v>0.34930555555555554</v>
      </c>
      <c r="BU1817" t="s">
        <v>2182</v>
      </c>
      <c r="BV1817" t="s">
        <v>86</v>
      </c>
      <c r="BY1817">
        <v>15124.44</v>
      </c>
      <c r="CA1817" t="s">
        <v>912</v>
      </c>
      <c r="CC1817" t="s">
        <v>134</v>
      </c>
      <c r="CD1817">
        <v>5201</v>
      </c>
      <c r="CE1817" t="s">
        <v>2183</v>
      </c>
      <c r="CF1817" s="3">
        <v>43788</v>
      </c>
      <c r="CI1817">
        <v>1</v>
      </c>
      <c r="CJ1817">
        <v>1</v>
      </c>
      <c r="CK1817">
        <v>21</v>
      </c>
      <c r="CL1817" t="s">
        <v>89</v>
      </c>
    </row>
    <row r="1818" spans="1:90">
      <c r="A1818" t="s">
        <v>72</v>
      </c>
      <c r="B1818" t="s">
        <v>73</v>
      </c>
      <c r="C1818" t="s">
        <v>74</v>
      </c>
      <c r="E1818" t="str">
        <f>"FES1162723497"</f>
        <v>FES1162723497</v>
      </c>
      <c r="F1818" s="3">
        <v>43784</v>
      </c>
      <c r="G1818">
        <v>202005</v>
      </c>
      <c r="H1818" t="s">
        <v>75</v>
      </c>
      <c r="I1818" t="s">
        <v>76</v>
      </c>
      <c r="J1818" t="s">
        <v>77</v>
      </c>
      <c r="K1818" t="s">
        <v>78</v>
      </c>
      <c r="L1818" t="s">
        <v>90</v>
      </c>
      <c r="M1818" t="s">
        <v>91</v>
      </c>
      <c r="N1818" t="s">
        <v>527</v>
      </c>
      <c r="O1818" t="s">
        <v>82</v>
      </c>
      <c r="P1818" t="str">
        <f>"217071744                     "</f>
        <v xml:space="preserve">217071744 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8.58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 s="4">
        <v>50.45</v>
      </c>
      <c r="BM1818" s="4">
        <v>7.57</v>
      </c>
      <c r="BN1818" s="4">
        <v>58.02</v>
      </c>
      <c r="BO1818" s="4">
        <v>58.02</v>
      </c>
      <c r="BQ1818" t="s">
        <v>109</v>
      </c>
      <c r="BR1818" t="s">
        <v>84</v>
      </c>
      <c r="BS1818" s="3">
        <v>43787</v>
      </c>
      <c r="BT1818" s="5">
        <v>0.30624999999999997</v>
      </c>
      <c r="BU1818" t="s">
        <v>2177</v>
      </c>
      <c r="BV1818" t="s">
        <v>86</v>
      </c>
      <c r="BY1818">
        <v>1200</v>
      </c>
      <c r="CA1818" t="s">
        <v>1942</v>
      </c>
      <c r="CC1818" t="s">
        <v>91</v>
      </c>
      <c r="CD1818">
        <v>7405</v>
      </c>
      <c r="CE1818" t="s">
        <v>147</v>
      </c>
      <c r="CF1818" s="3">
        <v>43788</v>
      </c>
      <c r="CI1818">
        <v>1</v>
      </c>
      <c r="CJ1818">
        <v>1</v>
      </c>
      <c r="CK1818">
        <v>21</v>
      </c>
      <c r="CL1818" t="s">
        <v>89</v>
      </c>
    </row>
    <row r="1819" spans="1:90">
      <c r="A1819" t="s">
        <v>72</v>
      </c>
      <c r="B1819" t="s">
        <v>73</v>
      </c>
      <c r="C1819" t="s">
        <v>74</v>
      </c>
      <c r="E1819" t="str">
        <f>"FES1162723463"</f>
        <v>FES1162723463</v>
      </c>
      <c r="F1819" s="3">
        <v>43784</v>
      </c>
      <c r="G1819">
        <v>202005</v>
      </c>
      <c r="H1819" t="s">
        <v>75</v>
      </c>
      <c r="I1819" t="s">
        <v>76</v>
      </c>
      <c r="J1819" t="s">
        <v>77</v>
      </c>
      <c r="K1819" t="s">
        <v>78</v>
      </c>
      <c r="L1819" t="s">
        <v>124</v>
      </c>
      <c r="M1819" t="s">
        <v>125</v>
      </c>
      <c r="N1819" t="s">
        <v>2184</v>
      </c>
      <c r="O1819" t="s">
        <v>82</v>
      </c>
      <c r="P1819" t="str">
        <f>"2170714710                    "</f>
        <v xml:space="preserve">2170714710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10.72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4.4000000000000004</v>
      </c>
      <c r="BJ1819">
        <v>3.1</v>
      </c>
      <c r="BK1819">
        <v>4.5</v>
      </c>
      <c r="BL1819" s="4">
        <v>63.03</v>
      </c>
      <c r="BM1819" s="4">
        <v>9.4499999999999993</v>
      </c>
      <c r="BN1819" s="4">
        <v>72.48</v>
      </c>
      <c r="BO1819" s="4">
        <v>72.48</v>
      </c>
      <c r="BQ1819" t="s">
        <v>142</v>
      </c>
      <c r="BR1819" t="s">
        <v>84</v>
      </c>
      <c r="BS1819" s="3">
        <v>43787</v>
      </c>
      <c r="BT1819" s="5">
        <v>0.33333333333333331</v>
      </c>
      <c r="BU1819" t="s">
        <v>2185</v>
      </c>
      <c r="BV1819" t="s">
        <v>86</v>
      </c>
      <c r="BY1819">
        <v>15373.44</v>
      </c>
      <c r="CA1819" t="s">
        <v>2186</v>
      </c>
      <c r="CC1819" t="s">
        <v>125</v>
      </c>
      <c r="CD1819">
        <v>2013</v>
      </c>
      <c r="CE1819" t="s">
        <v>88</v>
      </c>
      <c r="CF1819" s="3">
        <v>43789</v>
      </c>
      <c r="CI1819">
        <v>1</v>
      </c>
      <c r="CJ1819">
        <v>1</v>
      </c>
      <c r="CK1819">
        <v>22</v>
      </c>
      <c r="CL1819" t="s">
        <v>89</v>
      </c>
    </row>
    <row r="1820" spans="1:90">
      <c r="A1820" t="s">
        <v>72</v>
      </c>
      <c r="B1820" t="s">
        <v>73</v>
      </c>
      <c r="C1820" t="s">
        <v>74</v>
      </c>
      <c r="E1820" t="str">
        <f>"FES1162723496"</f>
        <v>FES1162723496</v>
      </c>
      <c r="F1820" s="3">
        <v>43784</v>
      </c>
      <c r="G1820">
        <v>202005</v>
      </c>
      <c r="H1820" t="s">
        <v>75</v>
      </c>
      <c r="I1820" t="s">
        <v>76</v>
      </c>
      <c r="J1820" t="s">
        <v>77</v>
      </c>
      <c r="K1820" t="s">
        <v>78</v>
      </c>
      <c r="L1820" t="s">
        <v>90</v>
      </c>
      <c r="M1820" t="s">
        <v>91</v>
      </c>
      <c r="N1820" t="s">
        <v>527</v>
      </c>
      <c r="O1820" t="s">
        <v>82</v>
      </c>
      <c r="P1820" t="str">
        <f>"21707471422                   "</f>
        <v xml:space="preserve">21707471422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23.59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5.2</v>
      </c>
      <c r="BJ1820">
        <v>1.6</v>
      </c>
      <c r="BK1820">
        <v>5.5</v>
      </c>
      <c r="BL1820" s="4">
        <v>138.68</v>
      </c>
      <c r="BM1820" s="4">
        <v>20.8</v>
      </c>
      <c r="BN1820" s="4">
        <v>159.47999999999999</v>
      </c>
      <c r="BO1820" s="4">
        <v>159.47999999999999</v>
      </c>
      <c r="BQ1820" t="s">
        <v>109</v>
      </c>
      <c r="BR1820" t="s">
        <v>84</v>
      </c>
      <c r="BS1820" s="3">
        <v>43787</v>
      </c>
      <c r="BT1820" s="5">
        <v>0.30624999999999997</v>
      </c>
      <c r="BU1820" t="s">
        <v>2177</v>
      </c>
      <c r="BV1820" t="s">
        <v>86</v>
      </c>
      <c r="BY1820">
        <v>8031.7</v>
      </c>
      <c r="CA1820" t="s">
        <v>1942</v>
      </c>
      <c r="CC1820" t="s">
        <v>91</v>
      </c>
      <c r="CD1820">
        <v>7405</v>
      </c>
      <c r="CE1820" t="s">
        <v>88</v>
      </c>
      <c r="CF1820" s="3">
        <v>43788</v>
      </c>
      <c r="CI1820">
        <v>1</v>
      </c>
      <c r="CJ1820">
        <v>1</v>
      </c>
      <c r="CK1820">
        <v>21</v>
      </c>
      <c r="CL1820" t="s">
        <v>89</v>
      </c>
    </row>
    <row r="1821" spans="1:90">
      <c r="A1821" t="s">
        <v>72</v>
      </c>
      <c r="B1821" t="s">
        <v>73</v>
      </c>
      <c r="C1821" t="s">
        <v>74</v>
      </c>
      <c r="E1821" t="str">
        <f>"FES1162723468"</f>
        <v>FES1162723468</v>
      </c>
      <c r="F1821" s="3">
        <v>43784</v>
      </c>
      <c r="G1821">
        <v>202005</v>
      </c>
      <c r="H1821" t="s">
        <v>75</v>
      </c>
      <c r="I1821" t="s">
        <v>76</v>
      </c>
      <c r="J1821" t="s">
        <v>77</v>
      </c>
      <c r="K1821" t="s">
        <v>78</v>
      </c>
      <c r="L1821" t="s">
        <v>482</v>
      </c>
      <c r="M1821" t="s">
        <v>483</v>
      </c>
      <c r="N1821" t="s">
        <v>1442</v>
      </c>
      <c r="O1821" t="s">
        <v>82</v>
      </c>
      <c r="P1821" t="str">
        <f>"2170717203                    "</f>
        <v xml:space="preserve">2170717203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9.92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3.7</v>
      </c>
      <c r="BJ1821">
        <v>1.2</v>
      </c>
      <c r="BK1821">
        <v>4</v>
      </c>
      <c r="BL1821" s="4">
        <v>58.31</v>
      </c>
      <c r="BM1821" s="4">
        <v>8.75</v>
      </c>
      <c r="BN1821" s="4">
        <v>67.06</v>
      </c>
      <c r="BO1821" s="4">
        <v>67.06</v>
      </c>
      <c r="BR1821" t="s">
        <v>84</v>
      </c>
      <c r="BS1821" s="3">
        <v>43787</v>
      </c>
      <c r="BT1821" s="5">
        <v>0.31805555555555554</v>
      </c>
      <c r="BU1821" t="s">
        <v>1443</v>
      </c>
      <c r="BV1821" t="s">
        <v>86</v>
      </c>
      <c r="BY1821">
        <v>5958.84</v>
      </c>
      <c r="CA1821" t="s">
        <v>1336</v>
      </c>
      <c r="CC1821" t="s">
        <v>483</v>
      </c>
      <c r="CD1821">
        <v>1460</v>
      </c>
      <c r="CE1821" t="s">
        <v>88</v>
      </c>
      <c r="CF1821" s="3">
        <v>43788</v>
      </c>
      <c r="CI1821">
        <v>1</v>
      </c>
      <c r="CJ1821">
        <v>1</v>
      </c>
      <c r="CK1821">
        <v>22</v>
      </c>
      <c r="CL1821" t="s">
        <v>89</v>
      </c>
    </row>
    <row r="1822" spans="1:90">
      <c r="A1822" t="s">
        <v>72</v>
      </c>
      <c r="B1822" t="s">
        <v>73</v>
      </c>
      <c r="C1822" t="s">
        <v>74</v>
      </c>
      <c r="E1822" t="str">
        <f>"FES1162723334"</f>
        <v>FES1162723334</v>
      </c>
      <c r="F1822" s="3">
        <v>43784</v>
      </c>
      <c r="G1822">
        <v>202005</v>
      </c>
      <c r="H1822" t="s">
        <v>75</v>
      </c>
      <c r="I1822" t="s">
        <v>76</v>
      </c>
      <c r="J1822" t="s">
        <v>77</v>
      </c>
      <c r="K1822" t="s">
        <v>78</v>
      </c>
      <c r="L1822" t="s">
        <v>101</v>
      </c>
      <c r="M1822" t="s">
        <v>102</v>
      </c>
      <c r="N1822" t="s">
        <v>879</v>
      </c>
      <c r="O1822" t="s">
        <v>82</v>
      </c>
      <c r="P1822" t="str">
        <f>"2170715488                    "</f>
        <v xml:space="preserve">2170715488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8.58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 s="4">
        <v>50.45</v>
      </c>
      <c r="BM1822" s="4">
        <v>7.57</v>
      </c>
      <c r="BN1822" s="4">
        <v>58.02</v>
      </c>
      <c r="BO1822" s="4">
        <v>58.02</v>
      </c>
      <c r="BQ1822" t="s">
        <v>142</v>
      </c>
      <c r="BR1822" t="s">
        <v>84</v>
      </c>
      <c r="BS1822" s="3">
        <v>43787</v>
      </c>
      <c r="BT1822" s="5">
        <v>0.38194444444444442</v>
      </c>
      <c r="BU1822" t="s">
        <v>2187</v>
      </c>
      <c r="BV1822" t="s">
        <v>86</v>
      </c>
      <c r="BY1822">
        <v>1200</v>
      </c>
      <c r="CA1822" t="s">
        <v>123</v>
      </c>
      <c r="CC1822" t="s">
        <v>102</v>
      </c>
      <c r="CD1822">
        <v>200</v>
      </c>
      <c r="CE1822" t="s">
        <v>147</v>
      </c>
      <c r="CF1822" s="3">
        <v>43789</v>
      </c>
      <c r="CI1822">
        <v>1</v>
      </c>
      <c r="CJ1822">
        <v>1</v>
      </c>
      <c r="CK1822">
        <v>21</v>
      </c>
      <c r="CL1822" t="s">
        <v>89</v>
      </c>
    </row>
    <row r="1823" spans="1:90">
      <c r="A1823" t="s">
        <v>72</v>
      </c>
      <c r="B1823" t="s">
        <v>73</v>
      </c>
      <c r="C1823" t="s">
        <v>74</v>
      </c>
      <c r="E1823" t="str">
        <f>"FES1162723287"</f>
        <v>FES1162723287</v>
      </c>
      <c r="F1823" s="3">
        <v>43784</v>
      </c>
      <c r="G1823">
        <v>202005</v>
      </c>
      <c r="H1823" t="s">
        <v>75</v>
      </c>
      <c r="I1823" t="s">
        <v>76</v>
      </c>
      <c r="J1823" t="s">
        <v>77</v>
      </c>
      <c r="K1823" t="s">
        <v>78</v>
      </c>
      <c r="L1823" t="s">
        <v>605</v>
      </c>
      <c r="M1823" t="s">
        <v>606</v>
      </c>
      <c r="N1823" t="s">
        <v>785</v>
      </c>
      <c r="O1823" t="s">
        <v>82</v>
      </c>
      <c r="P1823" t="str">
        <f>"2170714597                    "</f>
        <v xml:space="preserve">2170714597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12.07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 s="4">
        <v>70.95</v>
      </c>
      <c r="BM1823" s="4">
        <v>10.64</v>
      </c>
      <c r="BN1823" s="4">
        <v>81.59</v>
      </c>
      <c r="BO1823" s="4">
        <v>81.59</v>
      </c>
      <c r="BQ1823" t="s">
        <v>109</v>
      </c>
      <c r="BR1823" t="s">
        <v>84</v>
      </c>
      <c r="BS1823" s="3">
        <v>43787</v>
      </c>
      <c r="BT1823" s="5">
        <v>0.56944444444444442</v>
      </c>
      <c r="BU1823" t="s">
        <v>179</v>
      </c>
      <c r="BV1823" t="s">
        <v>86</v>
      </c>
      <c r="BY1823">
        <v>1200</v>
      </c>
      <c r="CC1823" t="s">
        <v>606</v>
      </c>
      <c r="CD1823">
        <v>407</v>
      </c>
      <c r="CE1823" t="s">
        <v>147</v>
      </c>
      <c r="CF1823" s="3">
        <v>43789</v>
      </c>
      <c r="CI1823">
        <v>1</v>
      </c>
      <c r="CJ1823">
        <v>1</v>
      </c>
      <c r="CK1823">
        <v>24</v>
      </c>
      <c r="CL1823" t="s">
        <v>89</v>
      </c>
    </row>
    <row r="1824" spans="1:90">
      <c r="A1824" t="s">
        <v>72</v>
      </c>
      <c r="B1824" t="s">
        <v>73</v>
      </c>
      <c r="C1824" t="s">
        <v>74</v>
      </c>
      <c r="E1824" t="str">
        <f>"FES1162723353"</f>
        <v>FES1162723353</v>
      </c>
      <c r="F1824" s="3">
        <v>43784</v>
      </c>
      <c r="G1824">
        <v>202005</v>
      </c>
      <c r="H1824" t="s">
        <v>75</v>
      </c>
      <c r="I1824" t="s">
        <v>76</v>
      </c>
      <c r="J1824" t="s">
        <v>77</v>
      </c>
      <c r="K1824" t="s">
        <v>78</v>
      </c>
      <c r="L1824" t="s">
        <v>75</v>
      </c>
      <c r="M1824" t="s">
        <v>76</v>
      </c>
      <c r="N1824" t="s">
        <v>466</v>
      </c>
      <c r="O1824" t="s">
        <v>82</v>
      </c>
      <c r="P1824" t="str">
        <f>"2170716847                    "</f>
        <v xml:space="preserve">2170716847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7.51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2.5</v>
      </c>
      <c r="BJ1824">
        <v>1.5</v>
      </c>
      <c r="BK1824">
        <v>2.5</v>
      </c>
      <c r="BL1824" s="4">
        <v>44.14</v>
      </c>
      <c r="BM1824" s="4">
        <v>6.62</v>
      </c>
      <c r="BN1824" s="4">
        <v>50.76</v>
      </c>
      <c r="BO1824" s="4">
        <v>50.76</v>
      </c>
      <c r="BQ1824" t="s">
        <v>109</v>
      </c>
      <c r="BR1824" t="s">
        <v>84</v>
      </c>
      <c r="BS1824" s="3">
        <v>43787</v>
      </c>
      <c r="BT1824" s="5">
        <v>0.39583333333333331</v>
      </c>
      <c r="BU1824" t="s">
        <v>467</v>
      </c>
      <c r="BV1824" t="s">
        <v>86</v>
      </c>
      <c r="BY1824">
        <v>7258</v>
      </c>
      <c r="CC1824" t="s">
        <v>76</v>
      </c>
      <c r="CD1824">
        <v>1609</v>
      </c>
      <c r="CE1824" t="s">
        <v>88</v>
      </c>
      <c r="CF1824" s="3">
        <v>43788</v>
      </c>
      <c r="CI1824">
        <v>1</v>
      </c>
      <c r="CJ1824">
        <v>1</v>
      </c>
      <c r="CK1824">
        <v>22</v>
      </c>
      <c r="CL1824" t="s">
        <v>89</v>
      </c>
    </row>
    <row r="1825" spans="1:90">
      <c r="A1825" t="s">
        <v>72</v>
      </c>
      <c r="B1825" t="s">
        <v>73</v>
      </c>
      <c r="C1825" t="s">
        <v>74</v>
      </c>
      <c r="E1825" t="str">
        <f>"FES1162723366"</f>
        <v>FES1162723366</v>
      </c>
      <c r="F1825" s="3">
        <v>43784</v>
      </c>
      <c r="G1825">
        <v>202005</v>
      </c>
      <c r="H1825" t="s">
        <v>75</v>
      </c>
      <c r="I1825" t="s">
        <v>76</v>
      </c>
      <c r="J1825" t="s">
        <v>77</v>
      </c>
      <c r="K1825" t="s">
        <v>78</v>
      </c>
      <c r="L1825" t="s">
        <v>176</v>
      </c>
      <c r="M1825" t="s">
        <v>177</v>
      </c>
      <c r="N1825" t="s">
        <v>240</v>
      </c>
      <c r="O1825" t="s">
        <v>82</v>
      </c>
      <c r="P1825" t="str">
        <f>"2170717307                    "</f>
        <v xml:space="preserve">2170717307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36.46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4.2</v>
      </c>
      <c r="BJ1825">
        <v>8.1</v>
      </c>
      <c r="BK1825">
        <v>8.5</v>
      </c>
      <c r="BL1825" s="4">
        <v>214.31</v>
      </c>
      <c r="BM1825" s="4">
        <v>32.15</v>
      </c>
      <c r="BN1825" s="4">
        <v>246.46</v>
      </c>
      <c r="BO1825" s="4">
        <v>246.46</v>
      </c>
      <c r="BQ1825" t="s">
        <v>2188</v>
      </c>
      <c r="BR1825" t="s">
        <v>84</v>
      </c>
      <c r="BS1825" s="3">
        <v>43787</v>
      </c>
      <c r="BT1825" s="5">
        <v>0.33333333333333331</v>
      </c>
      <c r="BU1825" t="s">
        <v>2189</v>
      </c>
      <c r="BV1825" t="s">
        <v>86</v>
      </c>
      <c r="BY1825">
        <v>40485.22</v>
      </c>
      <c r="CC1825" t="s">
        <v>177</v>
      </c>
      <c r="CD1825">
        <v>3610</v>
      </c>
      <c r="CE1825" t="s">
        <v>1598</v>
      </c>
      <c r="CF1825" s="3">
        <v>43788</v>
      </c>
      <c r="CI1825">
        <v>1</v>
      </c>
      <c r="CJ1825">
        <v>1</v>
      </c>
      <c r="CK1825">
        <v>21</v>
      </c>
      <c r="CL1825" t="s">
        <v>89</v>
      </c>
    </row>
    <row r="1826" spans="1:90">
      <c r="A1826" t="s">
        <v>72</v>
      </c>
      <c r="B1826" t="s">
        <v>73</v>
      </c>
      <c r="C1826" t="s">
        <v>74</v>
      </c>
      <c r="E1826" t="str">
        <f>"FES1162723464"</f>
        <v>FES1162723464</v>
      </c>
      <c r="F1826" s="3">
        <v>43784</v>
      </c>
      <c r="G1826">
        <v>202005</v>
      </c>
      <c r="H1826" t="s">
        <v>75</v>
      </c>
      <c r="I1826" t="s">
        <v>76</v>
      </c>
      <c r="J1826" t="s">
        <v>77</v>
      </c>
      <c r="K1826" t="s">
        <v>78</v>
      </c>
      <c r="L1826" t="s">
        <v>90</v>
      </c>
      <c r="M1826" t="s">
        <v>91</v>
      </c>
      <c r="N1826" t="s">
        <v>401</v>
      </c>
      <c r="O1826" t="s">
        <v>82</v>
      </c>
      <c r="P1826" t="str">
        <f>"2170717411                    "</f>
        <v xml:space="preserve">2170717411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8.58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 s="4">
        <v>50.45</v>
      </c>
      <c r="BM1826" s="4">
        <v>7.57</v>
      </c>
      <c r="BN1826" s="4">
        <v>58.02</v>
      </c>
      <c r="BO1826" s="4">
        <v>58.02</v>
      </c>
      <c r="BQ1826" t="s">
        <v>109</v>
      </c>
      <c r="BR1826" t="s">
        <v>84</v>
      </c>
      <c r="BS1826" s="3">
        <v>43787</v>
      </c>
      <c r="BT1826" s="5">
        <v>0.32083333333333336</v>
      </c>
      <c r="BU1826" t="s">
        <v>1941</v>
      </c>
      <c r="BV1826" t="s">
        <v>86</v>
      </c>
      <c r="BY1826">
        <v>1200</v>
      </c>
      <c r="CA1826" t="s">
        <v>1942</v>
      </c>
      <c r="CC1826" t="s">
        <v>91</v>
      </c>
      <c r="CD1826">
        <v>7441</v>
      </c>
      <c r="CE1826" t="s">
        <v>147</v>
      </c>
      <c r="CF1826" s="3">
        <v>43788</v>
      </c>
      <c r="CI1826">
        <v>1</v>
      </c>
      <c r="CJ1826">
        <v>1</v>
      </c>
      <c r="CK1826">
        <v>21</v>
      </c>
      <c r="CL1826" t="s">
        <v>89</v>
      </c>
    </row>
    <row r="1827" spans="1:90">
      <c r="A1827" t="s">
        <v>72</v>
      </c>
      <c r="B1827" t="s">
        <v>73</v>
      </c>
      <c r="C1827" t="s">
        <v>74</v>
      </c>
      <c r="E1827" t="str">
        <f>"FES1162723458"</f>
        <v>FES1162723458</v>
      </c>
      <c r="F1827" s="3">
        <v>43784</v>
      </c>
      <c r="G1827">
        <v>202005</v>
      </c>
      <c r="H1827" t="s">
        <v>75</v>
      </c>
      <c r="I1827" t="s">
        <v>76</v>
      </c>
      <c r="J1827" t="s">
        <v>77</v>
      </c>
      <c r="K1827" t="s">
        <v>78</v>
      </c>
      <c r="L1827" t="s">
        <v>214</v>
      </c>
      <c r="M1827" t="s">
        <v>214</v>
      </c>
      <c r="N1827" t="s">
        <v>312</v>
      </c>
      <c r="O1827" t="s">
        <v>82</v>
      </c>
      <c r="P1827" t="str">
        <f>"2170717406                    "</f>
        <v xml:space="preserve">2170717406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16.63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 s="4">
        <v>97.75</v>
      </c>
      <c r="BM1827" s="4">
        <v>14.66</v>
      </c>
      <c r="BN1827" s="4">
        <v>112.41</v>
      </c>
      <c r="BO1827" s="4">
        <v>112.41</v>
      </c>
      <c r="BQ1827" t="s">
        <v>121</v>
      </c>
      <c r="BR1827" t="s">
        <v>84</v>
      </c>
      <c r="BS1827" s="3">
        <v>43787</v>
      </c>
      <c r="BT1827" s="5">
        <v>0.46597222222222223</v>
      </c>
      <c r="BU1827" t="s">
        <v>313</v>
      </c>
      <c r="BV1827" t="s">
        <v>86</v>
      </c>
      <c r="BY1827">
        <v>1200</v>
      </c>
      <c r="CA1827" t="s">
        <v>217</v>
      </c>
      <c r="CC1827" t="s">
        <v>214</v>
      </c>
      <c r="CD1827">
        <v>7646</v>
      </c>
      <c r="CE1827" t="s">
        <v>147</v>
      </c>
      <c r="CF1827" s="3">
        <v>43788</v>
      </c>
      <c r="CI1827">
        <v>1</v>
      </c>
      <c r="CJ1827">
        <v>1</v>
      </c>
      <c r="CK1827">
        <v>23</v>
      </c>
      <c r="CL1827" t="s">
        <v>89</v>
      </c>
    </row>
    <row r="1828" spans="1:90">
      <c r="A1828" t="s">
        <v>72</v>
      </c>
      <c r="B1828" t="s">
        <v>73</v>
      </c>
      <c r="C1828" t="s">
        <v>74</v>
      </c>
      <c r="E1828" t="str">
        <f>"FES1162723389"</f>
        <v>FES1162723389</v>
      </c>
      <c r="F1828" s="3">
        <v>43784</v>
      </c>
      <c r="G1828">
        <v>202005</v>
      </c>
      <c r="H1828" t="s">
        <v>75</v>
      </c>
      <c r="I1828" t="s">
        <v>76</v>
      </c>
      <c r="J1828" t="s">
        <v>77</v>
      </c>
      <c r="K1828" t="s">
        <v>78</v>
      </c>
      <c r="L1828" t="s">
        <v>202</v>
      </c>
      <c r="M1828" t="s">
        <v>203</v>
      </c>
      <c r="N1828" t="s">
        <v>2190</v>
      </c>
      <c r="O1828" t="s">
        <v>82</v>
      </c>
      <c r="P1828" t="str">
        <f>"2170717336                    "</f>
        <v xml:space="preserve">2170717336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12.33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3.6</v>
      </c>
      <c r="BJ1828">
        <v>5.5</v>
      </c>
      <c r="BK1828">
        <v>5.5</v>
      </c>
      <c r="BL1828" s="4">
        <v>72.48</v>
      </c>
      <c r="BM1828" s="4">
        <v>10.87</v>
      </c>
      <c r="BN1828" s="4">
        <v>83.35</v>
      </c>
      <c r="BO1828" s="4">
        <v>83.35</v>
      </c>
      <c r="BQ1828" t="s">
        <v>109</v>
      </c>
      <c r="BR1828" t="s">
        <v>84</v>
      </c>
      <c r="BS1828" s="3">
        <v>43787</v>
      </c>
      <c r="BT1828" s="5">
        <v>0.39583333333333331</v>
      </c>
      <c r="BU1828" t="s">
        <v>694</v>
      </c>
      <c r="BV1828" t="s">
        <v>86</v>
      </c>
      <c r="BY1828">
        <v>27533.95</v>
      </c>
      <c r="CC1828" t="s">
        <v>203</v>
      </c>
      <c r="CD1828">
        <v>1422</v>
      </c>
      <c r="CE1828" t="s">
        <v>1598</v>
      </c>
      <c r="CF1828" s="3">
        <v>43788</v>
      </c>
      <c r="CI1828">
        <v>1</v>
      </c>
      <c r="CJ1828">
        <v>1</v>
      </c>
      <c r="CK1828">
        <v>22</v>
      </c>
      <c r="CL1828" t="s">
        <v>89</v>
      </c>
    </row>
    <row r="1829" spans="1:90">
      <c r="A1829" t="s">
        <v>72</v>
      </c>
      <c r="B1829" t="s">
        <v>73</v>
      </c>
      <c r="C1829" t="s">
        <v>74</v>
      </c>
      <c r="E1829" t="str">
        <f>"FES1162723430"</f>
        <v>FES1162723430</v>
      </c>
      <c r="F1829" s="3">
        <v>43784</v>
      </c>
      <c r="G1829">
        <v>202005</v>
      </c>
      <c r="H1829" t="s">
        <v>75</v>
      </c>
      <c r="I1829" t="s">
        <v>76</v>
      </c>
      <c r="J1829" t="s">
        <v>77</v>
      </c>
      <c r="K1829" t="s">
        <v>78</v>
      </c>
      <c r="L1829" t="s">
        <v>292</v>
      </c>
      <c r="M1829" t="s">
        <v>293</v>
      </c>
      <c r="N1829" t="s">
        <v>294</v>
      </c>
      <c r="O1829" t="s">
        <v>82</v>
      </c>
      <c r="P1829" t="str">
        <f>"2170717377                    "</f>
        <v xml:space="preserve">2170717377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16.63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2</v>
      </c>
      <c r="BJ1829">
        <v>1</v>
      </c>
      <c r="BK1829">
        <v>2</v>
      </c>
      <c r="BL1829" s="4">
        <v>97.75</v>
      </c>
      <c r="BM1829" s="4">
        <v>14.66</v>
      </c>
      <c r="BN1829" s="4">
        <v>112.41</v>
      </c>
      <c r="BO1829" s="4">
        <v>112.41</v>
      </c>
      <c r="BQ1829" t="s">
        <v>121</v>
      </c>
      <c r="BR1829" t="s">
        <v>84</v>
      </c>
      <c r="BS1829" s="3">
        <v>43787</v>
      </c>
      <c r="BT1829" s="5">
        <v>0.43055555555555558</v>
      </c>
      <c r="BU1829" t="s">
        <v>2191</v>
      </c>
      <c r="BV1829" t="s">
        <v>86</v>
      </c>
      <c r="BY1829">
        <v>4849.88</v>
      </c>
      <c r="CC1829" t="s">
        <v>293</v>
      </c>
      <c r="CD1829">
        <v>1947</v>
      </c>
      <c r="CE1829" t="s">
        <v>88</v>
      </c>
      <c r="CF1829" s="3">
        <v>43788</v>
      </c>
      <c r="CI1829">
        <v>1</v>
      </c>
      <c r="CJ1829">
        <v>1</v>
      </c>
      <c r="CK1829">
        <v>23</v>
      </c>
      <c r="CL1829" t="s">
        <v>89</v>
      </c>
    </row>
    <row r="1830" spans="1:90">
      <c r="A1830" t="s">
        <v>72</v>
      </c>
      <c r="B1830" t="s">
        <v>73</v>
      </c>
      <c r="C1830" t="s">
        <v>74</v>
      </c>
      <c r="E1830" t="str">
        <f>"FES1162723307"</f>
        <v>FES1162723307</v>
      </c>
      <c r="F1830" s="3">
        <v>43784</v>
      </c>
      <c r="G1830">
        <v>202005</v>
      </c>
      <c r="H1830" t="s">
        <v>75</v>
      </c>
      <c r="I1830" t="s">
        <v>76</v>
      </c>
      <c r="J1830" t="s">
        <v>77</v>
      </c>
      <c r="K1830" t="s">
        <v>78</v>
      </c>
      <c r="L1830" t="s">
        <v>75</v>
      </c>
      <c r="M1830" t="s">
        <v>76</v>
      </c>
      <c r="N1830" t="s">
        <v>989</v>
      </c>
      <c r="O1830" t="s">
        <v>82</v>
      </c>
      <c r="P1830" t="str">
        <f>"2170715247                    "</f>
        <v xml:space="preserve">2170715247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6.71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1.6</v>
      </c>
      <c r="BJ1830">
        <v>0.6</v>
      </c>
      <c r="BK1830">
        <v>2</v>
      </c>
      <c r="BL1830" s="4">
        <v>39.42</v>
      </c>
      <c r="BM1830" s="4">
        <v>5.91</v>
      </c>
      <c r="BN1830" s="4">
        <v>45.33</v>
      </c>
      <c r="BO1830" s="4">
        <v>45.33</v>
      </c>
      <c r="BQ1830" t="s">
        <v>121</v>
      </c>
      <c r="BR1830" t="s">
        <v>84</v>
      </c>
      <c r="BS1830" s="3">
        <v>43787</v>
      </c>
      <c r="BT1830" s="5">
        <v>0.33333333333333331</v>
      </c>
      <c r="BU1830" t="s">
        <v>1340</v>
      </c>
      <c r="BV1830" t="s">
        <v>86</v>
      </c>
      <c r="BY1830">
        <v>2919.73</v>
      </c>
      <c r="CA1830" t="s">
        <v>368</v>
      </c>
      <c r="CC1830" t="s">
        <v>76</v>
      </c>
      <c r="CD1830">
        <v>1600</v>
      </c>
      <c r="CE1830" t="s">
        <v>88</v>
      </c>
      <c r="CF1830" s="3">
        <v>43788</v>
      </c>
      <c r="CI1830">
        <v>1</v>
      </c>
      <c r="CJ1830">
        <v>1</v>
      </c>
      <c r="CK1830">
        <v>22</v>
      </c>
      <c r="CL1830" t="s">
        <v>89</v>
      </c>
    </row>
    <row r="1831" spans="1:90">
      <c r="A1831" t="s">
        <v>72</v>
      </c>
      <c r="B1831" t="s">
        <v>73</v>
      </c>
      <c r="C1831" t="s">
        <v>74</v>
      </c>
      <c r="E1831" t="str">
        <f>"FES1162723401"</f>
        <v>FES1162723401</v>
      </c>
      <c r="F1831" s="3">
        <v>43784</v>
      </c>
      <c r="G1831">
        <v>202005</v>
      </c>
      <c r="H1831" t="s">
        <v>75</v>
      </c>
      <c r="I1831" t="s">
        <v>76</v>
      </c>
      <c r="J1831" t="s">
        <v>77</v>
      </c>
      <c r="K1831" t="s">
        <v>78</v>
      </c>
      <c r="L1831" t="s">
        <v>1048</v>
      </c>
      <c r="M1831" t="s">
        <v>1049</v>
      </c>
      <c r="N1831" t="s">
        <v>2192</v>
      </c>
      <c r="O1831" t="s">
        <v>82</v>
      </c>
      <c r="P1831" t="str">
        <f>"2170717347                    "</f>
        <v xml:space="preserve">2170717347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83.63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19.5</v>
      </c>
      <c r="BJ1831">
        <v>3.8</v>
      </c>
      <c r="BK1831">
        <v>19.5</v>
      </c>
      <c r="BL1831" s="4">
        <v>491.6</v>
      </c>
      <c r="BM1831" s="4">
        <v>73.739999999999995</v>
      </c>
      <c r="BN1831" s="4">
        <v>565.34</v>
      </c>
      <c r="BO1831" s="4">
        <v>565.34</v>
      </c>
      <c r="BQ1831" t="s">
        <v>246</v>
      </c>
      <c r="BR1831" t="s">
        <v>84</v>
      </c>
      <c r="BS1831" s="3">
        <v>43788</v>
      </c>
      <c r="BT1831" s="5">
        <v>0.73263888888888884</v>
      </c>
      <c r="BU1831" t="s">
        <v>2164</v>
      </c>
      <c r="BV1831" t="s">
        <v>89</v>
      </c>
      <c r="BY1831">
        <v>18819.72</v>
      </c>
      <c r="CA1831" t="s">
        <v>2165</v>
      </c>
      <c r="CC1831" t="s">
        <v>1049</v>
      </c>
      <c r="CD1831">
        <v>4120</v>
      </c>
      <c r="CE1831" t="s">
        <v>88</v>
      </c>
      <c r="CF1831" s="3">
        <v>43795</v>
      </c>
      <c r="CI1831">
        <v>1</v>
      </c>
      <c r="CJ1831">
        <v>2</v>
      </c>
      <c r="CK1831">
        <v>21</v>
      </c>
      <c r="CL1831" t="s">
        <v>89</v>
      </c>
    </row>
    <row r="1832" spans="1:90">
      <c r="A1832" t="s">
        <v>72</v>
      </c>
      <c r="B1832" t="s">
        <v>73</v>
      </c>
      <c r="C1832" t="s">
        <v>74</v>
      </c>
      <c r="E1832" t="str">
        <f>"FES1162723443"</f>
        <v>FES1162723443</v>
      </c>
      <c r="F1832" s="3">
        <v>43784</v>
      </c>
      <c r="G1832">
        <v>202005</v>
      </c>
      <c r="H1832" t="s">
        <v>75</v>
      </c>
      <c r="I1832" t="s">
        <v>76</v>
      </c>
      <c r="J1832" t="s">
        <v>77</v>
      </c>
      <c r="K1832" t="s">
        <v>78</v>
      </c>
      <c r="L1832" t="s">
        <v>118</v>
      </c>
      <c r="M1832" t="s">
        <v>119</v>
      </c>
      <c r="N1832" t="s">
        <v>885</v>
      </c>
      <c r="O1832" t="s">
        <v>82</v>
      </c>
      <c r="P1832" t="str">
        <f>"2170717395                    "</f>
        <v xml:space="preserve">2170717395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12.87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2.2999999999999998</v>
      </c>
      <c r="BJ1832">
        <v>2.7</v>
      </c>
      <c r="BK1832">
        <v>3</v>
      </c>
      <c r="BL1832" s="4">
        <v>75.66</v>
      </c>
      <c r="BM1832" s="4">
        <v>11.35</v>
      </c>
      <c r="BN1832" s="4">
        <v>87.01</v>
      </c>
      <c r="BO1832" s="4">
        <v>87.01</v>
      </c>
      <c r="BQ1832" t="s">
        <v>109</v>
      </c>
      <c r="BR1832" t="s">
        <v>84</v>
      </c>
      <c r="BS1832" s="3">
        <v>43787</v>
      </c>
      <c r="BT1832" s="5">
        <v>0.38680555555555557</v>
      </c>
      <c r="BU1832" t="s">
        <v>2193</v>
      </c>
      <c r="BV1832" t="s">
        <v>86</v>
      </c>
      <c r="BY1832">
        <v>13646.88</v>
      </c>
      <c r="CA1832" t="s">
        <v>435</v>
      </c>
      <c r="CC1832" t="s">
        <v>119</v>
      </c>
      <c r="CD1832">
        <v>3212</v>
      </c>
      <c r="CE1832" t="s">
        <v>1714</v>
      </c>
      <c r="CF1832" s="3">
        <v>43788</v>
      </c>
      <c r="CI1832">
        <v>1</v>
      </c>
      <c r="CJ1832">
        <v>1</v>
      </c>
      <c r="CK1832">
        <v>21</v>
      </c>
      <c r="CL1832" t="s">
        <v>89</v>
      </c>
    </row>
    <row r="1833" spans="1:90">
      <c r="A1833" t="s">
        <v>72</v>
      </c>
      <c r="B1833" t="s">
        <v>73</v>
      </c>
      <c r="C1833" t="s">
        <v>74</v>
      </c>
      <c r="E1833" t="str">
        <f>"FES1162723432"</f>
        <v>FES1162723432</v>
      </c>
      <c r="F1833" s="3">
        <v>43784</v>
      </c>
      <c r="G1833">
        <v>202005</v>
      </c>
      <c r="H1833" t="s">
        <v>75</v>
      </c>
      <c r="I1833" t="s">
        <v>76</v>
      </c>
      <c r="J1833" t="s">
        <v>77</v>
      </c>
      <c r="K1833" t="s">
        <v>78</v>
      </c>
      <c r="L1833" t="s">
        <v>112</v>
      </c>
      <c r="M1833" t="s">
        <v>113</v>
      </c>
      <c r="N1833" t="s">
        <v>620</v>
      </c>
      <c r="O1833" t="s">
        <v>82</v>
      </c>
      <c r="P1833" t="str">
        <f>"2170717382                    "</f>
        <v xml:space="preserve">2170717382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12.87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3</v>
      </c>
      <c r="BJ1833">
        <v>1.2</v>
      </c>
      <c r="BK1833">
        <v>3</v>
      </c>
      <c r="BL1833" s="4">
        <v>75.66</v>
      </c>
      <c r="BM1833" s="4">
        <v>11.35</v>
      </c>
      <c r="BN1833" s="4">
        <v>87.01</v>
      </c>
      <c r="BO1833" s="4">
        <v>87.01</v>
      </c>
      <c r="BQ1833" t="s">
        <v>109</v>
      </c>
      <c r="BR1833" t="s">
        <v>84</v>
      </c>
      <c r="BS1833" s="3">
        <v>43787</v>
      </c>
      <c r="BT1833" s="5">
        <v>0.41041666666666665</v>
      </c>
      <c r="BU1833" t="s">
        <v>2172</v>
      </c>
      <c r="BV1833" t="s">
        <v>86</v>
      </c>
      <c r="BY1833">
        <v>5914.06</v>
      </c>
      <c r="CA1833" t="s">
        <v>255</v>
      </c>
      <c r="CC1833" t="s">
        <v>113</v>
      </c>
      <c r="CD1833">
        <v>4302</v>
      </c>
      <c r="CE1833" t="s">
        <v>88</v>
      </c>
      <c r="CF1833" s="3">
        <v>43789</v>
      </c>
      <c r="CI1833">
        <v>1</v>
      </c>
      <c r="CJ1833">
        <v>1</v>
      </c>
      <c r="CK1833">
        <v>21</v>
      </c>
      <c r="CL1833" t="s">
        <v>89</v>
      </c>
    </row>
    <row r="1834" spans="1:90">
      <c r="A1834" t="s">
        <v>72</v>
      </c>
      <c r="B1834" t="s">
        <v>73</v>
      </c>
      <c r="C1834" t="s">
        <v>74</v>
      </c>
      <c r="E1834" t="str">
        <f>"FES1162723419"</f>
        <v>FES1162723419</v>
      </c>
      <c r="F1834" s="3">
        <v>43784</v>
      </c>
      <c r="G1834">
        <v>202005</v>
      </c>
      <c r="H1834" t="s">
        <v>75</v>
      </c>
      <c r="I1834" t="s">
        <v>76</v>
      </c>
      <c r="J1834" t="s">
        <v>77</v>
      </c>
      <c r="K1834" t="s">
        <v>78</v>
      </c>
      <c r="L1834" t="s">
        <v>112</v>
      </c>
      <c r="M1834" t="s">
        <v>113</v>
      </c>
      <c r="N1834" t="s">
        <v>2194</v>
      </c>
      <c r="O1834" t="s">
        <v>82</v>
      </c>
      <c r="P1834" t="str">
        <f>"2170705703                    "</f>
        <v xml:space="preserve">2170705703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8.58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 s="4">
        <v>50.45</v>
      </c>
      <c r="BM1834" s="4">
        <v>7.57</v>
      </c>
      <c r="BN1834" s="4">
        <v>58.02</v>
      </c>
      <c r="BO1834" s="4">
        <v>58.02</v>
      </c>
      <c r="BQ1834" t="s">
        <v>2195</v>
      </c>
      <c r="BR1834" t="s">
        <v>84</v>
      </c>
      <c r="BS1834" s="3">
        <v>43787</v>
      </c>
      <c r="BT1834" s="5">
        <v>0.31388888888888888</v>
      </c>
      <c r="BU1834" t="s">
        <v>2196</v>
      </c>
      <c r="BV1834" t="s">
        <v>86</v>
      </c>
      <c r="BY1834">
        <v>1200</v>
      </c>
      <c r="CA1834" t="s">
        <v>426</v>
      </c>
      <c r="CC1834" t="s">
        <v>113</v>
      </c>
      <c r="CD1834">
        <v>4051</v>
      </c>
      <c r="CE1834" t="s">
        <v>147</v>
      </c>
      <c r="CF1834" s="3">
        <v>43788</v>
      </c>
      <c r="CI1834">
        <v>1</v>
      </c>
      <c r="CJ1834">
        <v>1</v>
      </c>
      <c r="CK1834">
        <v>21</v>
      </c>
      <c r="CL1834" t="s">
        <v>89</v>
      </c>
    </row>
    <row r="1835" spans="1:90">
      <c r="A1835" t="s">
        <v>72</v>
      </c>
      <c r="B1835" t="s">
        <v>73</v>
      </c>
      <c r="C1835" t="s">
        <v>74</v>
      </c>
      <c r="E1835" t="str">
        <f>"FES1162723395"</f>
        <v>FES1162723395</v>
      </c>
      <c r="F1835" s="3">
        <v>43784</v>
      </c>
      <c r="G1835">
        <v>202005</v>
      </c>
      <c r="H1835" t="s">
        <v>75</v>
      </c>
      <c r="I1835" t="s">
        <v>76</v>
      </c>
      <c r="J1835" t="s">
        <v>77</v>
      </c>
      <c r="K1835" t="s">
        <v>78</v>
      </c>
      <c r="L1835" t="s">
        <v>133</v>
      </c>
      <c r="M1835" t="s">
        <v>134</v>
      </c>
      <c r="N1835" t="s">
        <v>310</v>
      </c>
      <c r="O1835" t="s">
        <v>82</v>
      </c>
      <c r="P1835" t="str">
        <f>"2170717343                    "</f>
        <v xml:space="preserve">2170717343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21.45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2</v>
      </c>
      <c r="BI1835">
        <v>4.8</v>
      </c>
      <c r="BJ1835">
        <v>1.8</v>
      </c>
      <c r="BK1835">
        <v>5</v>
      </c>
      <c r="BL1835" s="4">
        <v>126.08</v>
      </c>
      <c r="BM1835" s="4">
        <v>18.91</v>
      </c>
      <c r="BN1835" s="4">
        <v>144.99</v>
      </c>
      <c r="BO1835" s="4">
        <v>144.99</v>
      </c>
      <c r="BQ1835" t="s">
        <v>121</v>
      </c>
      <c r="BR1835" t="s">
        <v>84</v>
      </c>
      <c r="BS1835" s="3">
        <v>43787</v>
      </c>
      <c r="BT1835" s="5">
        <v>0.34930555555555554</v>
      </c>
      <c r="BU1835" t="s">
        <v>2182</v>
      </c>
      <c r="BV1835" t="s">
        <v>86</v>
      </c>
      <c r="BY1835">
        <v>9017.82</v>
      </c>
      <c r="CA1835" t="s">
        <v>912</v>
      </c>
      <c r="CC1835" t="s">
        <v>134</v>
      </c>
      <c r="CD1835">
        <v>5201</v>
      </c>
      <c r="CE1835" t="s">
        <v>2197</v>
      </c>
      <c r="CF1835" s="3">
        <v>43788</v>
      </c>
      <c r="CI1835">
        <v>1</v>
      </c>
      <c r="CJ1835">
        <v>1</v>
      </c>
      <c r="CK1835">
        <v>21</v>
      </c>
      <c r="CL1835" t="s">
        <v>89</v>
      </c>
    </row>
    <row r="1836" spans="1:90">
      <c r="A1836" t="s">
        <v>72</v>
      </c>
      <c r="B1836" t="s">
        <v>73</v>
      </c>
      <c r="C1836" t="s">
        <v>74</v>
      </c>
      <c r="E1836" t="str">
        <f>"FES1162723475"</f>
        <v>FES1162723475</v>
      </c>
      <c r="F1836" s="3">
        <v>43784</v>
      </c>
      <c r="G1836">
        <v>202005</v>
      </c>
      <c r="H1836" t="s">
        <v>75</v>
      </c>
      <c r="I1836" t="s">
        <v>76</v>
      </c>
      <c r="J1836" t="s">
        <v>77</v>
      </c>
      <c r="K1836" t="s">
        <v>78</v>
      </c>
      <c r="L1836" t="s">
        <v>106</v>
      </c>
      <c r="M1836" t="s">
        <v>107</v>
      </c>
      <c r="N1836" t="s">
        <v>843</v>
      </c>
      <c r="O1836" t="s">
        <v>82</v>
      </c>
      <c r="P1836" t="str">
        <f>"2170717425                    "</f>
        <v xml:space="preserve">2170717425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8.58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 s="4">
        <v>50.45</v>
      </c>
      <c r="BM1836" s="4">
        <v>7.57</v>
      </c>
      <c r="BN1836" s="4">
        <v>58.02</v>
      </c>
      <c r="BO1836" s="4">
        <v>58.02</v>
      </c>
      <c r="BQ1836" t="s">
        <v>121</v>
      </c>
      <c r="BR1836" t="s">
        <v>84</v>
      </c>
      <c r="BS1836" s="3">
        <v>43787</v>
      </c>
      <c r="BT1836" s="5">
        <v>0.41319444444444442</v>
      </c>
      <c r="BU1836" t="s">
        <v>1037</v>
      </c>
      <c r="BV1836" t="s">
        <v>86</v>
      </c>
      <c r="BY1836">
        <v>1200</v>
      </c>
      <c r="CA1836" t="s">
        <v>773</v>
      </c>
      <c r="CC1836" t="s">
        <v>107</v>
      </c>
      <c r="CD1836">
        <v>6001</v>
      </c>
      <c r="CE1836" t="s">
        <v>147</v>
      </c>
      <c r="CF1836" s="3">
        <v>43788</v>
      </c>
      <c r="CI1836">
        <v>1</v>
      </c>
      <c r="CJ1836">
        <v>1</v>
      </c>
      <c r="CK1836">
        <v>21</v>
      </c>
      <c r="CL1836" t="s">
        <v>89</v>
      </c>
    </row>
    <row r="1837" spans="1:90">
      <c r="A1837" t="s">
        <v>72</v>
      </c>
      <c r="B1837" t="s">
        <v>73</v>
      </c>
      <c r="C1837" t="s">
        <v>74</v>
      </c>
      <c r="E1837" t="str">
        <f>"FES1162723447"</f>
        <v>FES1162723447</v>
      </c>
      <c r="F1837" s="3">
        <v>43784</v>
      </c>
      <c r="G1837">
        <v>202005</v>
      </c>
      <c r="H1837" t="s">
        <v>75</v>
      </c>
      <c r="I1837" t="s">
        <v>76</v>
      </c>
      <c r="J1837" t="s">
        <v>77</v>
      </c>
      <c r="K1837" t="s">
        <v>78</v>
      </c>
      <c r="L1837" t="s">
        <v>133</v>
      </c>
      <c r="M1837" t="s">
        <v>134</v>
      </c>
      <c r="N1837" t="s">
        <v>135</v>
      </c>
      <c r="O1837" t="s">
        <v>82</v>
      </c>
      <c r="P1837" t="str">
        <f>"21707                         "</f>
        <v xml:space="preserve">21707     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8.58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 s="4">
        <v>50.45</v>
      </c>
      <c r="BM1837" s="4">
        <v>7.57</v>
      </c>
      <c r="BN1837" s="4">
        <v>58.02</v>
      </c>
      <c r="BO1837" s="4">
        <v>58.02</v>
      </c>
      <c r="BQ1837" t="s">
        <v>109</v>
      </c>
      <c r="BR1837" t="s">
        <v>84</v>
      </c>
      <c r="BS1837" s="3">
        <v>43787</v>
      </c>
      <c r="BT1837" s="5">
        <v>0.3430555555555555</v>
      </c>
      <c r="BU1837" t="s">
        <v>2168</v>
      </c>
      <c r="BV1837" t="s">
        <v>86</v>
      </c>
      <c r="BY1837">
        <v>1200</v>
      </c>
      <c r="CA1837" t="s">
        <v>912</v>
      </c>
      <c r="CC1837" t="s">
        <v>134</v>
      </c>
      <c r="CD1837">
        <v>5201</v>
      </c>
      <c r="CE1837" t="s">
        <v>147</v>
      </c>
      <c r="CF1837" s="3">
        <v>43788</v>
      </c>
      <c r="CI1837">
        <v>1</v>
      </c>
      <c r="CJ1837">
        <v>1</v>
      </c>
      <c r="CK1837">
        <v>21</v>
      </c>
      <c r="CL1837" t="s">
        <v>89</v>
      </c>
    </row>
    <row r="1838" spans="1:90">
      <c r="A1838" t="s">
        <v>72</v>
      </c>
      <c r="B1838" t="s">
        <v>73</v>
      </c>
      <c r="C1838" t="s">
        <v>74</v>
      </c>
      <c r="E1838" t="str">
        <f>"FES1162723486"</f>
        <v>FES1162723486</v>
      </c>
      <c r="F1838" s="3">
        <v>43784</v>
      </c>
      <c r="G1838">
        <v>202005</v>
      </c>
      <c r="H1838" t="s">
        <v>75</v>
      </c>
      <c r="I1838" t="s">
        <v>76</v>
      </c>
      <c r="J1838" t="s">
        <v>77</v>
      </c>
      <c r="K1838" t="s">
        <v>78</v>
      </c>
      <c r="L1838" t="s">
        <v>90</v>
      </c>
      <c r="M1838" t="s">
        <v>91</v>
      </c>
      <c r="N1838" t="s">
        <v>1825</v>
      </c>
      <c r="O1838" t="s">
        <v>82</v>
      </c>
      <c r="P1838" t="str">
        <f>"21707436                      "</f>
        <v xml:space="preserve">21707436  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15.02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3.1</v>
      </c>
      <c r="BJ1838">
        <v>1.8</v>
      </c>
      <c r="BK1838">
        <v>3.5</v>
      </c>
      <c r="BL1838" s="4">
        <v>88.27</v>
      </c>
      <c r="BM1838" s="4">
        <v>13.24</v>
      </c>
      <c r="BN1838" s="4">
        <v>101.51</v>
      </c>
      <c r="BO1838" s="4">
        <v>101.51</v>
      </c>
      <c r="BQ1838" t="s">
        <v>121</v>
      </c>
      <c r="BR1838" t="s">
        <v>84</v>
      </c>
      <c r="BS1838" s="3">
        <v>43787</v>
      </c>
      <c r="BT1838" s="5">
        <v>0.40763888888888888</v>
      </c>
      <c r="BU1838" t="s">
        <v>1826</v>
      </c>
      <c r="BV1838" t="s">
        <v>86</v>
      </c>
      <c r="BY1838">
        <v>8840.7999999999993</v>
      </c>
      <c r="CA1838" t="s">
        <v>323</v>
      </c>
      <c r="CC1838" t="s">
        <v>91</v>
      </c>
      <c r="CD1838">
        <v>7460</v>
      </c>
      <c r="CE1838" t="s">
        <v>88</v>
      </c>
      <c r="CF1838" s="3">
        <v>43788</v>
      </c>
      <c r="CI1838">
        <v>1</v>
      </c>
      <c r="CJ1838">
        <v>1</v>
      </c>
      <c r="CK1838">
        <v>21</v>
      </c>
      <c r="CL1838" t="s">
        <v>89</v>
      </c>
    </row>
    <row r="1839" spans="1:90">
      <c r="A1839" t="s">
        <v>72</v>
      </c>
      <c r="B1839" t="s">
        <v>73</v>
      </c>
      <c r="C1839" t="s">
        <v>74</v>
      </c>
      <c r="E1839" t="str">
        <f>"FES1162723453"</f>
        <v>FES1162723453</v>
      </c>
      <c r="F1839" s="3">
        <v>43784</v>
      </c>
      <c r="G1839">
        <v>202005</v>
      </c>
      <c r="H1839" t="s">
        <v>75</v>
      </c>
      <c r="I1839" t="s">
        <v>76</v>
      </c>
      <c r="J1839" t="s">
        <v>77</v>
      </c>
      <c r="K1839" t="s">
        <v>78</v>
      </c>
      <c r="L1839" t="s">
        <v>192</v>
      </c>
      <c r="M1839" t="s">
        <v>193</v>
      </c>
      <c r="N1839" t="s">
        <v>194</v>
      </c>
      <c r="O1839" t="s">
        <v>82</v>
      </c>
      <c r="P1839" t="str">
        <f>"2170717169                    "</f>
        <v xml:space="preserve">2170717169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16.63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 s="4">
        <v>97.75</v>
      </c>
      <c r="BM1839" s="4">
        <v>14.66</v>
      </c>
      <c r="BN1839" s="4">
        <v>112.41</v>
      </c>
      <c r="BO1839" s="4">
        <v>112.41</v>
      </c>
      <c r="BQ1839" t="s">
        <v>109</v>
      </c>
      <c r="BR1839" t="s">
        <v>84</v>
      </c>
      <c r="BS1839" s="3">
        <v>43787</v>
      </c>
      <c r="BT1839" s="5">
        <v>0.52083333333333337</v>
      </c>
      <c r="BU1839" t="s">
        <v>2176</v>
      </c>
      <c r="BV1839" t="s">
        <v>86</v>
      </c>
      <c r="BY1839">
        <v>1200</v>
      </c>
      <c r="CA1839" t="s">
        <v>1364</v>
      </c>
      <c r="CC1839" t="s">
        <v>193</v>
      </c>
      <c r="CD1839">
        <v>7130</v>
      </c>
      <c r="CE1839" t="s">
        <v>147</v>
      </c>
      <c r="CF1839" s="3">
        <v>43788</v>
      </c>
      <c r="CI1839">
        <v>1</v>
      </c>
      <c r="CJ1839">
        <v>1</v>
      </c>
      <c r="CK1839">
        <v>23</v>
      </c>
      <c r="CL1839" t="s">
        <v>89</v>
      </c>
    </row>
    <row r="1840" spans="1:90">
      <c r="A1840" t="s">
        <v>72</v>
      </c>
      <c r="B1840" t="s">
        <v>73</v>
      </c>
      <c r="C1840" t="s">
        <v>74</v>
      </c>
      <c r="E1840" t="str">
        <f>"FES1162723435"</f>
        <v>FES1162723435</v>
      </c>
      <c r="F1840" s="3">
        <v>43784</v>
      </c>
      <c r="G1840">
        <v>202005</v>
      </c>
      <c r="H1840" t="s">
        <v>75</v>
      </c>
      <c r="I1840" t="s">
        <v>76</v>
      </c>
      <c r="J1840" t="s">
        <v>77</v>
      </c>
      <c r="K1840" t="s">
        <v>78</v>
      </c>
      <c r="L1840" t="s">
        <v>124</v>
      </c>
      <c r="M1840" t="s">
        <v>125</v>
      </c>
      <c r="N1840" t="s">
        <v>2198</v>
      </c>
      <c r="O1840" t="s">
        <v>82</v>
      </c>
      <c r="P1840" t="str">
        <f>"2170717386                    "</f>
        <v xml:space="preserve">2170717386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6.71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 s="4">
        <v>39.42</v>
      </c>
      <c r="BM1840" s="4">
        <v>5.91</v>
      </c>
      <c r="BN1840" s="4">
        <v>45.33</v>
      </c>
      <c r="BO1840" s="4">
        <v>45.33</v>
      </c>
      <c r="BR1840" t="s">
        <v>84</v>
      </c>
      <c r="BS1840" s="3">
        <v>43788</v>
      </c>
      <c r="BT1840" s="5">
        <v>0.66111111111111109</v>
      </c>
      <c r="BU1840" t="s">
        <v>2164</v>
      </c>
      <c r="BV1840" t="s">
        <v>89</v>
      </c>
      <c r="BY1840">
        <v>1200</v>
      </c>
      <c r="CA1840" t="s">
        <v>2165</v>
      </c>
      <c r="CC1840" t="s">
        <v>125</v>
      </c>
      <c r="CD1840">
        <v>2049</v>
      </c>
      <c r="CE1840" t="s">
        <v>147</v>
      </c>
      <c r="CI1840">
        <v>1</v>
      </c>
      <c r="CJ1840">
        <v>2</v>
      </c>
      <c r="CK1840">
        <v>22</v>
      </c>
      <c r="CL1840" t="s">
        <v>89</v>
      </c>
    </row>
    <row r="1841" spans="1:90">
      <c r="A1841" t="s">
        <v>72</v>
      </c>
      <c r="B1841" t="s">
        <v>73</v>
      </c>
      <c r="C1841" t="s">
        <v>74</v>
      </c>
      <c r="E1841" t="str">
        <f>"FES1162723451"</f>
        <v>FES1162723451</v>
      </c>
      <c r="F1841" s="3">
        <v>43784</v>
      </c>
      <c r="G1841">
        <v>202005</v>
      </c>
      <c r="H1841" t="s">
        <v>75</v>
      </c>
      <c r="I1841" t="s">
        <v>76</v>
      </c>
      <c r="J1841" t="s">
        <v>77</v>
      </c>
      <c r="K1841" t="s">
        <v>78</v>
      </c>
      <c r="L1841" t="s">
        <v>90</v>
      </c>
      <c r="M1841" t="s">
        <v>91</v>
      </c>
      <c r="N1841" t="s">
        <v>1481</v>
      </c>
      <c r="O1841" t="s">
        <v>82</v>
      </c>
      <c r="P1841" t="str">
        <f>"2170716653                    "</f>
        <v xml:space="preserve">2170716653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8.58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 s="4">
        <v>50.45</v>
      </c>
      <c r="BM1841" s="4">
        <v>7.57</v>
      </c>
      <c r="BN1841" s="4">
        <v>58.02</v>
      </c>
      <c r="BO1841" s="4">
        <v>58.02</v>
      </c>
      <c r="BQ1841" t="s">
        <v>246</v>
      </c>
      <c r="BR1841" t="s">
        <v>84</v>
      </c>
      <c r="BS1841" s="3">
        <v>43787</v>
      </c>
      <c r="BT1841" s="5">
        <v>0.3888888888888889</v>
      </c>
      <c r="BU1841" t="s">
        <v>2199</v>
      </c>
      <c r="BV1841" t="s">
        <v>86</v>
      </c>
      <c r="BY1841">
        <v>1200</v>
      </c>
      <c r="CC1841" t="s">
        <v>91</v>
      </c>
      <c r="CD1841">
        <v>7441</v>
      </c>
      <c r="CE1841" t="s">
        <v>147</v>
      </c>
      <c r="CF1841" s="3">
        <v>43788</v>
      </c>
      <c r="CI1841">
        <v>1</v>
      </c>
      <c r="CJ1841">
        <v>1</v>
      </c>
      <c r="CK1841">
        <v>21</v>
      </c>
      <c r="CL1841" t="s">
        <v>89</v>
      </c>
    </row>
    <row r="1842" spans="1:90">
      <c r="A1842" t="s">
        <v>72</v>
      </c>
      <c r="B1842" t="s">
        <v>73</v>
      </c>
      <c r="C1842" t="s">
        <v>74</v>
      </c>
      <c r="E1842" t="str">
        <f>"FES1162723461"</f>
        <v>FES1162723461</v>
      </c>
      <c r="F1842" s="3">
        <v>43784</v>
      </c>
      <c r="G1842">
        <v>202005</v>
      </c>
      <c r="H1842" t="s">
        <v>75</v>
      </c>
      <c r="I1842" t="s">
        <v>76</v>
      </c>
      <c r="J1842" t="s">
        <v>77</v>
      </c>
      <c r="K1842" t="s">
        <v>78</v>
      </c>
      <c r="L1842" t="s">
        <v>344</v>
      </c>
      <c r="M1842" t="s">
        <v>345</v>
      </c>
      <c r="N1842" t="s">
        <v>2200</v>
      </c>
      <c r="O1842" t="s">
        <v>82</v>
      </c>
      <c r="P1842" t="str">
        <f>"2170717408                    "</f>
        <v xml:space="preserve">2170717408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6.71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 s="4">
        <v>39.42</v>
      </c>
      <c r="BM1842" s="4">
        <v>5.91</v>
      </c>
      <c r="BN1842" s="4">
        <v>45.33</v>
      </c>
      <c r="BO1842" s="4">
        <v>45.33</v>
      </c>
      <c r="BQ1842" t="s">
        <v>121</v>
      </c>
      <c r="BR1842" t="s">
        <v>84</v>
      </c>
      <c r="BS1842" s="3">
        <v>43787</v>
      </c>
      <c r="BT1842" s="5">
        <v>0.4375</v>
      </c>
      <c r="BU1842" t="s">
        <v>1659</v>
      </c>
      <c r="BV1842" t="s">
        <v>86</v>
      </c>
      <c r="BY1842">
        <v>1200</v>
      </c>
      <c r="CA1842" t="s">
        <v>348</v>
      </c>
      <c r="CC1842" t="s">
        <v>345</v>
      </c>
      <c r="CD1842">
        <v>2163</v>
      </c>
      <c r="CE1842" t="s">
        <v>147</v>
      </c>
      <c r="CF1842" s="3">
        <v>43789</v>
      </c>
      <c r="CI1842">
        <v>1</v>
      </c>
      <c r="CJ1842">
        <v>1</v>
      </c>
      <c r="CK1842">
        <v>22</v>
      </c>
      <c r="CL1842" t="s">
        <v>89</v>
      </c>
    </row>
    <row r="1843" spans="1:90">
      <c r="A1843" t="s">
        <v>72</v>
      </c>
      <c r="B1843" t="s">
        <v>73</v>
      </c>
      <c r="C1843" t="s">
        <v>74</v>
      </c>
      <c r="E1843" t="str">
        <f>"FES1162723339"</f>
        <v>FES1162723339</v>
      </c>
      <c r="F1843" s="3">
        <v>43784</v>
      </c>
      <c r="G1843">
        <v>202005</v>
      </c>
      <c r="H1843" t="s">
        <v>75</v>
      </c>
      <c r="I1843" t="s">
        <v>76</v>
      </c>
      <c r="J1843" t="s">
        <v>77</v>
      </c>
      <c r="K1843" t="s">
        <v>78</v>
      </c>
      <c r="L1843" t="s">
        <v>101</v>
      </c>
      <c r="M1843" t="s">
        <v>102</v>
      </c>
      <c r="N1843" t="s">
        <v>1293</v>
      </c>
      <c r="O1843" t="s">
        <v>82</v>
      </c>
      <c r="P1843" t="str">
        <f>"21707158682                   "</f>
        <v xml:space="preserve">21707158682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8.58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 s="4">
        <v>50.45</v>
      </c>
      <c r="BM1843" s="4">
        <v>7.57</v>
      </c>
      <c r="BN1843" s="4">
        <v>58.02</v>
      </c>
      <c r="BO1843" s="4">
        <v>58.02</v>
      </c>
      <c r="BQ1843" t="s">
        <v>109</v>
      </c>
      <c r="BR1843" t="s">
        <v>84</v>
      </c>
      <c r="BS1843" s="3">
        <v>43787</v>
      </c>
      <c r="BT1843" s="5">
        <v>0.38541666666666669</v>
      </c>
      <c r="BU1843" t="s">
        <v>2201</v>
      </c>
      <c r="BV1843" t="s">
        <v>86</v>
      </c>
      <c r="BY1843">
        <v>1200</v>
      </c>
      <c r="CA1843" t="s">
        <v>123</v>
      </c>
      <c r="CC1843" t="s">
        <v>102</v>
      </c>
      <c r="CD1843">
        <v>200</v>
      </c>
      <c r="CE1843" t="s">
        <v>147</v>
      </c>
      <c r="CF1843" s="3">
        <v>43789</v>
      </c>
      <c r="CI1843">
        <v>1</v>
      </c>
      <c r="CJ1843">
        <v>1</v>
      </c>
      <c r="CK1843">
        <v>21</v>
      </c>
      <c r="CL1843" t="s">
        <v>89</v>
      </c>
    </row>
    <row r="1844" spans="1:90">
      <c r="A1844" t="s">
        <v>72</v>
      </c>
      <c r="B1844" t="s">
        <v>73</v>
      </c>
      <c r="C1844" t="s">
        <v>74</v>
      </c>
      <c r="E1844" t="str">
        <f>"FES1162723288"</f>
        <v>FES1162723288</v>
      </c>
      <c r="F1844" s="3">
        <v>43784</v>
      </c>
      <c r="G1844">
        <v>202005</v>
      </c>
      <c r="H1844" t="s">
        <v>75</v>
      </c>
      <c r="I1844" t="s">
        <v>76</v>
      </c>
      <c r="J1844" t="s">
        <v>77</v>
      </c>
      <c r="K1844" t="s">
        <v>78</v>
      </c>
      <c r="L1844" t="s">
        <v>101</v>
      </c>
      <c r="M1844" t="s">
        <v>102</v>
      </c>
      <c r="N1844" t="s">
        <v>181</v>
      </c>
      <c r="O1844" t="s">
        <v>82</v>
      </c>
      <c r="P1844" t="str">
        <f>"217071709                     "</f>
        <v xml:space="preserve">217071709 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8.58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 s="4">
        <v>50.45</v>
      </c>
      <c r="BM1844" s="4">
        <v>7.57</v>
      </c>
      <c r="BN1844" s="4">
        <v>58.02</v>
      </c>
      <c r="BO1844" s="4">
        <v>58.02</v>
      </c>
      <c r="BQ1844" t="s">
        <v>121</v>
      </c>
      <c r="BR1844" t="s">
        <v>84</v>
      </c>
      <c r="BS1844" s="3">
        <v>43787</v>
      </c>
      <c r="BT1844" s="5">
        <v>0.38194444444444442</v>
      </c>
      <c r="BU1844" t="s">
        <v>2202</v>
      </c>
      <c r="BV1844" t="s">
        <v>86</v>
      </c>
      <c r="BY1844">
        <v>1200</v>
      </c>
      <c r="CA1844" t="s">
        <v>123</v>
      </c>
      <c r="CC1844" t="s">
        <v>102</v>
      </c>
      <c r="CD1844">
        <v>200</v>
      </c>
      <c r="CE1844" t="s">
        <v>147</v>
      </c>
      <c r="CF1844" s="3">
        <v>43789</v>
      </c>
      <c r="CI1844">
        <v>1</v>
      </c>
      <c r="CJ1844">
        <v>1</v>
      </c>
      <c r="CK1844">
        <v>21</v>
      </c>
      <c r="CL1844" t="s">
        <v>89</v>
      </c>
    </row>
    <row r="1845" spans="1:90">
      <c r="A1845" t="s">
        <v>72</v>
      </c>
      <c r="B1845" t="s">
        <v>73</v>
      </c>
      <c r="C1845" t="s">
        <v>74</v>
      </c>
      <c r="E1845" t="str">
        <f>"FES1162723442"</f>
        <v>FES1162723442</v>
      </c>
      <c r="F1845" s="3">
        <v>43784</v>
      </c>
      <c r="G1845">
        <v>202005</v>
      </c>
      <c r="H1845" t="s">
        <v>75</v>
      </c>
      <c r="I1845" t="s">
        <v>76</v>
      </c>
      <c r="J1845" t="s">
        <v>77</v>
      </c>
      <c r="K1845" t="s">
        <v>78</v>
      </c>
      <c r="L1845" t="s">
        <v>296</v>
      </c>
      <c r="M1845" t="s">
        <v>297</v>
      </c>
      <c r="N1845" t="s">
        <v>672</v>
      </c>
      <c r="O1845" t="s">
        <v>82</v>
      </c>
      <c r="P1845" t="str">
        <f>"217071394                     "</f>
        <v xml:space="preserve">217071394 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16.63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 s="4">
        <v>97.75</v>
      </c>
      <c r="BM1845" s="4">
        <v>14.66</v>
      </c>
      <c r="BN1845" s="4">
        <v>112.41</v>
      </c>
      <c r="BO1845" s="4">
        <v>112.41</v>
      </c>
      <c r="BQ1845" t="s">
        <v>142</v>
      </c>
      <c r="BR1845" t="s">
        <v>84</v>
      </c>
      <c r="BS1845" s="3">
        <v>43788</v>
      </c>
      <c r="BT1845" s="5">
        <v>0.37222222222222223</v>
      </c>
      <c r="BU1845" t="s">
        <v>2203</v>
      </c>
      <c r="BV1845" t="s">
        <v>86</v>
      </c>
      <c r="BY1845">
        <v>1200</v>
      </c>
      <c r="CA1845" t="s">
        <v>300</v>
      </c>
      <c r="CC1845" t="s">
        <v>297</v>
      </c>
      <c r="CD1845">
        <v>6850</v>
      </c>
      <c r="CE1845" t="s">
        <v>147</v>
      </c>
      <c r="CF1845" s="3">
        <v>43789</v>
      </c>
      <c r="CI1845">
        <v>3</v>
      </c>
      <c r="CJ1845">
        <v>2</v>
      </c>
      <c r="CK1845">
        <v>23</v>
      </c>
      <c r="CL1845" t="s">
        <v>89</v>
      </c>
    </row>
    <row r="1846" spans="1:90">
      <c r="A1846" t="s">
        <v>72</v>
      </c>
      <c r="B1846" t="s">
        <v>73</v>
      </c>
      <c r="C1846" t="s">
        <v>74</v>
      </c>
      <c r="E1846" t="str">
        <f>"FES1162723396"</f>
        <v>FES1162723396</v>
      </c>
      <c r="F1846" s="3">
        <v>43784</v>
      </c>
      <c r="G1846">
        <v>202005</v>
      </c>
      <c r="H1846" t="s">
        <v>75</v>
      </c>
      <c r="I1846" t="s">
        <v>76</v>
      </c>
      <c r="J1846" t="s">
        <v>77</v>
      </c>
      <c r="K1846" t="s">
        <v>78</v>
      </c>
      <c r="L1846" t="s">
        <v>101</v>
      </c>
      <c r="M1846" t="s">
        <v>102</v>
      </c>
      <c r="N1846" t="s">
        <v>380</v>
      </c>
      <c r="O1846" t="s">
        <v>82</v>
      </c>
      <c r="P1846" t="str">
        <f>"2170717112                    "</f>
        <v xml:space="preserve">2170717112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8.58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 s="4">
        <v>50.45</v>
      </c>
      <c r="BM1846" s="4">
        <v>7.57</v>
      </c>
      <c r="BN1846" s="4">
        <v>58.02</v>
      </c>
      <c r="BO1846" s="4">
        <v>58.02</v>
      </c>
      <c r="BQ1846" t="s">
        <v>109</v>
      </c>
      <c r="BR1846" t="s">
        <v>84</v>
      </c>
      <c r="BS1846" s="3">
        <v>43787</v>
      </c>
      <c r="BT1846" s="5">
        <v>0.43402777777777773</v>
      </c>
      <c r="BU1846" t="s">
        <v>2204</v>
      </c>
      <c r="BV1846" t="s">
        <v>86</v>
      </c>
      <c r="BY1846">
        <v>1200</v>
      </c>
      <c r="CA1846" t="s">
        <v>1552</v>
      </c>
      <c r="CC1846" t="s">
        <v>102</v>
      </c>
      <c r="CD1846">
        <v>184</v>
      </c>
      <c r="CE1846" t="s">
        <v>147</v>
      </c>
      <c r="CF1846" s="3">
        <v>43788</v>
      </c>
      <c r="CI1846">
        <v>1</v>
      </c>
      <c r="CJ1846">
        <v>1</v>
      </c>
      <c r="CK1846">
        <v>21</v>
      </c>
      <c r="CL1846" t="s">
        <v>89</v>
      </c>
    </row>
    <row r="1847" spans="1:90">
      <c r="A1847" t="s">
        <v>72</v>
      </c>
      <c r="B1847" t="s">
        <v>73</v>
      </c>
      <c r="C1847" t="s">
        <v>74</v>
      </c>
      <c r="E1847" t="str">
        <f>"FES1162723437"</f>
        <v>FES1162723437</v>
      </c>
      <c r="F1847" s="3">
        <v>43784</v>
      </c>
      <c r="G1847">
        <v>202005</v>
      </c>
      <c r="H1847" t="s">
        <v>75</v>
      </c>
      <c r="I1847" t="s">
        <v>76</v>
      </c>
      <c r="J1847" t="s">
        <v>77</v>
      </c>
      <c r="K1847" t="s">
        <v>78</v>
      </c>
      <c r="L1847" t="s">
        <v>133</v>
      </c>
      <c r="M1847" t="s">
        <v>134</v>
      </c>
      <c r="N1847" t="s">
        <v>1847</v>
      </c>
      <c r="O1847" t="s">
        <v>82</v>
      </c>
      <c r="P1847" t="str">
        <f>"2170717389                    "</f>
        <v xml:space="preserve">2170717389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8.58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 s="4">
        <v>50.45</v>
      </c>
      <c r="BM1847" s="4">
        <v>7.57</v>
      </c>
      <c r="BN1847" s="4">
        <v>58.02</v>
      </c>
      <c r="BO1847" s="4">
        <v>58.02</v>
      </c>
      <c r="BQ1847" t="s">
        <v>246</v>
      </c>
      <c r="BR1847" t="s">
        <v>84</v>
      </c>
      <c r="BS1847" s="3">
        <v>43787</v>
      </c>
      <c r="BT1847" s="5">
        <v>0.40972222222222227</v>
      </c>
      <c r="BU1847" t="s">
        <v>2205</v>
      </c>
      <c r="BV1847" t="s">
        <v>86</v>
      </c>
      <c r="BY1847">
        <v>1200</v>
      </c>
      <c r="CA1847" t="s">
        <v>698</v>
      </c>
      <c r="CC1847" t="s">
        <v>134</v>
      </c>
      <c r="CD1847">
        <v>5201</v>
      </c>
      <c r="CE1847" t="s">
        <v>147</v>
      </c>
      <c r="CF1847" s="3">
        <v>43788</v>
      </c>
      <c r="CI1847">
        <v>1</v>
      </c>
      <c r="CJ1847">
        <v>1</v>
      </c>
      <c r="CK1847">
        <v>21</v>
      </c>
      <c r="CL1847" t="s">
        <v>89</v>
      </c>
    </row>
    <row r="1848" spans="1:90">
      <c r="A1848" t="s">
        <v>72</v>
      </c>
      <c r="B1848" t="s">
        <v>73</v>
      </c>
      <c r="C1848" t="s">
        <v>74</v>
      </c>
      <c r="E1848" t="str">
        <f>"FES1162723402"</f>
        <v>FES1162723402</v>
      </c>
      <c r="F1848" s="3">
        <v>43784</v>
      </c>
      <c r="G1848">
        <v>202005</v>
      </c>
      <c r="H1848" t="s">
        <v>75</v>
      </c>
      <c r="I1848" t="s">
        <v>76</v>
      </c>
      <c r="J1848" t="s">
        <v>77</v>
      </c>
      <c r="K1848" t="s">
        <v>78</v>
      </c>
      <c r="L1848" t="s">
        <v>133</v>
      </c>
      <c r="M1848" t="s">
        <v>134</v>
      </c>
      <c r="N1848" t="s">
        <v>1915</v>
      </c>
      <c r="O1848" t="s">
        <v>82</v>
      </c>
      <c r="P1848" t="str">
        <f>"2170717348                    "</f>
        <v xml:space="preserve">2170717348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8.58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 s="4">
        <v>50.45</v>
      </c>
      <c r="BM1848" s="4">
        <v>7.57</v>
      </c>
      <c r="BN1848" s="4">
        <v>58.02</v>
      </c>
      <c r="BO1848" s="4">
        <v>58.02</v>
      </c>
      <c r="BR1848" t="s">
        <v>84</v>
      </c>
      <c r="BS1848" s="3">
        <v>43787</v>
      </c>
      <c r="BT1848" s="5">
        <v>0.43124999999999997</v>
      </c>
      <c r="BU1848" t="s">
        <v>2206</v>
      </c>
      <c r="BV1848" t="s">
        <v>86</v>
      </c>
      <c r="BY1848">
        <v>1200</v>
      </c>
      <c r="CA1848" t="s">
        <v>912</v>
      </c>
      <c r="CC1848" t="s">
        <v>134</v>
      </c>
      <c r="CD1848">
        <v>5201</v>
      </c>
      <c r="CE1848" t="s">
        <v>147</v>
      </c>
      <c r="CF1848" s="3">
        <v>43788</v>
      </c>
      <c r="CI1848">
        <v>1</v>
      </c>
      <c r="CJ1848">
        <v>1</v>
      </c>
      <c r="CK1848">
        <v>21</v>
      </c>
      <c r="CL1848" t="s">
        <v>89</v>
      </c>
    </row>
    <row r="1849" spans="1:90">
      <c r="A1849" t="s">
        <v>72</v>
      </c>
      <c r="B1849" t="s">
        <v>73</v>
      </c>
      <c r="C1849" t="s">
        <v>74</v>
      </c>
      <c r="E1849" t="str">
        <f>"FES1162723388"</f>
        <v>FES1162723388</v>
      </c>
      <c r="F1849" s="3">
        <v>43784</v>
      </c>
      <c r="G1849">
        <v>202005</v>
      </c>
      <c r="H1849" t="s">
        <v>75</v>
      </c>
      <c r="I1849" t="s">
        <v>76</v>
      </c>
      <c r="J1849" t="s">
        <v>77</v>
      </c>
      <c r="K1849" t="s">
        <v>78</v>
      </c>
      <c r="L1849" t="s">
        <v>106</v>
      </c>
      <c r="M1849" t="s">
        <v>107</v>
      </c>
      <c r="N1849" t="s">
        <v>150</v>
      </c>
      <c r="O1849" t="s">
        <v>82</v>
      </c>
      <c r="P1849" t="str">
        <f>"2170717330                    "</f>
        <v xml:space="preserve">2170717330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8.58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 s="4">
        <v>50.45</v>
      </c>
      <c r="BM1849" s="4">
        <v>7.57</v>
      </c>
      <c r="BN1849" s="4">
        <v>58.02</v>
      </c>
      <c r="BO1849" s="4">
        <v>58.02</v>
      </c>
      <c r="BQ1849" t="s">
        <v>109</v>
      </c>
      <c r="BR1849" t="s">
        <v>84</v>
      </c>
      <c r="BS1849" s="3">
        <v>43787</v>
      </c>
      <c r="BT1849" s="5">
        <v>0.4152777777777778</v>
      </c>
      <c r="BU1849" t="s">
        <v>2207</v>
      </c>
      <c r="BV1849" t="s">
        <v>86</v>
      </c>
      <c r="BY1849">
        <v>1200</v>
      </c>
      <c r="CA1849" t="s">
        <v>111</v>
      </c>
      <c r="CC1849" t="s">
        <v>107</v>
      </c>
      <c r="CD1849">
        <v>6001</v>
      </c>
      <c r="CE1849" t="s">
        <v>147</v>
      </c>
      <c r="CF1849" s="3">
        <v>43788</v>
      </c>
      <c r="CI1849">
        <v>1</v>
      </c>
      <c r="CJ1849">
        <v>1</v>
      </c>
      <c r="CK1849">
        <v>21</v>
      </c>
      <c r="CL1849" t="s">
        <v>89</v>
      </c>
    </row>
    <row r="1850" spans="1:90">
      <c r="A1850" t="s">
        <v>72</v>
      </c>
      <c r="B1850" t="s">
        <v>73</v>
      </c>
      <c r="C1850" t="s">
        <v>74</v>
      </c>
      <c r="E1850" t="str">
        <f>"FES1162723399"</f>
        <v>FES1162723399</v>
      </c>
      <c r="F1850" s="3">
        <v>43784</v>
      </c>
      <c r="G1850">
        <v>202005</v>
      </c>
      <c r="H1850" t="s">
        <v>75</v>
      </c>
      <c r="I1850" t="s">
        <v>76</v>
      </c>
      <c r="J1850" t="s">
        <v>77</v>
      </c>
      <c r="K1850" t="s">
        <v>78</v>
      </c>
      <c r="L1850" t="s">
        <v>133</v>
      </c>
      <c r="M1850" t="s">
        <v>134</v>
      </c>
      <c r="N1850" t="s">
        <v>135</v>
      </c>
      <c r="O1850" t="s">
        <v>82</v>
      </c>
      <c r="P1850" t="str">
        <f>"21707187348                   "</f>
        <v xml:space="preserve">21707187348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40.75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6.9</v>
      </c>
      <c r="BJ1850">
        <v>9.3000000000000007</v>
      </c>
      <c r="BK1850">
        <v>9.5</v>
      </c>
      <c r="BL1850" s="4">
        <v>239.52</v>
      </c>
      <c r="BM1850" s="4">
        <v>35.93</v>
      </c>
      <c r="BN1850" s="4">
        <v>275.45</v>
      </c>
      <c r="BO1850" s="4">
        <v>275.45</v>
      </c>
      <c r="BQ1850" t="s">
        <v>109</v>
      </c>
      <c r="BR1850" t="s">
        <v>84</v>
      </c>
      <c r="BS1850" s="3">
        <v>43787</v>
      </c>
      <c r="BT1850" s="5">
        <v>0.3430555555555555</v>
      </c>
      <c r="BU1850" t="s">
        <v>2168</v>
      </c>
      <c r="BV1850" t="s">
        <v>86</v>
      </c>
      <c r="BY1850">
        <v>46531.13</v>
      </c>
      <c r="CA1850" t="s">
        <v>912</v>
      </c>
      <c r="CC1850" t="s">
        <v>134</v>
      </c>
      <c r="CD1850">
        <v>5201</v>
      </c>
      <c r="CE1850" t="s">
        <v>1598</v>
      </c>
      <c r="CF1850" s="3">
        <v>43788</v>
      </c>
      <c r="CI1850">
        <v>1</v>
      </c>
      <c r="CJ1850">
        <v>1</v>
      </c>
      <c r="CK1850">
        <v>21</v>
      </c>
      <c r="CL1850" t="s">
        <v>89</v>
      </c>
    </row>
    <row r="1851" spans="1:90">
      <c r="A1851" t="s">
        <v>72</v>
      </c>
      <c r="B1851" t="s">
        <v>73</v>
      </c>
      <c r="C1851" t="s">
        <v>74</v>
      </c>
      <c r="E1851" t="str">
        <f>"FES1162723410"</f>
        <v>FES1162723410</v>
      </c>
      <c r="F1851" s="3">
        <v>43784</v>
      </c>
      <c r="G1851">
        <v>202005</v>
      </c>
      <c r="H1851" t="s">
        <v>75</v>
      </c>
      <c r="I1851" t="s">
        <v>76</v>
      </c>
      <c r="J1851" t="s">
        <v>77</v>
      </c>
      <c r="K1851" t="s">
        <v>78</v>
      </c>
      <c r="L1851" t="s">
        <v>95</v>
      </c>
      <c r="M1851" t="s">
        <v>96</v>
      </c>
      <c r="N1851" t="s">
        <v>330</v>
      </c>
      <c r="O1851" t="s">
        <v>82</v>
      </c>
      <c r="P1851" t="str">
        <f>"21707173562                   "</f>
        <v xml:space="preserve">21707173562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6.71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 s="4">
        <v>39.42</v>
      </c>
      <c r="BM1851" s="4">
        <v>5.91</v>
      </c>
      <c r="BN1851" s="4">
        <v>45.33</v>
      </c>
      <c r="BO1851" s="4">
        <v>45.33</v>
      </c>
      <c r="BQ1851" t="s">
        <v>109</v>
      </c>
      <c r="BR1851" t="s">
        <v>84</v>
      </c>
      <c r="BS1851" s="3">
        <v>43787</v>
      </c>
      <c r="BT1851" s="5">
        <v>0.34513888888888888</v>
      </c>
      <c r="BU1851" t="s">
        <v>1954</v>
      </c>
      <c r="BV1851" t="s">
        <v>86</v>
      </c>
      <c r="BY1851">
        <v>1200</v>
      </c>
      <c r="CC1851" t="s">
        <v>96</v>
      </c>
      <c r="CD1851">
        <v>1451</v>
      </c>
      <c r="CE1851" t="s">
        <v>147</v>
      </c>
      <c r="CF1851" s="3">
        <v>43789</v>
      </c>
      <c r="CI1851">
        <v>1</v>
      </c>
      <c r="CJ1851">
        <v>1</v>
      </c>
      <c r="CK1851">
        <v>22</v>
      </c>
      <c r="CL1851" t="s">
        <v>89</v>
      </c>
    </row>
    <row r="1852" spans="1:90">
      <c r="A1852" t="s">
        <v>72</v>
      </c>
      <c r="B1852" t="s">
        <v>73</v>
      </c>
      <c r="C1852" t="s">
        <v>74</v>
      </c>
      <c r="E1852" t="str">
        <f>"FES1162723361"</f>
        <v>FES1162723361</v>
      </c>
      <c r="F1852" s="3">
        <v>43784</v>
      </c>
      <c r="G1852">
        <v>202005</v>
      </c>
      <c r="H1852" t="s">
        <v>75</v>
      </c>
      <c r="I1852" t="s">
        <v>76</v>
      </c>
      <c r="J1852" t="s">
        <v>77</v>
      </c>
      <c r="K1852" t="s">
        <v>78</v>
      </c>
      <c r="L1852" t="s">
        <v>251</v>
      </c>
      <c r="M1852" t="s">
        <v>252</v>
      </c>
      <c r="N1852" t="s">
        <v>1070</v>
      </c>
      <c r="O1852" t="s">
        <v>82</v>
      </c>
      <c r="P1852" t="str">
        <f>"2170717300                    "</f>
        <v xml:space="preserve">2170717300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19.3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4.0999999999999996</v>
      </c>
      <c r="BJ1852">
        <v>3.3</v>
      </c>
      <c r="BK1852">
        <v>4.5</v>
      </c>
      <c r="BL1852" s="4">
        <v>113.47</v>
      </c>
      <c r="BM1852" s="4">
        <v>17.02</v>
      </c>
      <c r="BN1852" s="4">
        <v>130.49</v>
      </c>
      <c r="BO1852" s="4">
        <v>130.49</v>
      </c>
      <c r="BQ1852" t="s">
        <v>142</v>
      </c>
      <c r="BR1852" t="s">
        <v>84</v>
      </c>
      <c r="BS1852" s="3">
        <v>43787</v>
      </c>
      <c r="BT1852" s="5">
        <v>0.42986111111111108</v>
      </c>
      <c r="BU1852" t="s">
        <v>2208</v>
      </c>
      <c r="BV1852" t="s">
        <v>86</v>
      </c>
      <c r="BY1852">
        <v>16570.88</v>
      </c>
      <c r="CA1852" t="s">
        <v>255</v>
      </c>
      <c r="CC1852" t="s">
        <v>252</v>
      </c>
      <c r="CD1852">
        <v>4133</v>
      </c>
      <c r="CE1852" t="s">
        <v>88</v>
      </c>
      <c r="CF1852" s="3">
        <v>43788</v>
      </c>
      <c r="CI1852">
        <v>1</v>
      </c>
      <c r="CJ1852">
        <v>1</v>
      </c>
      <c r="CK1852">
        <v>21</v>
      </c>
      <c r="CL1852" t="s">
        <v>89</v>
      </c>
    </row>
    <row r="1853" spans="1:90">
      <c r="A1853" t="s">
        <v>72</v>
      </c>
      <c r="B1853" t="s">
        <v>73</v>
      </c>
      <c r="C1853" t="s">
        <v>74</v>
      </c>
      <c r="E1853" t="str">
        <f>"FES1162723434"</f>
        <v>FES1162723434</v>
      </c>
      <c r="F1853" s="3">
        <v>43784</v>
      </c>
      <c r="G1853">
        <v>202005</v>
      </c>
      <c r="H1853" t="s">
        <v>75</v>
      </c>
      <c r="I1853" t="s">
        <v>76</v>
      </c>
      <c r="J1853" t="s">
        <v>77</v>
      </c>
      <c r="K1853" t="s">
        <v>78</v>
      </c>
      <c r="L1853" t="s">
        <v>75</v>
      </c>
      <c r="M1853" t="s">
        <v>76</v>
      </c>
      <c r="N1853" t="s">
        <v>391</v>
      </c>
      <c r="O1853" t="s">
        <v>82</v>
      </c>
      <c r="P1853" t="str">
        <f>"2170717384                    "</f>
        <v xml:space="preserve">2170717384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6.71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 s="4">
        <v>39.42</v>
      </c>
      <c r="BM1853" s="4">
        <v>5.91</v>
      </c>
      <c r="BN1853" s="4">
        <v>45.33</v>
      </c>
      <c r="BO1853" s="4">
        <v>45.33</v>
      </c>
      <c r="BQ1853" t="s">
        <v>109</v>
      </c>
      <c r="BR1853" t="s">
        <v>84</v>
      </c>
      <c r="BS1853" s="3">
        <v>43787</v>
      </c>
      <c r="BT1853" s="5">
        <v>0.30555555555555552</v>
      </c>
      <c r="BU1853" t="s">
        <v>2209</v>
      </c>
      <c r="BV1853" t="s">
        <v>86</v>
      </c>
      <c r="BY1853">
        <v>1200</v>
      </c>
      <c r="CA1853" t="s">
        <v>368</v>
      </c>
      <c r="CC1853" t="s">
        <v>76</v>
      </c>
      <c r="CD1853">
        <v>1600</v>
      </c>
      <c r="CE1853" t="s">
        <v>147</v>
      </c>
      <c r="CF1853" s="3">
        <v>43788</v>
      </c>
      <c r="CI1853">
        <v>1</v>
      </c>
      <c r="CJ1853">
        <v>1</v>
      </c>
      <c r="CK1853">
        <v>22</v>
      </c>
      <c r="CL1853" t="s">
        <v>89</v>
      </c>
    </row>
    <row r="1854" spans="1:90">
      <c r="A1854" t="s">
        <v>72</v>
      </c>
      <c r="B1854" t="s">
        <v>73</v>
      </c>
      <c r="C1854" t="s">
        <v>74</v>
      </c>
      <c r="E1854" t="str">
        <f>"FES1162723309"</f>
        <v>FES1162723309</v>
      </c>
      <c r="F1854" s="3">
        <v>43784</v>
      </c>
      <c r="G1854">
        <v>202005</v>
      </c>
      <c r="H1854" t="s">
        <v>75</v>
      </c>
      <c r="I1854" t="s">
        <v>76</v>
      </c>
      <c r="J1854" t="s">
        <v>77</v>
      </c>
      <c r="K1854" t="s">
        <v>78</v>
      </c>
      <c r="L1854" t="s">
        <v>546</v>
      </c>
      <c r="M1854" t="s">
        <v>547</v>
      </c>
      <c r="N1854" t="s">
        <v>548</v>
      </c>
      <c r="O1854" t="s">
        <v>82</v>
      </c>
      <c r="P1854" t="str">
        <f>"2170715281                    "</f>
        <v xml:space="preserve">2170715281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6.71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 s="4">
        <v>39.42</v>
      </c>
      <c r="BM1854" s="4">
        <v>5.91</v>
      </c>
      <c r="BN1854" s="4">
        <v>45.33</v>
      </c>
      <c r="BO1854" s="4">
        <v>45.33</v>
      </c>
      <c r="BQ1854" t="s">
        <v>109</v>
      </c>
      <c r="BR1854" t="s">
        <v>84</v>
      </c>
      <c r="BS1854" s="3">
        <v>43787</v>
      </c>
      <c r="BT1854" s="5">
        <v>0.33333333333333331</v>
      </c>
      <c r="BU1854" t="s">
        <v>1619</v>
      </c>
      <c r="BV1854" t="s">
        <v>86</v>
      </c>
      <c r="BY1854">
        <v>1200</v>
      </c>
      <c r="CC1854" t="s">
        <v>547</v>
      </c>
      <c r="CD1854">
        <v>1724</v>
      </c>
      <c r="CE1854" t="s">
        <v>147</v>
      </c>
      <c r="CF1854" s="3">
        <v>43788</v>
      </c>
      <c r="CI1854">
        <v>1</v>
      </c>
      <c r="CJ1854">
        <v>1</v>
      </c>
      <c r="CK1854">
        <v>22</v>
      </c>
      <c r="CL1854" t="s">
        <v>89</v>
      </c>
    </row>
    <row r="1855" spans="1:90">
      <c r="A1855" t="s">
        <v>72</v>
      </c>
      <c r="B1855" t="s">
        <v>73</v>
      </c>
      <c r="C1855" t="s">
        <v>74</v>
      </c>
      <c r="E1855" t="str">
        <f>"FES1162723302"</f>
        <v>FES1162723302</v>
      </c>
      <c r="F1855" s="3">
        <v>43784</v>
      </c>
      <c r="G1855">
        <v>202005</v>
      </c>
      <c r="H1855" t="s">
        <v>75</v>
      </c>
      <c r="I1855" t="s">
        <v>76</v>
      </c>
      <c r="J1855" t="s">
        <v>77</v>
      </c>
      <c r="K1855" t="s">
        <v>78</v>
      </c>
      <c r="L1855" t="s">
        <v>112</v>
      </c>
      <c r="M1855" t="s">
        <v>113</v>
      </c>
      <c r="N1855" t="s">
        <v>2210</v>
      </c>
      <c r="O1855" t="s">
        <v>82</v>
      </c>
      <c r="P1855" t="str">
        <f>"2170715193                    "</f>
        <v xml:space="preserve">2170715193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8.58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 s="4">
        <v>50.45</v>
      </c>
      <c r="BM1855" s="4">
        <v>7.57</v>
      </c>
      <c r="BN1855" s="4">
        <v>58.02</v>
      </c>
      <c r="BO1855" s="4">
        <v>58.02</v>
      </c>
      <c r="BR1855" t="s">
        <v>84</v>
      </c>
      <c r="BS1855" s="3">
        <v>43789</v>
      </c>
      <c r="BT1855" s="5">
        <v>0.45694444444444443</v>
      </c>
      <c r="BU1855" t="s">
        <v>2211</v>
      </c>
      <c r="BV1855" t="s">
        <v>89</v>
      </c>
      <c r="BW1855" t="s">
        <v>144</v>
      </c>
      <c r="BX1855" t="s">
        <v>145</v>
      </c>
      <c r="BY1855">
        <v>1200</v>
      </c>
      <c r="CA1855" t="s">
        <v>2212</v>
      </c>
      <c r="CC1855" t="s">
        <v>113</v>
      </c>
      <c r="CD1855">
        <v>4001</v>
      </c>
      <c r="CE1855" t="s">
        <v>147</v>
      </c>
      <c r="CF1855" s="3">
        <v>43790</v>
      </c>
      <c r="CI1855">
        <v>1</v>
      </c>
      <c r="CJ1855">
        <v>3</v>
      </c>
      <c r="CK1855">
        <v>21</v>
      </c>
      <c r="CL1855" t="s">
        <v>89</v>
      </c>
    </row>
    <row r="1856" spans="1:90">
      <c r="A1856" t="s">
        <v>72</v>
      </c>
      <c r="B1856" t="s">
        <v>73</v>
      </c>
      <c r="C1856" t="s">
        <v>74</v>
      </c>
      <c r="E1856" t="str">
        <f>"FES1162723416"</f>
        <v>FES1162723416</v>
      </c>
      <c r="F1856" s="3">
        <v>43784</v>
      </c>
      <c r="G1856">
        <v>202005</v>
      </c>
      <c r="H1856" t="s">
        <v>75</v>
      </c>
      <c r="I1856" t="s">
        <v>76</v>
      </c>
      <c r="J1856" t="s">
        <v>77</v>
      </c>
      <c r="K1856" t="s">
        <v>78</v>
      </c>
      <c r="L1856" t="s">
        <v>172</v>
      </c>
      <c r="M1856" t="s">
        <v>173</v>
      </c>
      <c r="N1856" t="s">
        <v>1608</v>
      </c>
      <c r="O1856" t="s">
        <v>82</v>
      </c>
      <c r="P1856" t="str">
        <f>"2170716821                    "</f>
        <v xml:space="preserve">2170716821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12.07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 s="4">
        <v>70.95</v>
      </c>
      <c r="BM1856" s="4">
        <v>10.64</v>
      </c>
      <c r="BN1856" s="4">
        <v>81.59</v>
      </c>
      <c r="BO1856" s="4">
        <v>81.59</v>
      </c>
      <c r="BQ1856" t="s">
        <v>109</v>
      </c>
      <c r="BR1856" t="s">
        <v>84</v>
      </c>
      <c r="BS1856" s="3">
        <v>43787</v>
      </c>
      <c r="BT1856" s="5">
        <v>0.33333333333333331</v>
      </c>
      <c r="BU1856" t="s">
        <v>2213</v>
      </c>
      <c r="BV1856" t="s">
        <v>86</v>
      </c>
      <c r="BY1856">
        <v>1200</v>
      </c>
      <c r="CC1856" t="s">
        <v>173</v>
      </c>
      <c r="CD1856">
        <v>1739</v>
      </c>
      <c r="CE1856" t="s">
        <v>147</v>
      </c>
      <c r="CF1856" s="3">
        <v>43788</v>
      </c>
      <c r="CI1856">
        <v>1</v>
      </c>
      <c r="CJ1856">
        <v>1</v>
      </c>
      <c r="CK1856">
        <v>24</v>
      </c>
      <c r="CL1856" t="s">
        <v>89</v>
      </c>
    </row>
    <row r="1857" spans="1:90">
      <c r="A1857" t="s">
        <v>72</v>
      </c>
      <c r="B1857" t="s">
        <v>73</v>
      </c>
      <c r="C1857" t="s">
        <v>74</v>
      </c>
      <c r="E1857" t="str">
        <f>"FES1162723365"</f>
        <v>FES1162723365</v>
      </c>
      <c r="F1857" s="3">
        <v>43784</v>
      </c>
      <c r="G1857">
        <v>202005</v>
      </c>
      <c r="H1857" t="s">
        <v>75</v>
      </c>
      <c r="I1857" t="s">
        <v>76</v>
      </c>
      <c r="J1857" t="s">
        <v>77</v>
      </c>
      <c r="K1857" t="s">
        <v>78</v>
      </c>
      <c r="L1857" t="s">
        <v>112</v>
      </c>
      <c r="M1857" t="s">
        <v>113</v>
      </c>
      <c r="N1857" t="s">
        <v>326</v>
      </c>
      <c r="O1857" t="s">
        <v>82</v>
      </c>
      <c r="P1857" t="str">
        <f>"2170717306                    "</f>
        <v xml:space="preserve">2170717306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17.16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3.9</v>
      </c>
      <c r="BJ1857">
        <v>3</v>
      </c>
      <c r="BK1857">
        <v>4</v>
      </c>
      <c r="BL1857" s="4">
        <v>100.87</v>
      </c>
      <c r="BM1857" s="4">
        <v>15.13</v>
      </c>
      <c r="BN1857" s="4">
        <v>116</v>
      </c>
      <c r="BO1857" s="4">
        <v>116</v>
      </c>
      <c r="BQ1857" t="s">
        <v>337</v>
      </c>
      <c r="BR1857" t="s">
        <v>84</v>
      </c>
      <c r="BS1857" s="3">
        <v>43787</v>
      </c>
      <c r="BT1857" s="5">
        <v>0.375</v>
      </c>
      <c r="BU1857" t="s">
        <v>1425</v>
      </c>
      <c r="BV1857" t="s">
        <v>86</v>
      </c>
      <c r="BY1857">
        <v>14831.86</v>
      </c>
      <c r="CA1857" t="s">
        <v>428</v>
      </c>
      <c r="CC1857" t="s">
        <v>113</v>
      </c>
      <c r="CD1857">
        <v>4052</v>
      </c>
      <c r="CE1857" t="s">
        <v>88</v>
      </c>
      <c r="CF1857" s="3">
        <v>43788</v>
      </c>
      <c r="CI1857">
        <v>1</v>
      </c>
      <c r="CJ1857">
        <v>1</v>
      </c>
      <c r="CK1857">
        <v>21</v>
      </c>
      <c r="CL1857" t="s">
        <v>89</v>
      </c>
    </row>
    <row r="1858" spans="1:90">
      <c r="A1858" t="s">
        <v>72</v>
      </c>
      <c r="B1858" t="s">
        <v>73</v>
      </c>
      <c r="C1858" t="s">
        <v>74</v>
      </c>
      <c r="E1858" t="str">
        <f>"FES1162723312"</f>
        <v>FES1162723312</v>
      </c>
      <c r="F1858" s="3">
        <v>43784</v>
      </c>
      <c r="G1858">
        <v>202005</v>
      </c>
      <c r="H1858" t="s">
        <v>75</v>
      </c>
      <c r="I1858" t="s">
        <v>76</v>
      </c>
      <c r="J1858" t="s">
        <v>77</v>
      </c>
      <c r="K1858" t="s">
        <v>78</v>
      </c>
      <c r="L1858" t="s">
        <v>184</v>
      </c>
      <c r="M1858" t="s">
        <v>185</v>
      </c>
      <c r="N1858" t="s">
        <v>2214</v>
      </c>
      <c r="O1858" t="s">
        <v>82</v>
      </c>
      <c r="P1858" t="str">
        <f>"2170715293                    "</f>
        <v xml:space="preserve">2170715293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6.71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1.6</v>
      </c>
      <c r="BJ1858">
        <v>1.3</v>
      </c>
      <c r="BK1858">
        <v>2</v>
      </c>
      <c r="BL1858" s="4">
        <v>39.42</v>
      </c>
      <c r="BM1858" s="4">
        <v>5.91</v>
      </c>
      <c r="BN1858" s="4">
        <v>45.33</v>
      </c>
      <c r="BO1858" s="4">
        <v>45.33</v>
      </c>
      <c r="BR1858" t="s">
        <v>84</v>
      </c>
      <c r="BS1858" s="3">
        <v>43787</v>
      </c>
      <c r="BT1858" s="5">
        <v>0.38611111111111113</v>
      </c>
      <c r="BU1858" t="s">
        <v>2215</v>
      </c>
      <c r="BV1858" t="s">
        <v>86</v>
      </c>
      <c r="BY1858">
        <v>6692</v>
      </c>
      <c r="CA1858" t="s">
        <v>1336</v>
      </c>
      <c r="CC1858" t="s">
        <v>185</v>
      </c>
      <c r="CD1858">
        <v>1500</v>
      </c>
      <c r="CE1858" t="s">
        <v>88</v>
      </c>
      <c r="CF1858" s="3">
        <v>43788</v>
      </c>
      <c r="CI1858">
        <v>1</v>
      </c>
      <c r="CJ1858">
        <v>1</v>
      </c>
      <c r="CK1858">
        <v>22</v>
      </c>
      <c r="CL1858" t="s">
        <v>89</v>
      </c>
    </row>
    <row r="1859" spans="1:90">
      <c r="A1859" t="s">
        <v>72</v>
      </c>
      <c r="B1859" t="s">
        <v>73</v>
      </c>
      <c r="C1859" t="s">
        <v>74</v>
      </c>
      <c r="E1859" t="str">
        <f>"FES1162723333"</f>
        <v>FES1162723333</v>
      </c>
      <c r="F1859" s="3">
        <v>43784</v>
      </c>
      <c r="G1859">
        <v>202005</v>
      </c>
      <c r="H1859" t="s">
        <v>75</v>
      </c>
      <c r="I1859" t="s">
        <v>76</v>
      </c>
      <c r="J1859" t="s">
        <v>77</v>
      </c>
      <c r="K1859" t="s">
        <v>78</v>
      </c>
      <c r="L1859" t="s">
        <v>339</v>
      </c>
      <c r="M1859" t="s">
        <v>340</v>
      </c>
      <c r="N1859" t="s">
        <v>1787</v>
      </c>
      <c r="O1859" t="s">
        <v>82</v>
      </c>
      <c r="P1859" t="str">
        <f>"2170715478                    "</f>
        <v xml:space="preserve">2170715478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8.58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 s="4">
        <v>50.45</v>
      </c>
      <c r="BM1859" s="4">
        <v>7.57</v>
      </c>
      <c r="BN1859" s="4">
        <v>58.02</v>
      </c>
      <c r="BO1859" s="4">
        <v>58.02</v>
      </c>
      <c r="BQ1859" t="s">
        <v>109</v>
      </c>
      <c r="BR1859" t="s">
        <v>84</v>
      </c>
      <c r="BS1859" s="3">
        <v>43787</v>
      </c>
      <c r="BT1859" s="5">
        <v>0.50694444444444442</v>
      </c>
      <c r="BU1859" t="s">
        <v>2216</v>
      </c>
      <c r="BV1859" t="s">
        <v>89</v>
      </c>
      <c r="BY1859">
        <v>1200</v>
      </c>
      <c r="CC1859" t="s">
        <v>340</v>
      </c>
      <c r="CD1859">
        <v>157</v>
      </c>
      <c r="CE1859" t="s">
        <v>147</v>
      </c>
      <c r="CF1859" s="3">
        <v>43788</v>
      </c>
      <c r="CI1859">
        <v>1</v>
      </c>
      <c r="CJ1859">
        <v>1</v>
      </c>
      <c r="CK1859">
        <v>21</v>
      </c>
      <c r="CL1859" t="s">
        <v>89</v>
      </c>
    </row>
    <row r="1860" spans="1:90">
      <c r="A1860" t="s">
        <v>72</v>
      </c>
      <c r="B1860" t="s">
        <v>73</v>
      </c>
      <c r="C1860" t="s">
        <v>74</v>
      </c>
      <c r="E1860" t="str">
        <f>"FES1162723367"</f>
        <v>FES1162723367</v>
      </c>
      <c r="F1860" s="3">
        <v>43784</v>
      </c>
      <c r="G1860">
        <v>202005</v>
      </c>
      <c r="H1860" t="s">
        <v>75</v>
      </c>
      <c r="I1860" t="s">
        <v>76</v>
      </c>
      <c r="J1860" t="s">
        <v>77</v>
      </c>
      <c r="K1860" t="s">
        <v>78</v>
      </c>
      <c r="L1860" t="s">
        <v>349</v>
      </c>
      <c r="M1860" t="s">
        <v>350</v>
      </c>
      <c r="N1860" t="s">
        <v>351</v>
      </c>
      <c r="O1860" t="s">
        <v>82</v>
      </c>
      <c r="P1860" t="str">
        <f>"2170717311                    "</f>
        <v xml:space="preserve">2170717311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8.58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 s="4">
        <v>50.45</v>
      </c>
      <c r="BM1860" s="4">
        <v>7.57</v>
      </c>
      <c r="BN1860" s="4">
        <v>58.02</v>
      </c>
      <c r="BO1860" s="4">
        <v>58.02</v>
      </c>
      <c r="BQ1860" t="s">
        <v>109</v>
      </c>
      <c r="BR1860" t="s">
        <v>84</v>
      </c>
      <c r="BS1860" s="3">
        <v>43787</v>
      </c>
      <c r="BT1860" s="5">
        <v>0.41597222222222219</v>
      </c>
      <c r="BU1860" t="s">
        <v>1347</v>
      </c>
      <c r="BV1860" t="s">
        <v>86</v>
      </c>
      <c r="BY1860">
        <v>1200</v>
      </c>
      <c r="CC1860" t="s">
        <v>350</v>
      </c>
      <c r="CD1860">
        <v>6536</v>
      </c>
      <c r="CE1860" t="s">
        <v>147</v>
      </c>
      <c r="CF1860" s="3">
        <v>43789</v>
      </c>
      <c r="CI1860">
        <v>1</v>
      </c>
      <c r="CJ1860">
        <v>1</v>
      </c>
      <c r="CK1860">
        <v>21</v>
      </c>
      <c r="CL1860" t="s">
        <v>89</v>
      </c>
    </row>
    <row r="1861" spans="1:90">
      <c r="A1861" t="s">
        <v>72</v>
      </c>
      <c r="B1861" t="s">
        <v>73</v>
      </c>
      <c r="C1861" t="s">
        <v>74</v>
      </c>
      <c r="E1861" t="str">
        <f>"FES1162723315"</f>
        <v>FES1162723315</v>
      </c>
      <c r="F1861" s="3">
        <v>43784</v>
      </c>
      <c r="G1861">
        <v>202005</v>
      </c>
      <c r="H1861" t="s">
        <v>75</v>
      </c>
      <c r="I1861" t="s">
        <v>76</v>
      </c>
      <c r="J1861" t="s">
        <v>77</v>
      </c>
      <c r="K1861" t="s">
        <v>78</v>
      </c>
      <c r="L1861" t="s">
        <v>90</v>
      </c>
      <c r="M1861" t="s">
        <v>91</v>
      </c>
      <c r="N1861" t="s">
        <v>401</v>
      </c>
      <c r="O1861" t="s">
        <v>82</v>
      </c>
      <c r="P1861" t="str">
        <f>"2170715318                    "</f>
        <v xml:space="preserve">2170715318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8.58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0.8</v>
      </c>
      <c r="BJ1861">
        <v>1.3</v>
      </c>
      <c r="BK1861">
        <v>1.5</v>
      </c>
      <c r="BL1861" s="4">
        <v>50.45</v>
      </c>
      <c r="BM1861" s="4">
        <v>7.57</v>
      </c>
      <c r="BN1861" s="4">
        <v>58.02</v>
      </c>
      <c r="BO1861" s="4">
        <v>58.02</v>
      </c>
      <c r="BQ1861" t="s">
        <v>109</v>
      </c>
      <c r="BR1861" t="s">
        <v>84</v>
      </c>
      <c r="BS1861" s="3">
        <v>43787</v>
      </c>
      <c r="BT1861" s="5">
        <v>0.32083333333333336</v>
      </c>
      <c r="BU1861" t="s">
        <v>1941</v>
      </c>
      <c r="BV1861" t="s">
        <v>86</v>
      </c>
      <c r="BY1861">
        <v>6396.22</v>
      </c>
      <c r="CA1861" t="s">
        <v>1942</v>
      </c>
      <c r="CC1861" t="s">
        <v>91</v>
      </c>
      <c r="CD1861">
        <v>7441</v>
      </c>
      <c r="CE1861" t="s">
        <v>88</v>
      </c>
      <c r="CF1861" s="3">
        <v>43788</v>
      </c>
      <c r="CI1861">
        <v>1</v>
      </c>
      <c r="CJ1861">
        <v>1</v>
      </c>
      <c r="CK1861">
        <v>21</v>
      </c>
      <c r="CL1861" t="s">
        <v>89</v>
      </c>
    </row>
    <row r="1862" spans="1:90">
      <c r="A1862" t="s">
        <v>72</v>
      </c>
      <c r="B1862" t="s">
        <v>73</v>
      </c>
      <c r="C1862" t="s">
        <v>74</v>
      </c>
      <c r="E1862" t="str">
        <f>"FES1162723342"</f>
        <v>FES1162723342</v>
      </c>
      <c r="F1862" s="3">
        <v>43784</v>
      </c>
      <c r="G1862">
        <v>202005</v>
      </c>
      <c r="H1862" t="s">
        <v>75</v>
      </c>
      <c r="I1862" t="s">
        <v>76</v>
      </c>
      <c r="J1862" t="s">
        <v>77</v>
      </c>
      <c r="K1862" t="s">
        <v>78</v>
      </c>
      <c r="L1862" t="s">
        <v>296</v>
      </c>
      <c r="M1862" t="s">
        <v>297</v>
      </c>
      <c r="N1862" t="s">
        <v>298</v>
      </c>
      <c r="O1862" t="s">
        <v>82</v>
      </c>
      <c r="P1862" t="str">
        <f>"2170705906                    "</f>
        <v xml:space="preserve">2170705906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50.43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6.4</v>
      </c>
      <c r="BJ1862">
        <v>1.3</v>
      </c>
      <c r="BK1862">
        <v>6.5</v>
      </c>
      <c r="BL1862" s="4">
        <v>296.43</v>
      </c>
      <c r="BM1862" s="4">
        <v>44.46</v>
      </c>
      <c r="BN1862" s="4">
        <v>340.89</v>
      </c>
      <c r="BO1862" s="4">
        <v>340.89</v>
      </c>
      <c r="BQ1862" t="s">
        <v>121</v>
      </c>
      <c r="BR1862" t="s">
        <v>84</v>
      </c>
      <c r="BS1862" s="3">
        <v>43788</v>
      </c>
      <c r="BT1862" s="5">
        <v>0.36180555555555555</v>
      </c>
      <c r="BU1862" t="s">
        <v>658</v>
      </c>
      <c r="BV1862" t="s">
        <v>86</v>
      </c>
      <c r="BY1862">
        <v>6460.17</v>
      </c>
      <c r="CA1862" t="s">
        <v>300</v>
      </c>
      <c r="CC1862" t="s">
        <v>297</v>
      </c>
      <c r="CD1862">
        <v>6849</v>
      </c>
      <c r="CE1862" t="s">
        <v>88</v>
      </c>
      <c r="CF1862" s="3">
        <v>43789</v>
      </c>
      <c r="CI1862">
        <v>3</v>
      </c>
      <c r="CJ1862">
        <v>2</v>
      </c>
      <c r="CK1862">
        <v>23</v>
      </c>
      <c r="CL1862" t="s">
        <v>89</v>
      </c>
    </row>
    <row r="1863" spans="1:90">
      <c r="A1863" t="s">
        <v>72</v>
      </c>
      <c r="B1863" t="s">
        <v>73</v>
      </c>
      <c r="C1863" t="s">
        <v>74</v>
      </c>
      <c r="E1863" t="str">
        <f>"FES1162723286"</f>
        <v>FES1162723286</v>
      </c>
      <c r="F1863" s="3">
        <v>43784</v>
      </c>
      <c r="G1863">
        <v>202005</v>
      </c>
      <c r="H1863" t="s">
        <v>75</v>
      </c>
      <c r="I1863" t="s">
        <v>76</v>
      </c>
      <c r="J1863" t="s">
        <v>77</v>
      </c>
      <c r="K1863" t="s">
        <v>78</v>
      </c>
      <c r="L1863" t="s">
        <v>124</v>
      </c>
      <c r="M1863" t="s">
        <v>125</v>
      </c>
      <c r="N1863" t="s">
        <v>1876</v>
      </c>
      <c r="O1863" t="s">
        <v>82</v>
      </c>
      <c r="P1863" t="str">
        <f>"2170714554                    "</f>
        <v xml:space="preserve">2170714554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9.1199999999999992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2.6</v>
      </c>
      <c r="BJ1863">
        <v>3.3</v>
      </c>
      <c r="BK1863">
        <v>3.5</v>
      </c>
      <c r="BL1863" s="4">
        <v>53.59</v>
      </c>
      <c r="BM1863" s="4">
        <v>8.0399999999999991</v>
      </c>
      <c r="BN1863" s="4">
        <v>61.63</v>
      </c>
      <c r="BO1863" s="4">
        <v>61.63</v>
      </c>
      <c r="BQ1863" t="s">
        <v>121</v>
      </c>
      <c r="BR1863" t="s">
        <v>84</v>
      </c>
      <c r="BS1863" s="3">
        <v>43787</v>
      </c>
      <c r="BT1863" s="5">
        <v>0.3888888888888889</v>
      </c>
      <c r="BU1863" t="s">
        <v>1877</v>
      </c>
      <c r="BV1863" t="s">
        <v>86</v>
      </c>
      <c r="BY1863">
        <v>16334.28</v>
      </c>
      <c r="CC1863" t="s">
        <v>125</v>
      </c>
      <c r="CD1863">
        <v>2157</v>
      </c>
      <c r="CE1863" t="s">
        <v>88</v>
      </c>
      <c r="CF1863" s="3">
        <v>43788</v>
      </c>
      <c r="CI1863">
        <v>1</v>
      </c>
      <c r="CJ1863">
        <v>1</v>
      </c>
      <c r="CK1863">
        <v>22</v>
      </c>
      <c r="CL1863" t="s">
        <v>89</v>
      </c>
    </row>
    <row r="1864" spans="1:90">
      <c r="A1864" t="s">
        <v>72</v>
      </c>
      <c r="B1864" t="s">
        <v>73</v>
      </c>
      <c r="C1864" t="s">
        <v>74</v>
      </c>
      <c r="E1864" t="str">
        <f>"FES1162723263"</f>
        <v>FES1162723263</v>
      </c>
      <c r="F1864" s="3">
        <v>43784</v>
      </c>
      <c r="G1864">
        <v>202005</v>
      </c>
      <c r="H1864" t="s">
        <v>75</v>
      </c>
      <c r="I1864" t="s">
        <v>76</v>
      </c>
      <c r="J1864" t="s">
        <v>77</v>
      </c>
      <c r="K1864" t="s">
        <v>78</v>
      </c>
      <c r="L1864" t="s">
        <v>75</v>
      </c>
      <c r="M1864" t="s">
        <v>76</v>
      </c>
      <c r="N1864" t="s">
        <v>942</v>
      </c>
      <c r="O1864" t="s">
        <v>82</v>
      </c>
      <c r="P1864" t="str">
        <f>"217071280                     "</f>
        <v xml:space="preserve">217071280 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17.149999999999999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3.8</v>
      </c>
      <c r="BJ1864">
        <v>8.1</v>
      </c>
      <c r="BK1864">
        <v>8.5</v>
      </c>
      <c r="BL1864" s="4">
        <v>100.82</v>
      </c>
      <c r="BM1864" s="4">
        <v>15.12</v>
      </c>
      <c r="BN1864" s="4">
        <v>115.94</v>
      </c>
      <c r="BO1864" s="4">
        <v>115.94</v>
      </c>
      <c r="BQ1864" t="s">
        <v>943</v>
      </c>
      <c r="BR1864" t="s">
        <v>84</v>
      </c>
      <c r="BS1864" s="3">
        <v>43787</v>
      </c>
      <c r="BT1864" s="5">
        <v>0.37083333333333335</v>
      </c>
      <c r="BU1864" t="s">
        <v>2132</v>
      </c>
      <c r="BV1864" t="s">
        <v>86</v>
      </c>
      <c r="BY1864">
        <v>40545</v>
      </c>
      <c r="CC1864" t="s">
        <v>76</v>
      </c>
      <c r="CD1864">
        <v>1619</v>
      </c>
      <c r="CE1864" t="s">
        <v>1598</v>
      </c>
      <c r="CF1864" s="3">
        <v>43789</v>
      </c>
      <c r="CI1864">
        <v>1</v>
      </c>
      <c r="CJ1864">
        <v>1</v>
      </c>
      <c r="CK1864">
        <v>22</v>
      </c>
      <c r="CL1864" t="s">
        <v>89</v>
      </c>
    </row>
    <row r="1865" spans="1:90">
      <c r="A1865" t="s">
        <v>72</v>
      </c>
      <c r="B1865" t="s">
        <v>73</v>
      </c>
      <c r="C1865" t="s">
        <v>74</v>
      </c>
      <c r="E1865" t="str">
        <f>"FES1162723292"</f>
        <v>FES1162723292</v>
      </c>
      <c r="F1865" s="3">
        <v>43784</v>
      </c>
      <c r="G1865">
        <v>202005</v>
      </c>
      <c r="H1865" t="s">
        <v>75</v>
      </c>
      <c r="I1865" t="s">
        <v>76</v>
      </c>
      <c r="J1865" t="s">
        <v>77</v>
      </c>
      <c r="K1865" t="s">
        <v>78</v>
      </c>
      <c r="L1865" t="s">
        <v>546</v>
      </c>
      <c r="M1865" t="s">
        <v>547</v>
      </c>
      <c r="N1865" t="s">
        <v>1968</v>
      </c>
      <c r="O1865" t="s">
        <v>82</v>
      </c>
      <c r="P1865" t="str">
        <f>"2170714924                    "</f>
        <v xml:space="preserve">2170714924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12.33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2.8</v>
      </c>
      <c r="BJ1865">
        <v>5.2</v>
      </c>
      <c r="BK1865">
        <v>5.5</v>
      </c>
      <c r="BL1865" s="4">
        <v>72.48</v>
      </c>
      <c r="BM1865" s="4">
        <v>10.87</v>
      </c>
      <c r="BN1865" s="4">
        <v>83.35</v>
      </c>
      <c r="BO1865" s="4">
        <v>83.35</v>
      </c>
      <c r="BQ1865" t="s">
        <v>121</v>
      </c>
      <c r="BR1865" t="s">
        <v>84</v>
      </c>
      <c r="BS1865" s="3">
        <v>43787</v>
      </c>
      <c r="BT1865" s="5">
        <v>0.34027777777777773</v>
      </c>
      <c r="BU1865" t="s">
        <v>2217</v>
      </c>
      <c r="BV1865" t="s">
        <v>86</v>
      </c>
      <c r="BY1865">
        <v>26095.06</v>
      </c>
      <c r="CC1865" t="s">
        <v>547</v>
      </c>
      <c r="CD1865">
        <v>1724</v>
      </c>
      <c r="CE1865" t="s">
        <v>1598</v>
      </c>
      <c r="CF1865" s="3">
        <v>43788</v>
      </c>
      <c r="CI1865">
        <v>1</v>
      </c>
      <c r="CJ1865">
        <v>1</v>
      </c>
      <c r="CK1865">
        <v>22</v>
      </c>
      <c r="CL1865" t="s">
        <v>89</v>
      </c>
    </row>
    <row r="1866" spans="1:90">
      <c r="A1866" t="s">
        <v>72</v>
      </c>
      <c r="B1866" t="s">
        <v>73</v>
      </c>
      <c r="C1866" t="s">
        <v>74</v>
      </c>
      <c r="E1866" t="str">
        <f>"FES1162723329"</f>
        <v>FES1162723329</v>
      </c>
      <c r="F1866" s="3">
        <v>43784</v>
      </c>
      <c r="G1866">
        <v>202005</v>
      </c>
      <c r="H1866" t="s">
        <v>75</v>
      </c>
      <c r="I1866" t="s">
        <v>76</v>
      </c>
      <c r="J1866" t="s">
        <v>77</v>
      </c>
      <c r="K1866" t="s">
        <v>78</v>
      </c>
      <c r="L1866" t="s">
        <v>825</v>
      </c>
      <c r="M1866" t="s">
        <v>826</v>
      </c>
      <c r="N1866" t="s">
        <v>827</v>
      </c>
      <c r="O1866" t="s">
        <v>82</v>
      </c>
      <c r="P1866" t="str">
        <f>"2170715434                    "</f>
        <v xml:space="preserve">2170715434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12.07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0.7</v>
      </c>
      <c r="BJ1866">
        <v>1.1000000000000001</v>
      </c>
      <c r="BK1866">
        <v>1.5</v>
      </c>
      <c r="BL1866" s="4">
        <v>70.95</v>
      </c>
      <c r="BM1866" s="4">
        <v>10.64</v>
      </c>
      <c r="BN1866" s="4">
        <v>81.59</v>
      </c>
      <c r="BO1866" s="4">
        <v>81.59</v>
      </c>
      <c r="BQ1866" t="s">
        <v>121</v>
      </c>
      <c r="BR1866" t="s">
        <v>84</v>
      </c>
      <c r="BS1866" s="3">
        <v>43787</v>
      </c>
      <c r="BT1866" s="5">
        <v>0.34027777777777773</v>
      </c>
      <c r="BU1866" t="s">
        <v>2218</v>
      </c>
      <c r="BV1866" t="s">
        <v>86</v>
      </c>
      <c r="BY1866">
        <v>5739.2</v>
      </c>
      <c r="CC1866" t="s">
        <v>826</v>
      </c>
      <c r="CD1866">
        <v>1759</v>
      </c>
      <c r="CE1866" t="s">
        <v>88</v>
      </c>
      <c r="CF1866" s="3">
        <v>43788</v>
      </c>
      <c r="CI1866">
        <v>1</v>
      </c>
      <c r="CJ1866">
        <v>1</v>
      </c>
      <c r="CK1866">
        <v>24</v>
      </c>
      <c r="CL1866" t="s">
        <v>89</v>
      </c>
    </row>
    <row r="1867" spans="1:90">
      <c r="A1867" t="s">
        <v>72</v>
      </c>
      <c r="B1867" t="s">
        <v>73</v>
      </c>
      <c r="C1867" t="s">
        <v>74</v>
      </c>
      <c r="E1867" t="str">
        <f>"FES1162723349"</f>
        <v>FES1162723349</v>
      </c>
      <c r="F1867" s="3">
        <v>43784</v>
      </c>
      <c r="G1867">
        <v>202005</v>
      </c>
      <c r="H1867" t="s">
        <v>75</v>
      </c>
      <c r="I1867" t="s">
        <v>76</v>
      </c>
      <c r="J1867" t="s">
        <v>77</v>
      </c>
      <c r="K1867" t="s">
        <v>78</v>
      </c>
      <c r="L1867" t="s">
        <v>90</v>
      </c>
      <c r="M1867" t="s">
        <v>91</v>
      </c>
      <c r="N1867" t="s">
        <v>950</v>
      </c>
      <c r="O1867" t="s">
        <v>82</v>
      </c>
      <c r="P1867" t="str">
        <f>"2170716518                    "</f>
        <v xml:space="preserve">2170716518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8.58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 s="4">
        <v>50.45</v>
      </c>
      <c r="BM1867" s="4">
        <v>7.57</v>
      </c>
      <c r="BN1867" s="4">
        <v>58.02</v>
      </c>
      <c r="BO1867" s="4">
        <v>58.02</v>
      </c>
      <c r="BQ1867" t="s">
        <v>121</v>
      </c>
      <c r="BR1867" t="s">
        <v>84</v>
      </c>
      <c r="BS1867" s="3">
        <v>43787</v>
      </c>
      <c r="BT1867" s="5">
        <v>0.31944444444444448</v>
      </c>
      <c r="BU1867" t="s">
        <v>2219</v>
      </c>
      <c r="BV1867" t="s">
        <v>86</v>
      </c>
      <c r="BY1867">
        <v>1200</v>
      </c>
      <c r="CA1867" t="s">
        <v>1309</v>
      </c>
      <c r="CC1867" t="s">
        <v>91</v>
      </c>
      <c r="CD1867">
        <v>7530</v>
      </c>
      <c r="CE1867" t="s">
        <v>147</v>
      </c>
      <c r="CF1867" s="3">
        <v>43788</v>
      </c>
      <c r="CI1867">
        <v>1</v>
      </c>
      <c r="CJ1867">
        <v>1</v>
      </c>
      <c r="CK1867">
        <v>21</v>
      </c>
      <c r="CL1867" t="s">
        <v>89</v>
      </c>
    </row>
    <row r="1868" spans="1:90">
      <c r="A1868" t="s">
        <v>72</v>
      </c>
      <c r="B1868" t="s">
        <v>73</v>
      </c>
      <c r="C1868" t="s">
        <v>74</v>
      </c>
      <c r="E1868" t="str">
        <f>"FES1162723362"</f>
        <v>FES1162723362</v>
      </c>
      <c r="F1868" s="3">
        <v>43784</v>
      </c>
      <c r="G1868">
        <v>202005</v>
      </c>
      <c r="H1868" t="s">
        <v>75</v>
      </c>
      <c r="I1868" t="s">
        <v>76</v>
      </c>
      <c r="J1868" t="s">
        <v>77</v>
      </c>
      <c r="K1868" t="s">
        <v>78</v>
      </c>
      <c r="L1868" t="s">
        <v>681</v>
      </c>
      <c r="M1868" t="s">
        <v>682</v>
      </c>
      <c r="N1868" t="s">
        <v>2220</v>
      </c>
      <c r="O1868" t="s">
        <v>82</v>
      </c>
      <c r="P1868" t="str">
        <f>"217071302                     "</f>
        <v xml:space="preserve">217071302 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12.07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 s="4">
        <v>70.95</v>
      </c>
      <c r="BM1868" s="4">
        <v>10.64</v>
      </c>
      <c r="BN1868" s="4">
        <v>81.59</v>
      </c>
      <c r="BO1868" s="4">
        <v>81.59</v>
      </c>
      <c r="BQ1868" t="s">
        <v>161</v>
      </c>
      <c r="BR1868" t="s">
        <v>84</v>
      </c>
      <c r="BS1868" s="3">
        <v>43787</v>
      </c>
      <c r="BT1868" s="5">
        <v>0.33333333333333331</v>
      </c>
      <c r="BU1868" t="s">
        <v>264</v>
      </c>
      <c r="BV1868" t="s">
        <v>86</v>
      </c>
      <c r="BY1868">
        <v>1200</v>
      </c>
      <c r="CA1868" t="s">
        <v>685</v>
      </c>
      <c r="CC1868" t="s">
        <v>682</v>
      </c>
      <c r="CD1868">
        <v>1871</v>
      </c>
      <c r="CE1868" t="s">
        <v>147</v>
      </c>
      <c r="CF1868" s="3">
        <v>43789</v>
      </c>
      <c r="CI1868">
        <v>1</v>
      </c>
      <c r="CJ1868">
        <v>1</v>
      </c>
      <c r="CK1868">
        <v>24</v>
      </c>
      <c r="CL1868" t="s">
        <v>89</v>
      </c>
    </row>
    <row r="1869" spans="1:90">
      <c r="A1869" t="s">
        <v>72</v>
      </c>
      <c r="B1869" t="s">
        <v>73</v>
      </c>
      <c r="C1869" t="s">
        <v>74</v>
      </c>
      <c r="E1869" t="str">
        <f>"FES1162723299"</f>
        <v>FES1162723299</v>
      </c>
      <c r="F1869" s="3">
        <v>43784</v>
      </c>
      <c r="G1869">
        <v>202005</v>
      </c>
      <c r="H1869" t="s">
        <v>75</v>
      </c>
      <c r="I1869" t="s">
        <v>76</v>
      </c>
      <c r="J1869" t="s">
        <v>77</v>
      </c>
      <c r="K1869" t="s">
        <v>78</v>
      </c>
      <c r="L1869" t="s">
        <v>214</v>
      </c>
      <c r="M1869" t="s">
        <v>214</v>
      </c>
      <c r="N1869" t="s">
        <v>403</v>
      </c>
      <c r="O1869" t="s">
        <v>82</v>
      </c>
      <c r="P1869" t="str">
        <f>"2170715184                    "</f>
        <v xml:space="preserve">2170715184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16.63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 s="4">
        <v>97.75</v>
      </c>
      <c r="BM1869" s="4">
        <v>14.66</v>
      </c>
      <c r="BN1869" s="4">
        <v>112.41</v>
      </c>
      <c r="BO1869" s="4">
        <v>112.41</v>
      </c>
      <c r="BQ1869" t="s">
        <v>121</v>
      </c>
      <c r="BR1869" t="s">
        <v>84</v>
      </c>
      <c r="BS1869" s="3">
        <v>43787</v>
      </c>
      <c r="BT1869" s="5">
        <v>0.4375</v>
      </c>
      <c r="BU1869" t="s">
        <v>2221</v>
      </c>
      <c r="BV1869" t="s">
        <v>86</v>
      </c>
      <c r="BY1869">
        <v>1200</v>
      </c>
      <c r="CA1869" t="s">
        <v>217</v>
      </c>
      <c r="CC1869" t="s">
        <v>214</v>
      </c>
      <c r="CD1869">
        <v>7646</v>
      </c>
      <c r="CE1869" t="s">
        <v>147</v>
      </c>
      <c r="CF1869" s="3">
        <v>43788</v>
      </c>
      <c r="CI1869">
        <v>1</v>
      </c>
      <c r="CJ1869">
        <v>1</v>
      </c>
      <c r="CK1869">
        <v>23</v>
      </c>
      <c r="CL1869" t="s">
        <v>89</v>
      </c>
    </row>
    <row r="1870" spans="1:90">
      <c r="A1870" t="s">
        <v>72</v>
      </c>
      <c r="B1870" t="s">
        <v>73</v>
      </c>
      <c r="C1870" t="s">
        <v>74</v>
      </c>
      <c r="E1870" t="str">
        <f>"FES1162723272"</f>
        <v>FES1162723272</v>
      </c>
      <c r="F1870" s="3">
        <v>43784</v>
      </c>
      <c r="G1870">
        <v>202005</v>
      </c>
      <c r="H1870" t="s">
        <v>75</v>
      </c>
      <c r="I1870" t="s">
        <v>76</v>
      </c>
      <c r="J1870" t="s">
        <v>77</v>
      </c>
      <c r="K1870" t="s">
        <v>78</v>
      </c>
      <c r="L1870" t="s">
        <v>90</v>
      </c>
      <c r="M1870" t="s">
        <v>91</v>
      </c>
      <c r="N1870" t="s">
        <v>1751</v>
      </c>
      <c r="O1870" t="s">
        <v>82</v>
      </c>
      <c r="P1870" t="str">
        <f>"21707161111                   "</f>
        <v xml:space="preserve">21707161111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17.16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3</v>
      </c>
      <c r="BJ1870">
        <v>4</v>
      </c>
      <c r="BK1870">
        <v>4</v>
      </c>
      <c r="BL1870" s="4">
        <v>100.87</v>
      </c>
      <c r="BM1870" s="4">
        <v>15.13</v>
      </c>
      <c r="BN1870" s="4">
        <v>116</v>
      </c>
      <c r="BO1870" s="4">
        <v>116</v>
      </c>
      <c r="BQ1870" t="s">
        <v>142</v>
      </c>
      <c r="BR1870" t="s">
        <v>84</v>
      </c>
      <c r="BS1870" s="3">
        <v>43787</v>
      </c>
      <c r="BT1870" s="5">
        <v>0.35416666666666669</v>
      </c>
      <c r="BU1870" t="s">
        <v>2222</v>
      </c>
      <c r="BV1870" t="s">
        <v>86</v>
      </c>
      <c r="BY1870">
        <v>20007</v>
      </c>
      <c r="CA1870" t="s">
        <v>677</v>
      </c>
      <c r="CC1870" t="s">
        <v>91</v>
      </c>
      <c r="CD1870">
        <v>7800</v>
      </c>
      <c r="CE1870" t="s">
        <v>1714</v>
      </c>
      <c r="CF1870" s="3">
        <v>43788</v>
      </c>
      <c r="CI1870">
        <v>1</v>
      </c>
      <c r="CJ1870">
        <v>1</v>
      </c>
      <c r="CK1870">
        <v>21</v>
      </c>
      <c r="CL1870" t="s">
        <v>89</v>
      </c>
    </row>
    <row r="1871" spans="1:90">
      <c r="A1871" t="s">
        <v>72</v>
      </c>
      <c r="B1871" t="s">
        <v>73</v>
      </c>
      <c r="C1871" t="s">
        <v>74</v>
      </c>
      <c r="E1871" t="str">
        <f>"FES1162723336"</f>
        <v>FES1162723336</v>
      </c>
      <c r="F1871" s="3">
        <v>43784</v>
      </c>
      <c r="G1871">
        <v>202005</v>
      </c>
      <c r="H1871" t="s">
        <v>75</v>
      </c>
      <c r="I1871" t="s">
        <v>76</v>
      </c>
      <c r="J1871" t="s">
        <v>77</v>
      </c>
      <c r="K1871" t="s">
        <v>78</v>
      </c>
      <c r="L1871" t="s">
        <v>482</v>
      </c>
      <c r="M1871" t="s">
        <v>483</v>
      </c>
      <c r="N1871" t="s">
        <v>2223</v>
      </c>
      <c r="O1871" t="s">
        <v>82</v>
      </c>
      <c r="P1871" t="str">
        <f>"2170715551                    "</f>
        <v xml:space="preserve">2170715551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13.94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2.4</v>
      </c>
      <c r="BJ1871">
        <v>6.4</v>
      </c>
      <c r="BK1871">
        <v>6.5</v>
      </c>
      <c r="BL1871" s="4">
        <v>81.93</v>
      </c>
      <c r="BM1871" s="4">
        <v>12.29</v>
      </c>
      <c r="BN1871" s="4">
        <v>94.22</v>
      </c>
      <c r="BO1871" s="4">
        <v>94.22</v>
      </c>
      <c r="BR1871" t="s">
        <v>84</v>
      </c>
      <c r="BS1871" s="3">
        <v>43788</v>
      </c>
      <c r="BT1871" s="5">
        <v>0.55208333333333337</v>
      </c>
      <c r="BU1871" t="s">
        <v>2224</v>
      </c>
      <c r="BV1871" t="s">
        <v>89</v>
      </c>
      <c r="BY1871">
        <v>31893.119999999999</v>
      </c>
      <c r="CA1871" t="s">
        <v>2165</v>
      </c>
      <c r="CC1871" t="s">
        <v>483</v>
      </c>
      <c r="CD1871">
        <v>1460</v>
      </c>
      <c r="CE1871" t="s">
        <v>1598</v>
      </c>
      <c r="CF1871" s="3">
        <v>43790</v>
      </c>
      <c r="CI1871">
        <v>1</v>
      </c>
      <c r="CJ1871">
        <v>2</v>
      </c>
      <c r="CK1871">
        <v>22</v>
      </c>
      <c r="CL1871" t="s">
        <v>89</v>
      </c>
    </row>
    <row r="1872" spans="1:90">
      <c r="A1872" t="s">
        <v>72</v>
      </c>
      <c r="B1872" t="s">
        <v>73</v>
      </c>
      <c r="C1872" t="s">
        <v>74</v>
      </c>
      <c r="E1872" t="str">
        <f>"FES1162723281"</f>
        <v>FES1162723281</v>
      </c>
      <c r="F1872" s="3">
        <v>43784</v>
      </c>
      <c r="G1872">
        <v>202005</v>
      </c>
      <c r="H1872" t="s">
        <v>75</v>
      </c>
      <c r="I1872" t="s">
        <v>76</v>
      </c>
      <c r="J1872" t="s">
        <v>77</v>
      </c>
      <c r="K1872" t="s">
        <v>78</v>
      </c>
      <c r="L1872" t="s">
        <v>133</v>
      </c>
      <c r="M1872" t="s">
        <v>134</v>
      </c>
      <c r="N1872" t="s">
        <v>135</v>
      </c>
      <c r="O1872" t="s">
        <v>82</v>
      </c>
      <c r="P1872" t="str">
        <f>"217071361                     "</f>
        <v xml:space="preserve">217071361 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15.02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3.3</v>
      </c>
      <c r="BJ1872">
        <v>1.4</v>
      </c>
      <c r="BK1872">
        <v>3.5</v>
      </c>
      <c r="BL1872" s="4">
        <v>88.27</v>
      </c>
      <c r="BM1872" s="4">
        <v>13.24</v>
      </c>
      <c r="BN1872" s="4">
        <v>101.51</v>
      </c>
      <c r="BO1872" s="4">
        <v>101.51</v>
      </c>
      <c r="BQ1872" t="s">
        <v>109</v>
      </c>
      <c r="BR1872" t="s">
        <v>84</v>
      </c>
      <c r="BS1872" s="3">
        <v>43787</v>
      </c>
      <c r="BT1872" s="5">
        <v>0.3430555555555555</v>
      </c>
      <c r="BU1872" t="s">
        <v>2168</v>
      </c>
      <c r="BV1872" t="s">
        <v>86</v>
      </c>
      <c r="BY1872">
        <v>6902.02</v>
      </c>
      <c r="CA1872" t="s">
        <v>912</v>
      </c>
      <c r="CC1872" t="s">
        <v>134</v>
      </c>
      <c r="CD1872">
        <v>5201</v>
      </c>
      <c r="CE1872" t="s">
        <v>88</v>
      </c>
      <c r="CF1872" s="3">
        <v>43788</v>
      </c>
      <c r="CI1872">
        <v>1</v>
      </c>
      <c r="CJ1872">
        <v>1</v>
      </c>
      <c r="CK1872">
        <v>21</v>
      </c>
      <c r="CL1872" t="s">
        <v>89</v>
      </c>
    </row>
    <row r="1873" spans="1:90">
      <c r="A1873" t="s">
        <v>72</v>
      </c>
      <c r="B1873" t="s">
        <v>73</v>
      </c>
      <c r="C1873" t="s">
        <v>74</v>
      </c>
      <c r="E1873" t="str">
        <f>"FES1162723379"</f>
        <v>FES1162723379</v>
      </c>
      <c r="F1873" s="3">
        <v>43784</v>
      </c>
      <c r="G1873">
        <v>202005</v>
      </c>
      <c r="H1873" t="s">
        <v>75</v>
      </c>
      <c r="I1873" t="s">
        <v>76</v>
      </c>
      <c r="J1873" t="s">
        <v>77</v>
      </c>
      <c r="K1873" t="s">
        <v>78</v>
      </c>
      <c r="L1873" t="s">
        <v>270</v>
      </c>
      <c r="M1873" t="s">
        <v>271</v>
      </c>
      <c r="N1873" t="s">
        <v>330</v>
      </c>
      <c r="O1873" t="s">
        <v>82</v>
      </c>
      <c r="P1873" t="str">
        <f>"2170716785                    "</f>
        <v xml:space="preserve">2170716785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15.02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3.2</v>
      </c>
      <c r="BJ1873">
        <v>0.7</v>
      </c>
      <c r="BK1873">
        <v>3.5</v>
      </c>
      <c r="BL1873" s="4">
        <v>88.27</v>
      </c>
      <c r="BM1873" s="4">
        <v>13.24</v>
      </c>
      <c r="BN1873" s="4">
        <v>101.51</v>
      </c>
      <c r="BO1873" s="4">
        <v>101.51</v>
      </c>
      <c r="BQ1873" t="s">
        <v>109</v>
      </c>
      <c r="BR1873" t="s">
        <v>84</v>
      </c>
      <c r="BS1873" s="3">
        <v>43787</v>
      </c>
      <c r="BT1873" s="5">
        <v>0.40972222222222227</v>
      </c>
      <c r="BU1873" t="s">
        <v>2225</v>
      </c>
      <c r="BV1873" t="s">
        <v>86</v>
      </c>
      <c r="BY1873">
        <v>3400.49</v>
      </c>
      <c r="CA1873" t="s">
        <v>1427</v>
      </c>
      <c r="CC1873" t="s">
        <v>271</v>
      </c>
      <c r="CD1873">
        <v>6220</v>
      </c>
      <c r="CE1873" t="s">
        <v>88</v>
      </c>
      <c r="CF1873" s="3">
        <v>43788</v>
      </c>
      <c r="CI1873">
        <v>1</v>
      </c>
      <c r="CJ1873">
        <v>1</v>
      </c>
      <c r="CK1873">
        <v>21</v>
      </c>
      <c r="CL1873" t="s">
        <v>89</v>
      </c>
    </row>
    <row r="1874" spans="1:90">
      <c r="A1874" t="s">
        <v>72</v>
      </c>
      <c r="B1874" t="s">
        <v>73</v>
      </c>
      <c r="C1874" t="s">
        <v>74</v>
      </c>
      <c r="E1874" t="str">
        <f>"FES1162723298"</f>
        <v>FES1162723298</v>
      </c>
      <c r="F1874" s="3">
        <v>43784</v>
      </c>
      <c r="G1874">
        <v>202005</v>
      </c>
      <c r="H1874" t="s">
        <v>75</v>
      </c>
      <c r="I1874" t="s">
        <v>76</v>
      </c>
      <c r="J1874" t="s">
        <v>77</v>
      </c>
      <c r="K1874" t="s">
        <v>78</v>
      </c>
      <c r="L1874" t="s">
        <v>106</v>
      </c>
      <c r="M1874" t="s">
        <v>107</v>
      </c>
      <c r="N1874" t="s">
        <v>242</v>
      </c>
      <c r="O1874" t="s">
        <v>82</v>
      </c>
      <c r="P1874" t="str">
        <f>"2170715180                    "</f>
        <v xml:space="preserve">2170715180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15.02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3.2</v>
      </c>
      <c r="BJ1874">
        <v>1.5</v>
      </c>
      <c r="BK1874">
        <v>3.5</v>
      </c>
      <c r="BL1874" s="4">
        <v>88.27</v>
      </c>
      <c r="BM1874" s="4">
        <v>13.24</v>
      </c>
      <c r="BN1874" s="4">
        <v>101.51</v>
      </c>
      <c r="BO1874" s="4">
        <v>101.51</v>
      </c>
      <c r="BQ1874" t="s">
        <v>109</v>
      </c>
      <c r="BR1874" t="s">
        <v>84</v>
      </c>
      <c r="BS1874" s="3">
        <v>43787</v>
      </c>
      <c r="BT1874" s="5">
        <v>0.3888888888888889</v>
      </c>
      <c r="BU1874" t="s">
        <v>2226</v>
      </c>
      <c r="BV1874" t="s">
        <v>86</v>
      </c>
      <c r="BY1874">
        <v>7542.75</v>
      </c>
      <c r="CA1874" t="s">
        <v>2227</v>
      </c>
      <c r="CC1874" t="s">
        <v>107</v>
      </c>
      <c r="CD1874">
        <v>6001</v>
      </c>
      <c r="CE1874" t="s">
        <v>1598</v>
      </c>
      <c r="CF1874" s="3">
        <v>43788</v>
      </c>
      <c r="CI1874">
        <v>1</v>
      </c>
      <c r="CJ1874">
        <v>1</v>
      </c>
      <c r="CK1874">
        <v>21</v>
      </c>
      <c r="CL1874" t="s">
        <v>89</v>
      </c>
    </row>
    <row r="1875" spans="1:90">
      <c r="A1875" t="s">
        <v>72</v>
      </c>
      <c r="B1875" t="s">
        <v>73</v>
      </c>
      <c r="C1875" t="s">
        <v>74</v>
      </c>
      <c r="E1875" t="str">
        <f>"FES1162723321"</f>
        <v>FES1162723321</v>
      </c>
      <c r="F1875" s="3">
        <v>43784</v>
      </c>
      <c r="G1875">
        <v>202005</v>
      </c>
      <c r="H1875" t="s">
        <v>75</v>
      </c>
      <c r="I1875" t="s">
        <v>76</v>
      </c>
      <c r="J1875" t="s">
        <v>77</v>
      </c>
      <c r="K1875" t="s">
        <v>78</v>
      </c>
      <c r="L1875" t="s">
        <v>2111</v>
      </c>
      <c r="M1875" t="s">
        <v>2112</v>
      </c>
      <c r="N1875" t="s">
        <v>2228</v>
      </c>
      <c r="O1875" t="s">
        <v>82</v>
      </c>
      <c r="P1875" t="str">
        <f>"21707155383                   "</f>
        <v xml:space="preserve">21707155383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27.9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3.3</v>
      </c>
      <c r="BJ1875">
        <v>1.4</v>
      </c>
      <c r="BK1875">
        <v>3.5</v>
      </c>
      <c r="BL1875" s="4">
        <v>163.98</v>
      </c>
      <c r="BM1875" s="4">
        <v>24.6</v>
      </c>
      <c r="BN1875" s="4">
        <v>188.58</v>
      </c>
      <c r="BO1875" s="4">
        <v>188.58</v>
      </c>
      <c r="BQ1875" t="s">
        <v>2229</v>
      </c>
      <c r="BR1875" t="s">
        <v>84</v>
      </c>
      <c r="BS1875" s="3">
        <v>43787</v>
      </c>
      <c r="BT1875" s="5">
        <v>0.35416666666666669</v>
      </c>
      <c r="BU1875" t="s">
        <v>2230</v>
      </c>
      <c r="BV1875" t="s">
        <v>86</v>
      </c>
      <c r="BY1875">
        <v>6774.88</v>
      </c>
      <c r="CA1875" t="s">
        <v>1046</v>
      </c>
      <c r="CC1875" t="s">
        <v>2112</v>
      </c>
      <c r="CD1875">
        <v>4339</v>
      </c>
      <c r="CE1875" t="s">
        <v>88</v>
      </c>
      <c r="CF1875" s="3">
        <v>43788</v>
      </c>
      <c r="CI1875">
        <v>1</v>
      </c>
      <c r="CJ1875">
        <v>1</v>
      </c>
      <c r="CK1875">
        <v>23</v>
      </c>
      <c r="CL1875" t="s">
        <v>89</v>
      </c>
    </row>
    <row r="1876" spans="1:90">
      <c r="A1876" t="s">
        <v>72</v>
      </c>
      <c r="B1876" t="s">
        <v>73</v>
      </c>
      <c r="C1876" t="s">
        <v>74</v>
      </c>
      <c r="E1876" t="str">
        <f>"FES1162723345"</f>
        <v>FES1162723345</v>
      </c>
      <c r="F1876" s="3">
        <v>43784</v>
      </c>
      <c r="G1876">
        <v>202005</v>
      </c>
      <c r="H1876" t="s">
        <v>75</v>
      </c>
      <c r="I1876" t="s">
        <v>76</v>
      </c>
      <c r="J1876" t="s">
        <v>77</v>
      </c>
      <c r="K1876" t="s">
        <v>78</v>
      </c>
      <c r="L1876" t="s">
        <v>500</v>
      </c>
      <c r="M1876" t="s">
        <v>501</v>
      </c>
      <c r="N1876" t="s">
        <v>765</v>
      </c>
      <c r="O1876" t="s">
        <v>82</v>
      </c>
      <c r="P1876" t="str">
        <f>"2170716286                    "</f>
        <v xml:space="preserve">2170716286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16.63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 s="4">
        <v>97.75</v>
      </c>
      <c r="BM1876" s="4">
        <v>14.66</v>
      </c>
      <c r="BN1876" s="4">
        <v>112.41</v>
      </c>
      <c r="BO1876" s="4">
        <v>112.41</v>
      </c>
      <c r="BR1876" t="s">
        <v>84</v>
      </c>
      <c r="BS1876" s="3">
        <v>43787</v>
      </c>
      <c r="BT1876" s="5">
        <v>0.51111111111111118</v>
      </c>
      <c r="BU1876" t="s">
        <v>2231</v>
      </c>
      <c r="BV1876" t="s">
        <v>86</v>
      </c>
      <c r="BY1876">
        <v>1200</v>
      </c>
      <c r="CA1876" t="s">
        <v>504</v>
      </c>
      <c r="CC1876" t="s">
        <v>501</v>
      </c>
      <c r="CD1876">
        <v>7349</v>
      </c>
      <c r="CE1876" t="s">
        <v>147</v>
      </c>
      <c r="CF1876" s="3">
        <v>43788</v>
      </c>
      <c r="CI1876">
        <v>1</v>
      </c>
      <c r="CJ1876">
        <v>1</v>
      </c>
      <c r="CK1876">
        <v>23</v>
      </c>
      <c r="CL1876" t="s">
        <v>89</v>
      </c>
    </row>
    <row r="1877" spans="1:90">
      <c r="A1877" t="s">
        <v>72</v>
      </c>
      <c r="B1877" t="s">
        <v>73</v>
      </c>
      <c r="C1877" t="s">
        <v>74</v>
      </c>
      <c r="E1877" t="str">
        <f>"FES1162723344"</f>
        <v>FES1162723344</v>
      </c>
      <c r="F1877" s="3">
        <v>43784</v>
      </c>
      <c r="G1877">
        <v>202005</v>
      </c>
      <c r="H1877" t="s">
        <v>75</v>
      </c>
      <c r="I1877" t="s">
        <v>76</v>
      </c>
      <c r="J1877" t="s">
        <v>77</v>
      </c>
      <c r="K1877" t="s">
        <v>78</v>
      </c>
      <c r="L1877" t="s">
        <v>202</v>
      </c>
      <c r="M1877" t="s">
        <v>203</v>
      </c>
      <c r="N1877" t="s">
        <v>2232</v>
      </c>
      <c r="O1877" t="s">
        <v>82</v>
      </c>
      <c r="P1877" t="str">
        <f>"21707162143                   "</f>
        <v xml:space="preserve">21707162143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6.71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0.9</v>
      </c>
      <c r="BJ1877">
        <v>0.8</v>
      </c>
      <c r="BK1877">
        <v>1</v>
      </c>
      <c r="BL1877" s="4">
        <v>39.42</v>
      </c>
      <c r="BM1877" s="4">
        <v>5.91</v>
      </c>
      <c r="BN1877" s="4">
        <v>45.33</v>
      </c>
      <c r="BO1877" s="4">
        <v>45.33</v>
      </c>
      <c r="BQ1877" t="s">
        <v>2233</v>
      </c>
      <c r="BR1877" t="s">
        <v>84</v>
      </c>
      <c r="BS1877" s="3">
        <v>43787</v>
      </c>
      <c r="BT1877" s="5">
        <v>0.3888888888888889</v>
      </c>
      <c r="BU1877" t="s">
        <v>2234</v>
      </c>
      <c r="BV1877" t="s">
        <v>86</v>
      </c>
      <c r="BY1877">
        <v>3843.36</v>
      </c>
      <c r="CC1877" t="s">
        <v>203</v>
      </c>
      <c r="CD1877">
        <v>1422</v>
      </c>
      <c r="CE1877" t="s">
        <v>1598</v>
      </c>
      <c r="CF1877" s="3">
        <v>43788</v>
      </c>
      <c r="CI1877">
        <v>1</v>
      </c>
      <c r="CJ1877">
        <v>1</v>
      </c>
      <c r="CK1877">
        <v>22</v>
      </c>
      <c r="CL1877" t="s">
        <v>89</v>
      </c>
    </row>
    <row r="1878" spans="1:90">
      <c r="A1878" t="s">
        <v>72</v>
      </c>
      <c r="B1878" t="s">
        <v>73</v>
      </c>
      <c r="C1878" t="s">
        <v>74</v>
      </c>
      <c r="E1878" t="str">
        <f>"FES1162723278"</f>
        <v>FES1162723278</v>
      </c>
      <c r="F1878" s="3">
        <v>43784</v>
      </c>
      <c r="G1878">
        <v>202005</v>
      </c>
      <c r="H1878" t="s">
        <v>75</v>
      </c>
      <c r="I1878" t="s">
        <v>76</v>
      </c>
      <c r="J1878" t="s">
        <v>77</v>
      </c>
      <c r="K1878" t="s">
        <v>78</v>
      </c>
      <c r="L1878" t="s">
        <v>112</v>
      </c>
      <c r="M1878" t="s">
        <v>113</v>
      </c>
      <c r="N1878" t="s">
        <v>160</v>
      </c>
      <c r="O1878" t="s">
        <v>82</v>
      </c>
      <c r="P1878" t="str">
        <f>"2170712687                    "</f>
        <v xml:space="preserve">2170712687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8.58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1.6</v>
      </c>
      <c r="BJ1878">
        <v>1.4</v>
      </c>
      <c r="BK1878">
        <v>2</v>
      </c>
      <c r="BL1878" s="4">
        <v>50.45</v>
      </c>
      <c r="BM1878" s="4">
        <v>7.57</v>
      </c>
      <c r="BN1878" s="4">
        <v>58.02</v>
      </c>
      <c r="BO1878" s="4">
        <v>58.02</v>
      </c>
      <c r="BQ1878" t="s">
        <v>161</v>
      </c>
      <c r="BR1878" t="s">
        <v>84</v>
      </c>
      <c r="BS1878" s="3">
        <v>43787</v>
      </c>
      <c r="BT1878" s="5">
        <v>0.35486111111111113</v>
      </c>
      <c r="BU1878" t="s">
        <v>162</v>
      </c>
      <c r="BV1878" t="s">
        <v>86</v>
      </c>
      <c r="BY1878">
        <v>7187.78</v>
      </c>
      <c r="CA1878" t="s">
        <v>163</v>
      </c>
      <c r="CC1878" t="s">
        <v>113</v>
      </c>
      <c r="CD1878">
        <v>4000</v>
      </c>
      <c r="CE1878" t="s">
        <v>88</v>
      </c>
      <c r="CF1878" s="3">
        <v>43788</v>
      </c>
      <c r="CI1878">
        <v>1</v>
      </c>
      <c r="CJ1878">
        <v>1</v>
      </c>
      <c r="CK1878">
        <v>21</v>
      </c>
      <c r="CL1878" t="s">
        <v>89</v>
      </c>
    </row>
    <row r="1879" spans="1:90">
      <c r="A1879" t="s">
        <v>72</v>
      </c>
      <c r="B1879" t="s">
        <v>73</v>
      </c>
      <c r="C1879" t="s">
        <v>74</v>
      </c>
      <c r="E1879" t="str">
        <f>"FES1162723271"</f>
        <v>FES1162723271</v>
      </c>
      <c r="F1879" s="3">
        <v>43784</v>
      </c>
      <c r="G1879">
        <v>202005</v>
      </c>
      <c r="H1879" t="s">
        <v>75</v>
      </c>
      <c r="I1879" t="s">
        <v>76</v>
      </c>
      <c r="J1879" t="s">
        <v>77</v>
      </c>
      <c r="K1879" t="s">
        <v>78</v>
      </c>
      <c r="L1879" t="s">
        <v>79</v>
      </c>
      <c r="M1879" t="s">
        <v>80</v>
      </c>
      <c r="N1879" t="s">
        <v>456</v>
      </c>
      <c r="O1879" t="s">
        <v>82</v>
      </c>
      <c r="P1879" t="str">
        <f>"2170716969                    "</f>
        <v xml:space="preserve">2170716969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12.87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2.6</v>
      </c>
      <c r="BJ1879">
        <v>1</v>
      </c>
      <c r="BK1879">
        <v>3</v>
      </c>
      <c r="BL1879" s="4">
        <v>75.66</v>
      </c>
      <c r="BM1879" s="4">
        <v>11.35</v>
      </c>
      <c r="BN1879" s="4">
        <v>87.01</v>
      </c>
      <c r="BO1879" s="4">
        <v>87.01</v>
      </c>
      <c r="BQ1879" t="s">
        <v>109</v>
      </c>
      <c r="BR1879" t="s">
        <v>84</v>
      </c>
      <c r="BS1879" s="3">
        <v>43787</v>
      </c>
      <c r="BT1879" s="5">
        <v>0.3263888888888889</v>
      </c>
      <c r="BU1879" t="s">
        <v>2235</v>
      </c>
      <c r="BV1879" t="s">
        <v>86</v>
      </c>
      <c r="BY1879">
        <v>5132.29</v>
      </c>
      <c r="CA1879" t="s">
        <v>87</v>
      </c>
      <c r="CC1879" t="s">
        <v>80</v>
      </c>
      <c r="CD1879">
        <v>6230</v>
      </c>
      <c r="CE1879" t="s">
        <v>88</v>
      </c>
      <c r="CF1879" s="3">
        <v>43788</v>
      </c>
      <c r="CI1879">
        <v>1</v>
      </c>
      <c r="CJ1879">
        <v>1</v>
      </c>
      <c r="CK1879">
        <v>21</v>
      </c>
      <c r="CL1879" t="s">
        <v>89</v>
      </c>
    </row>
    <row r="1880" spans="1:90">
      <c r="A1880" t="s">
        <v>72</v>
      </c>
      <c r="B1880" t="s">
        <v>73</v>
      </c>
      <c r="C1880" t="s">
        <v>74</v>
      </c>
      <c r="E1880" t="str">
        <f>"FES1162723310"</f>
        <v>FES1162723310</v>
      </c>
      <c r="F1880" s="3">
        <v>43784</v>
      </c>
      <c r="G1880">
        <v>202005</v>
      </c>
      <c r="H1880" t="s">
        <v>75</v>
      </c>
      <c r="I1880" t="s">
        <v>76</v>
      </c>
      <c r="J1880" t="s">
        <v>77</v>
      </c>
      <c r="K1880" t="s">
        <v>78</v>
      </c>
      <c r="L1880" t="s">
        <v>176</v>
      </c>
      <c r="M1880" t="s">
        <v>177</v>
      </c>
      <c r="N1880" t="s">
        <v>598</v>
      </c>
      <c r="O1880" t="s">
        <v>82</v>
      </c>
      <c r="P1880" t="str">
        <f>"2170715287                    "</f>
        <v xml:space="preserve">2170715287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8.58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0.9</v>
      </c>
      <c r="BK1880">
        <v>1</v>
      </c>
      <c r="BL1880" s="4">
        <v>50.45</v>
      </c>
      <c r="BM1880" s="4">
        <v>7.57</v>
      </c>
      <c r="BN1880" s="4">
        <v>58.02</v>
      </c>
      <c r="BO1880" s="4">
        <v>58.02</v>
      </c>
      <c r="BQ1880" t="s">
        <v>121</v>
      </c>
      <c r="BR1880" t="s">
        <v>84</v>
      </c>
      <c r="BS1880" s="3">
        <v>43787</v>
      </c>
      <c r="BT1880" s="5">
        <v>0.42152777777777778</v>
      </c>
      <c r="BU1880" t="s">
        <v>2236</v>
      </c>
      <c r="BV1880" t="s">
        <v>86</v>
      </c>
      <c r="BY1880">
        <v>4749.12</v>
      </c>
      <c r="CA1880" t="s">
        <v>224</v>
      </c>
      <c r="CC1880" t="s">
        <v>177</v>
      </c>
      <c r="CD1880">
        <v>3610</v>
      </c>
      <c r="CE1880" t="s">
        <v>88</v>
      </c>
      <c r="CF1880" s="3">
        <v>43788</v>
      </c>
      <c r="CI1880">
        <v>1</v>
      </c>
      <c r="CJ1880">
        <v>1</v>
      </c>
      <c r="CK1880">
        <v>21</v>
      </c>
      <c r="CL1880" t="s">
        <v>89</v>
      </c>
    </row>
    <row r="1881" spans="1:90">
      <c r="A1881" t="s">
        <v>72</v>
      </c>
      <c r="B1881" t="s">
        <v>73</v>
      </c>
      <c r="C1881" t="s">
        <v>74</v>
      </c>
      <c r="E1881" t="str">
        <f>"FES1162723296"</f>
        <v>FES1162723296</v>
      </c>
      <c r="F1881" s="3">
        <v>43784</v>
      </c>
      <c r="G1881">
        <v>202005</v>
      </c>
      <c r="H1881" t="s">
        <v>75</v>
      </c>
      <c r="I1881" t="s">
        <v>76</v>
      </c>
      <c r="J1881" t="s">
        <v>77</v>
      </c>
      <c r="K1881" t="s">
        <v>78</v>
      </c>
      <c r="L1881" t="s">
        <v>176</v>
      </c>
      <c r="M1881" t="s">
        <v>177</v>
      </c>
      <c r="N1881" t="s">
        <v>417</v>
      </c>
      <c r="O1881" t="s">
        <v>82</v>
      </c>
      <c r="P1881" t="str">
        <f>"2170715145                    "</f>
        <v xml:space="preserve">2170715145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15.02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3.5</v>
      </c>
      <c r="BK1881">
        <v>3.5</v>
      </c>
      <c r="BL1881" s="4">
        <v>88.27</v>
      </c>
      <c r="BM1881" s="4">
        <v>13.24</v>
      </c>
      <c r="BN1881" s="4">
        <v>101.51</v>
      </c>
      <c r="BO1881" s="4">
        <v>101.51</v>
      </c>
      <c r="BR1881" t="s">
        <v>84</v>
      </c>
      <c r="BS1881" s="3">
        <v>43787</v>
      </c>
      <c r="BT1881" s="5">
        <v>0.32708333333333334</v>
      </c>
      <c r="BU1881" t="s">
        <v>418</v>
      </c>
      <c r="BV1881" t="s">
        <v>86</v>
      </c>
      <c r="BY1881">
        <v>17600.310000000001</v>
      </c>
      <c r="CA1881" t="s">
        <v>224</v>
      </c>
      <c r="CC1881" t="s">
        <v>177</v>
      </c>
      <c r="CD1881">
        <v>3600</v>
      </c>
      <c r="CE1881" t="s">
        <v>88</v>
      </c>
      <c r="CF1881" s="3">
        <v>43788</v>
      </c>
      <c r="CI1881">
        <v>1</v>
      </c>
      <c r="CJ1881">
        <v>1</v>
      </c>
      <c r="CK1881">
        <v>21</v>
      </c>
      <c r="CL1881" t="s">
        <v>89</v>
      </c>
    </row>
    <row r="1882" spans="1:90">
      <c r="A1882" t="s">
        <v>72</v>
      </c>
      <c r="B1882" t="s">
        <v>73</v>
      </c>
      <c r="C1882" t="s">
        <v>74</v>
      </c>
      <c r="E1882" t="str">
        <f>"FES1162723323"</f>
        <v>FES1162723323</v>
      </c>
      <c r="F1882" s="3">
        <v>43784</v>
      </c>
      <c r="G1882">
        <v>202005</v>
      </c>
      <c r="H1882" t="s">
        <v>75</v>
      </c>
      <c r="I1882" t="s">
        <v>76</v>
      </c>
      <c r="J1882" t="s">
        <v>77</v>
      </c>
      <c r="K1882" t="s">
        <v>78</v>
      </c>
      <c r="L1882" t="s">
        <v>112</v>
      </c>
      <c r="M1882" t="s">
        <v>113</v>
      </c>
      <c r="N1882" t="s">
        <v>2237</v>
      </c>
      <c r="O1882" t="s">
        <v>82</v>
      </c>
      <c r="P1882" t="str">
        <f>"2170715400                    "</f>
        <v xml:space="preserve">2170715400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8.58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0.7</v>
      </c>
      <c r="BJ1882">
        <v>1.5</v>
      </c>
      <c r="BK1882">
        <v>1.5</v>
      </c>
      <c r="BL1882" s="4">
        <v>50.45</v>
      </c>
      <c r="BM1882" s="4">
        <v>7.57</v>
      </c>
      <c r="BN1882" s="4">
        <v>58.02</v>
      </c>
      <c r="BO1882" s="4">
        <v>58.02</v>
      </c>
      <c r="BQ1882" t="s">
        <v>337</v>
      </c>
      <c r="BR1882" t="s">
        <v>84</v>
      </c>
      <c r="BS1882" s="3">
        <v>43787</v>
      </c>
      <c r="BT1882" s="5">
        <v>0.41944444444444445</v>
      </c>
      <c r="BU1882" t="s">
        <v>2238</v>
      </c>
      <c r="BV1882" t="s">
        <v>86</v>
      </c>
      <c r="BY1882">
        <v>7293.44</v>
      </c>
      <c r="CC1882" t="s">
        <v>113</v>
      </c>
      <c r="CD1882">
        <v>4001</v>
      </c>
      <c r="CE1882" t="s">
        <v>88</v>
      </c>
      <c r="CF1882" s="3">
        <v>43788</v>
      </c>
      <c r="CI1882">
        <v>1</v>
      </c>
      <c r="CJ1882">
        <v>1</v>
      </c>
      <c r="CK1882">
        <v>21</v>
      </c>
      <c r="CL1882" t="s">
        <v>89</v>
      </c>
    </row>
    <row r="1883" spans="1:90">
      <c r="A1883" t="s">
        <v>72</v>
      </c>
      <c r="B1883" t="s">
        <v>73</v>
      </c>
      <c r="C1883" t="s">
        <v>74</v>
      </c>
      <c r="E1883" t="str">
        <f>"FES1162723370"</f>
        <v>FES1162723370</v>
      </c>
      <c r="F1883" s="3">
        <v>43784</v>
      </c>
      <c r="G1883">
        <v>202005</v>
      </c>
      <c r="H1883" t="s">
        <v>75</v>
      </c>
      <c r="I1883" t="s">
        <v>76</v>
      </c>
      <c r="J1883" t="s">
        <v>77</v>
      </c>
      <c r="K1883" t="s">
        <v>78</v>
      </c>
      <c r="L1883" t="s">
        <v>90</v>
      </c>
      <c r="M1883" t="s">
        <v>91</v>
      </c>
      <c r="N1883" t="s">
        <v>945</v>
      </c>
      <c r="O1883" t="s">
        <v>82</v>
      </c>
      <c r="P1883" t="str">
        <f>"2170717316                    "</f>
        <v xml:space="preserve">2170717316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8.58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 s="4">
        <v>50.45</v>
      </c>
      <c r="BM1883" s="4">
        <v>7.57</v>
      </c>
      <c r="BN1883" s="4">
        <v>58.02</v>
      </c>
      <c r="BO1883" s="4">
        <v>58.02</v>
      </c>
      <c r="BQ1883" t="s">
        <v>121</v>
      </c>
      <c r="BR1883" t="s">
        <v>84</v>
      </c>
      <c r="BS1883" s="3">
        <v>43787</v>
      </c>
      <c r="BT1883" s="5">
        <v>0.35416666666666669</v>
      </c>
      <c r="BU1883" t="s">
        <v>1298</v>
      </c>
      <c r="BV1883" t="s">
        <v>86</v>
      </c>
      <c r="BY1883">
        <v>1200</v>
      </c>
      <c r="CA1883" t="s">
        <v>323</v>
      </c>
      <c r="CC1883" t="s">
        <v>91</v>
      </c>
      <c r="CD1883">
        <v>7460</v>
      </c>
      <c r="CE1883" t="s">
        <v>147</v>
      </c>
      <c r="CF1883" s="3">
        <v>43788</v>
      </c>
      <c r="CI1883">
        <v>1</v>
      </c>
      <c r="CJ1883">
        <v>1</v>
      </c>
      <c r="CK1883">
        <v>21</v>
      </c>
      <c r="CL1883" t="s">
        <v>89</v>
      </c>
    </row>
    <row r="1884" spans="1:90">
      <c r="A1884" t="s">
        <v>72</v>
      </c>
      <c r="B1884" t="s">
        <v>73</v>
      </c>
      <c r="C1884" t="s">
        <v>74</v>
      </c>
      <c r="E1884" t="str">
        <f>"FES1162723381"</f>
        <v>FES1162723381</v>
      </c>
      <c r="F1884" s="3">
        <v>43784</v>
      </c>
      <c r="G1884">
        <v>202005</v>
      </c>
      <c r="H1884" t="s">
        <v>75</v>
      </c>
      <c r="I1884" t="s">
        <v>76</v>
      </c>
      <c r="J1884" t="s">
        <v>77</v>
      </c>
      <c r="K1884" t="s">
        <v>78</v>
      </c>
      <c r="L1884" t="s">
        <v>90</v>
      </c>
      <c r="M1884" t="s">
        <v>91</v>
      </c>
      <c r="N1884" t="s">
        <v>576</v>
      </c>
      <c r="O1884" t="s">
        <v>82</v>
      </c>
      <c r="P1884" t="str">
        <f>"2170717325                    "</f>
        <v xml:space="preserve">2170717325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8.58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 s="4">
        <v>50.45</v>
      </c>
      <c r="BM1884" s="4">
        <v>7.57</v>
      </c>
      <c r="BN1884" s="4">
        <v>58.02</v>
      </c>
      <c r="BO1884" s="4">
        <v>58.02</v>
      </c>
      <c r="BQ1884" t="s">
        <v>109</v>
      </c>
      <c r="BR1884" t="s">
        <v>84</v>
      </c>
      <c r="BS1884" s="3">
        <v>43787</v>
      </c>
      <c r="BT1884" s="5">
        <v>0.33333333333333331</v>
      </c>
      <c r="BU1884" t="s">
        <v>2239</v>
      </c>
      <c r="BV1884" t="s">
        <v>86</v>
      </c>
      <c r="BY1884">
        <v>1200</v>
      </c>
      <c r="CA1884" t="s">
        <v>1146</v>
      </c>
      <c r="CC1884" t="s">
        <v>91</v>
      </c>
      <c r="CD1884">
        <v>7441</v>
      </c>
      <c r="CE1884" t="s">
        <v>147</v>
      </c>
      <c r="CF1884" s="3">
        <v>43788</v>
      </c>
      <c r="CI1884">
        <v>1</v>
      </c>
      <c r="CJ1884">
        <v>1</v>
      </c>
      <c r="CK1884">
        <v>21</v>
      </c>
      <c r="CL1884" t="s">
        <v>89</v>
      </c>
    </row>
    <row r="1885" spans="1:90">
      <c r="A1885" t="s">
        <v>72</v>
      </c>
      <c r="B1885" t="s">
        <v>73</v>
      </c>
      <c r="C1885" t="s">
        <v>74</v>
      </c>
      <c r="E1885" t="str">
        <f>"FES1162723311"</f>
        <v>FES1162723311</v>
      </c>
      <c r="F1885" s="3">
        <v>43784</v>
      </c>
      <c r="G1885">
        <v>202005</v>
      </c>
      <c r="H1885" t="s">
        <v>75</v>
      </c>
      <c r="I1885" t="s">
        <v>76</v>
      </c>
      <c r="J1885" t="s">
        <v>77</v>
      </c>
      <c r="K1885" t="s">
        <v>78</v>
      </c>
      <c r="L1885" t="s">
        <v>202</v>
      </c>
      <c r="M1885" t="s">
        <v>203</v>
      </c>
      <c r="N1885" t="s">
        <v>2240</v>
      </c>
      <c r="O1885" t="s">
        <v>82</v>
      </c>
      <c r="P1885" t="str">
        <f>"2170715288                    "</f>
        <v xml:space="preserve">2170715288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6.71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 s="4">
        <v>39.42</v>
      </c>
      <c r="BM1885" s="4">
        <v>5.91</v>
      </c>
      <c r="BN1885" s="4">
        <v>45.33</v>
      </c>
      <c r="BO1885" s="4">
        <v>45.33</v>
      </c>
      <c r="BQ1885" t="s">
        <v>2241</v>
      </c>
      <c r="BR1885" t="s">
        <v>84</v>
      </c>
      <c r="BS1885" s="3">
        <v>43787</v>
      </c>
      <c r="BT1885" s="5">
        <v>0.33263888888888887</v>
      </c>
      <c r="BU1885" t="s">
        <v>2242</v>
      </c>
      <c r="BV1885" t="s">
        <v>86</v>
      </c>
      <c r="BY1885">
        <v>1200</v>
      </c>
      <c r="CA1885" t="s">
        <v>1067</v>
      </c>
      <c r="CC1885" t="s">
        <v>203</v>
      </c>
      <c r="CD1885">
        <v>1406</v>
      </c>
      <c r="CE1885" t="s">
        <v>147</v>
      </c>
      <c r="CF1885" s="3">
        <v>43788</v>
      </c>
      <c r="CI1885">
        <v>1</v>
      </c>
      <c r="CJ1885">
        <v>1</v>
      </c>
      <c r="CK1885">
        <v>22</v>
      </c>
      <c r="CL1885" t="s">
        <v>89</v>
      </c>
    </row>
    <row r="1886" spans="1:90">
      <c r="A1886" t="s">
        <v>72</v>
      </c>
      <c r="B1886" t="s">
        <v>73</v>
      </c>
      <c r="C1886" t="s">
        <v>74</v>
      </c>
      <c r="E1886" t="str">
        <f>"FES1162723277"</f>
        <v>FES1162723277</v>
      </c>
      <c r="F1886" s="3">
        <v>43784</v>
      </c>
      <c r="G1886">
        <v>202005</v>
      </c>
      <c r="H1886" t="s">
        <v>75</v>
      </c>
      <c r="I1886" t="s">
        <v>76</v>
      </c>
      <c r="J1886" t="s">
        <v>77</v>
      </c>
      <c r="K1886" t="s">
        <v>78</v>
      </c>
      <c r="L1886" t="s">
        <v>106</v>
      </c>
      <c r="M1886" t="s">
        <v>107</v>
      </c>
      <c r="N1886" t="s">
        <v>386</v>
      </c>
      <c r="O1886" t="s">
        <v>82</v>
      </c>
      <c r="P1886" t="str">
        <f>"2170712630                    "</f>
        <v xml:space="preserve">2170712630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8.58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 s="4">
        <v>50.45</v>
      </c>
      <c r="BM1886" s="4">
        <v>7.57</v>
      </c>
      <c r="BN1886" s="4">
        <v>58.02</v>
      </c>
      <c r="BO1886" s="4">
        <v>58.02</v>
      </c>
      <c r="BQ1886" t="s">
        <v>387</v>
      </c>
      <c r="BR1886" t="s">
        <v>84</v>
      </c>
      <c r="BS1886" s="3">
        <v>43787</v>
      </c>
      <c r="BT1886" s="5">
        <v>0.41319444444444442</v>
      </c>
      <c r="BU1886" t="s">
        <v>388</v>
      </c>
      <c r="BV1886" t="s">
        <v>86</v>
      </c>
      <c r="BY1886">
        <v>1200</v>
      </c>
      <c r="CA1886" t="s">
        <v>111</v>
      </c>
      <c r="CC1886" t="s">
        <v>107</v>
      </c>
      <c r="CD1886">
        <v>6001</v>
      </c>
      <c r="CE1886" t="s">
        <v>147</v>
      </c>
      <c r="CF1886" s="3">
        <v>43788</v>
      </c>
      <c r="CI1886">
        <v>1</v>
      </c>
      <c r="CJ1886">
        <v>1</v>
      </c>
      <c r="CK1886">
        <v>21</v>
      </c>
      <c r="CL1886" t="s">
        <v>89</v>
      </c>
    </row>
    <row r="1887" spans="1:90">
      <c r="A1887" t="s">
        <v>72</v>
      </c>
      <c r="B1887" t="s">
        <v>73</v>
      </c>
      <c r="C1887" t="s">
        <v>74</v>
      </c>
      <c r="E1887" t="str">
        <f>"FES1162723332"</f>
        <v>FES1162723332</v>
      </c>
      <c r="F1887" s="3">
        <v>43784</v>
      </c>
      <c r="G1887">
        <v>202005</v>
      </c>
      <c r="H1887" t="s">
        <v>75</v>
      </c>
      <c r="I1887" t="s">
        <v>76</v>
      </c>
      <c r="J1887" t="s">
        <v>77</v>
      </c>
      <c r="K1887" t="s">
        <v>78</v>
      </c>
      <c r="L1887" t="s">
        <v>270</v>
      </c>
      <c r="M1887" t="s">
        <v>271</v>
      </c>
      <c r="N1887" t="s">
        <v>618</v>
      </c>
      <c r="O1887" t="s">
        <v>82</v>
      </c>
      <c r="P1887" t="str">
        <f>"2170715472                    "</f>
        <v xml:space="preserve">2170715472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8.58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 s="4">
        <v>50.45</v>
      </c>
      <c r="BM1887" s="4">
        <v>7.57</v>
      </c>
      <c r="BN1887" s="4">
        <v>58.02</v>
      </c>
      <c r="BO1887" s="4">
        <v>58.02</v>
      </c>
      <c r="BQ1887" t="s">
        <v>121</v>
      </c>
      <c r="BR1887" t="s">
        <v>84</v>
      </c>
      <c r="BS1887" s="3">
        <v>43787</v>
      </c>
      <c r="BT1887" s="5">
        <v>0.41388888888888892</v>
      </c>
      <c r="BU1887" t="s">
        <v>619</v>
      </c>
      <c r="BV1887" t="s">
        <v>86</v>
      </c>
      <c r="BY1887">
        <v>1200</v>
      </c>
      <c r="CA1887" t="s">
        <v>773</v>
      </c>
      <c r="CC1887" t="s">
        <v>271</v>
      </c>
      <c r="CD1887">
        <v>6220</v>
      </c>
      <c r="CE1887" t="s">
        <v>147</v>
      </c>
      <c r="CF1887" s="3">
        <v>43788</v>
      </c>
      <c r="CI1887">
        <v>1</v>
      </c>
      <c r="CJ1887">
        <v>1</v>
      </c>
      <c r="CK1887">
        <v>21</v>
      </c>
      <c r="CL1887" t="s">
        <v>89</v>
      </c>
    </row>
    <row r="1888" spans="1:90">
      <c r="A1888" t="s">
        <v>72</v>
      </c>
      <c r="B1888" t="s">
        <v>73</v>
      </c>
      <c r="C1888" t="s">
        <v>74</v>
      </c>
      <c r="E1888" t="str">
        <f>"FES1162723414"</f>
        <v>FES1162723414</v>
      </c>
      <c r="F1888" s="3">
        <v>43784</v>
      </c>
      <c r="G1888">
        <v>202005</v>
      </c>
      <c r="H1888" t="s">
        <v>75</v>
      </c>
      <c r="I1888" t="s">
        <v>76</v>
      </c>
      <c r="J1888" t="s">
        <v>77</v>
      </c>
      <c r="K1888" t="s">
        <v>78</v>
      </c>
      <c r="L1888" t="s">
        <v>296</v>
      </c>
      <c r="M1888" t="s">
        <v>297</v>
      </c>
      <c r="N1888" t="s">
        <v>1574</v>
      </c>
      <c r="O1888" t="s">
        <v>82</v>
      </c>
      <c r="P1888" t="str">
        <f>"2170717367                    "</f>
        <v xml:space="preserve">2170717367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16.63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 s="4">
        <v>97.75</v>
      </c>
      <c r="BM1888" s="4">
        <v>14.66</v>
      </c>
      <c r="BN1888" s="4">
        <v>112.41</v>
      </c>
      <c r="BO1888" s="4">
        <v>112.41</v>
      </c>
      <c r="BQ1888" t="s">
        <v>1575</v>
      </c>
      <c r="BR1888" t="s">
        <v>84</v>
      </c>
      <c r="BS1888" s="3">
        <v>43788</v>
      </c>
      <c r="BT1888" s="5">
        <v>0.38125000000000003</v>
      </c>
      <c r="BU1888" t="s">
        <v>1576</v>
      </c>
      <c r="BV1888" t="s">
        <v>86</v>
      </c>
      <c r="BY1888">
        <v>1200</v>
      </c>
      <c r="CA1888" t="s">
        <v>300</v>
      </c>
      <c r="CC1888" t="s">
        <v>297</v>
      </c>
      <c r="CD1888">
        <v>6850</v>
      </c>
      <c r="CE1888" t="s">
        <v>147</v>
      </c>
      <c r="CF1888" s="3">
        <v>43789</v>
      </c>
      <c r="CI1888">
        <v>3</v>
      </c>
      <c r="CJ1888">
        <v>2</v>
      </c>
      <c r="CK1888">
        <v>23</v>
      </c>
      <c r="CL1888" t="s">
        <v>89</v>
      </c>
    </row>
    <row r="1889" spans="1:90">
      <c r="A1889" t="s">
        <v>72</v>
      </c>
      <c r="B1889" t="s">
        <v>73</v>
      </c>
      <c r="C1889" t="s">
        <v>74</v>
      </c>
      <c r="E1889" t="str">
        <f>"FES1162723358"</f>
        <v>FES1162723358</v>
      </c>
      <c r="F1889" s="3">
        <v>43784</v>
      </c>
      <c r="G1889">
        <v>202005</v>
      </c>
      <c r="H1889" t="s">
        <v>75</v>
      </c>
      <c r="I1889" t="s">
        <v>76</v>
      </c>
      <c r="J1889" t="s">
        <v>77</v>
      </c>
      <c r="K1889" t="s">
        <v>78</v>
      </c>
      <c r="L1889" t="s">
        <v>118</v>
      </c>
      <c r="M1889" t="s">
        <v>119</v>
      </c>
      <c r="N1889" t="s">
        <v>2243</v>
      </c>
      <c r="O1889" t="s">
        <v>82</v>
      </c>
      <c r="P1889" t="str">
        <f>"2170717260                    "</f>
        <v xml:space="preserve">2170717260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8.58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 s="4">
        <v>50.45</v>
      </c>
      <c r="BM1889" s="4">
        <v>7.57</v>
      </c>
      <c r="BN1889" s="4">
        <v>58.02</v>
      </c>
      <c r="BO1889" s="4">
        <v>58.02</v>
      </c>
      <c r="BQ1889" t="s">
        <v>109</v>
      </c>
      <c r="BR1889" t="s">
        <v>84</v>
      </c>
      <c r="BS1889" s="3">
        <v>43787</v>
      </c>
      <c r="BT1889" s="5">
        <v>0.41666666666666669</v>
      </c>
      <c r="BU1889" t="s">
        <v>2244</v>
      </c>
      <c r="BV1889" t="s">
        <v>86</v>
      </c>
      <c r="BY1889">
        <v>1200</v>
      </c>
      <c r="CA1889" t="s">
        <v>132</v>
      </c>
      <c r="CC1889" t="s">
        <v>119</v>
      </c>
      <c r="CD1889">
        <v>3201</v>
      </c>
      <c r="CE1889" t="s">
        <v>147</v>
      </c>
      <c r="CF1889" s="3">
        <v>43788</v>
      </c>
      <c r="CI1889">
        <v>1</v>
      </c>
      <c r="CJ1889">
        <v>1</v>
      </c>
      <c r="CK1889">
        <v>21</v>
      </c>
      <c r="CL1889" t="s">
        <v>89</v>
      </c>
    </row>
    <row r="1890" spans="1:90">
      <c r="A1890" t="s">
        <v>72</v>
      </c>
      <c r="B1890" t="s">
        <v>73</v>
      </c>
      <c r="C1890" t="s">
        <v>74</v>
      </c>
      <c r="E1890" t="str">
        <f>"FES1162723280"</f>
        <v>FES1162723280</v>
      </c>
      <c r="F1890" s="3">
        <v>43784</v>
      </c>
      <c r="G1890">
        <v>202005</v>
      </c>
      <c r="H1890" t="s">
        <v>75</v>
      </c>
      <c r="I1890" t="s">
        <v>76</v>
      </c>
      <c r="J1890" t="s">
        <v>77</v>
      </c>
      <c r="K1890" t="s">
        <v>78</v>
      </c>
      <c r="L1890" t="s">
        <v>79</v>
      </c>
      <c r="M1890" t="s">
        <v>80</v>
      </c>
      <c r="N1890" t="s">
        <v>458</v>
      </c>
      <c r="O1890" t="s">
        <v>82</v>
      </c>
      <c r="P1890" t="str">
        <f>"2170713546                    "</f>
        <v xml:space="preserve">2170713546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8.58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 s="4">
        <v>50.45</v>
      </c>
      <c r="BM1890" s="4">
        <v>7.57</v>
      </c>
      <c r="BN1890" s="4">
        <v>58.02</v>
      </c>
      <c r="BO1890" s="4">
        <v>58.02</v>
      </c>
      <c r="BQ1890" t="s">
        <v>109</v>
      </c>
      <c r="BR1890" t="s">
        <v>84</v>
      </c>
      <c r="BS1890" s="3">
        <v>43787</v>
      </c>
      <c r="BT1890" s="5">
        <v>0.3298611111111111</v>
      </c>
      <c r="BU1890" t="s">
        <v>1318</v>
      </c>
      <c r="BV1890" t="s">
        <v>86</v>
      </c>
      <c r="BY1890">
        <v>1200</v>
      </c>
      <c r="CA1890" t="s">
        <v>87</v>
      </c>
      <c r="CC1890" t="s">
        <v>80</v>
      </c>
      <c r="CD1890">
        <v>6230</v>
      </c>
      <c r="CE1890" t="s">
        <v>147</v>
      </c>
      <c r="CF1890" s="3">
        <v>43788</v>
      </c>
      <c r="CI1890">
        <v>1</v>
      </c>
      <c r="CJ1890">
        <v>1</v>
      </c>
      <c r="CK1890">
        <v>21</v>
      </c>
      <c r="CL1890" t="s">
        <v>89</v>
      </c>
    </row>
    <row r="1891" spans="1:90">
      <c r="A1891" t="s">
        <v>72</v>
      </c>
      <c r="B1891" t="s">
        <v>73</v>
      </c>
      <c r="C1891" t="s">
        <v>74</v>
      </c>
      <c r="E1891" t="str">
        <f>"FES1162723324"</f>
        <v>FES1162723324</v>
      </c>
      <c r="F1891" s="3">
        <v>43784</v>
      </c>
      <c r="G1891">
        <v>202005</v>
      </c>
      <c r="H1891" t="s">
        <v>75</v>
      </c>
      <c r="I1891" t="s">
        <v>76</v>
      </c>
      <c r="J1891" t="s">
        <v>77</v>
      </c>
      <c r="K1891" t="s">
        <v>78</v>
      </c>
      <c r="L1891" t="s">
        <v>124</v>
      </c>
      <c r="M1891" t="s">
        <v>125</v>
      </c>
      <c r="N1891" t="s">
        <v>642</v>
      </c>
      <c r="O1891" t="s">
        <v>82</v>
      </c>
      <c r="P1891" t="str">
        <f>"2170715410                    "</f>
        <v xml:space="preserve">2170715410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6.71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 s="4">
        <v>39.42</v>
      </c>
      <c r="BM1891" s="4">
        <v>5.91</v>
      </c>
      <c r="BN1891" s="4">
        <v>45.33</v>
      </c>
      <c r="BO1891" s="4">
        <v>45.33</v>
      </c>
      <c r="BQ1891" t="s">
        <v>2245</v>
      </c>
      <c r="BR1891" t="s">
        <v>84</v>
      </c>
      <c r="BS1891" s="3">
        <v>43787</v>
      </c>
      <c r="BT1891" s="5">
        <v>0.42986111111111108</v>
      </c>
      <c r="BU1891" t="s">
        <v>2245</v>
      </c>
      <c r="BV1891" t="s">
        <v>86</v>
      </c>
      <c r="BY1891">
        <v>1200</v>
      </c>
      <c r="CA1891" t="s">
        <v>2186</v>
      </c>
      <c r="CC1891" t="s">
        <v>125</v>
      </c>
      <c r="CD1891">
        <v>2091</v>
      </c>
      <c r="CE1891" t="s">
        <v>147</v>
      </c>
      <c r="CF1891" s="3">
        <v>43789</v>
      </c>
      <c r="CI1891">
        <v>1</v>
      </c>
      <c r="CJ1891">
        <v>1</v>
      </c>
      <c r="CK1891">
        <v>22</v>
      </c>
      <c r="CL1891" t="s">
        <v>89</v>
      </c>
    </row>
    <row r="1892" spans="1:90">
      <c r="A1892" t="s">
        <v>72</v>
      </c>
      <c r="B1892" t="s">
        <v>73</v>
      </c>
      <c r="C1892" t="s">
        <v>74</v>
      </c>
      <c r="E1892" t="str">
        <f>"FES1162723319"</f>
        <v>FES1162723319</v>
      </c>
      <c r="F1892" s="3">
        <v>43784</v>
      </c>
      <c r="G1892">
        <v>202005</v>
      </c>
      <c r="H1892" t="s">
        <v>75</v>
      </c>
      <c r="I1892" t="s">
        <v>76</v>
      </c>
      <c r="J1892" t="s">
        <v>77</v>
      </c>
      <c r="K1892" t="s">
        <v>78</v>
      </c>
      <c r="L1892" t="s">
        <v>691</v>
      </c>
      <c r="M1892" t="s">
        <v>692</v>
      </c>
      <c r="N1892" t="s">
        <v>1772</v>
      </c>
      <c r="O1892" t="s">
        <v>82</v>
      </c>
      <c r="P1892" t="str">
        <f>"2170715344                    "</f>
        <v xml:space="preserve">2170715344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6.71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 s="4">
        <v>39.42</v>
      </c>
      <c r="BM1892" s="4">
        <v>5.91</v>
      </c>
      <c r="BN1892" s="4">
        <v>45.33</v>
      </c>
      <c r="BO1892" s="4">
        <v>45.33</v>
      </c>
      <c r="BQ1892" t="s">
        <v>1773</v>
      </c>
      <c r="BR1892" t="s">
        <v>84</v>
      </c>
      <c r="BS1892" s="3">
        <v>43787</v>
      </c>
      <c r="BT1892" s="5">
        <v>0.33333333333333331</v>
      </c>
      <c r="BU1892" t="s">
        <v>2246</v>
      </c>
      <c r="BV1892" t="s">
        <v>86</v>
      </c>
      <c r="BY1892">
        <v>1200</v>
      </c>
      <c r="CC1892" t="s">
        <v>692</v>
      </c>
      <c r="CD1892">
        <v>1559</v>
      </c>
      <c r="CE1892" t="s">
        <v>147</v>
      </c>
      <c r="CF1892" s="3">
        <v>43789</v>
      </c>
      <c r="CI1892">
        <v>1</v>
      </c>
      <c r="CJ1892">
        <v>1</v>
      </c>
      <c r="CK1892">
        <v>22</v>
      </c>
      <c r="CL1892" t="s">
        <v>89</v>
      </c>
    </row>
    <row r="1893" spans="1:90">
      <c r="A1893" t="s">
        <v>72</v>
      </c>
      <c r="B1893" t="s">
        <v>73</v>
      </c>
      <c r="C1893" t="s">
        <v>74</v>
      </c>
      <c r="E1893" t="str">
        <f>"FES1162723371"</f>
        <v>FES1162723371</v>
      </c>
      <c r="F1893" s="3">
        <v>43784</v>
      </c>
      <c r="G1893">
        <v>202005</v>
      </c>
      <c r="H1893" t="s">
        <v>75</v>
      </c>
      <c r="I1893" t="s">
        <v>76</v>
      </c>
      <c r="J1893" t="s">
        <v>77</v>
      </c>
      <c r="K1893" t="s">
        <v>78</v>
      </c>
      <c r="L1893" t="s">
        <v>124</v>
      </c>
      <c r="M1893" t="s">
        <v>125</v>
      </c>
      <c r="N1893" t="s">
        <v>218</v>
      </c>
      <c r="O1893" t="s">
        <v>82</v>
      </c>
      <c r="P1893" t="str">
        <f>"217071317                     "</f>
        <v xml:space="preserve">217071317 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6.71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 s="4">
        <v>39.42</v>
      </c>
      <c r="BM1893" s="4">
        <v>5.91</v>
      </c>
      <c r="BN1893" s="4">
        <v>45.33</v>
      </c>
      <c r="BO1893" s="4">
        <v>45.33</v>
      </c>
      <c r="BQ1893" t="s">
        <v>121</v>
      </c>
      <c r="BR1893" t="s">
        <v>84</v>
      </c>
      <c r="BS1893" s="3">
        <v>43787</v>
      </c>
      <c r="BT1893" s="5">
        <v>0.43124999999999997</v>
      </c>
      <c r="BU1893" t="s">
        <v>2247</v>
      </c>
      <c r="BV1893" t="s">
        <v>86</v>
      </c>
      <c r="BY1893">
        <v>1200</v>
      </c>
      <c r="CA1893" t="s">
        <v>837</v>
      </c>
      <c r="CC1893" t="s">
        <v>125</v>
      </c>
      <c r="CD1893">
        <v>2094</v>
      </c>
      <c r="CE1893" t="s">
        <v>147</v>
      </c>
      <c r="CF1893" s="3">
        <v>43789</v>
      </c>
      <c r="CI1893">
        <v>1</v>
      </c>
      <c r="CJ1893">
        <v>1</v>
      </c>
      <c r="CK1893">
        <v>22</v>
      </c>
      <c r="CL1893" t="s">
        <v>89</v>
      </c>
    </row>
    <row r="1894" spans="1:90">
      <c r="A1894" t="s">
        <v>72</v>
      </c>
      <c r="B1894" t="s">
        <v>73</v>
      </c>
      <c r="C1894" t="s">
        <v>74</v>
      </c>
      <c r="E1894" t="str">
        <f>"FES1162723351"</f>
        <v>FES1162723351</v>
      </c>
      <c r="F1894" s="3">
        <v>43784</v>
      </c>
      <c r="G1894">
        <v>202005</v>
      </c>
      <c r="H1894" t="s">
        <v>75</v>
      </c>
      <c r="I1894" t="s">
        <v>76</v>
      </c>
      <c r="J1894" t="s">
        <v>77</v>
      </c>
      <c r="K1894" t="s">
        <v>78</v>
      </c>
      <c r="L1894" t="s">
        <v>106</v>
      </c>
      <c r="M1894" t="s">
        <v>107</v>
      </c>
      <c r="N1894" t="s">
        <v>1878</v>
      </c>
      <c r="O1894" t="s">
        <v>82</v>
      </c>
      <c r="P1894" t="str">
        <f>"2170716723                    "</f>
        <v xml:space="preserve">2170716723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8.58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 s="4">
        <v>50.45</v>
      </c>
      <c r="BM1894" s="4">
        <v>7.57</v>
      </c>
      <c r="BN1894" s="4">
        <v>58.02</v>
      </c>
      <c r="BO1894" s="4">
        <v>58.02</v>
      </c>
      <c r="BQ1894" t="s">
        <v>121</v>
      </c>
      <c r="BR1894" t="s">
        <v>84</v>
      </c>
      <c r="BS1894" s="3">
        <v>43789</v>
      </c>
      <c r="BT1894" s="5">
        <v>0.34513888888888888</v>
      </c>
      <c r="BU1894" t="s">
        <v>1687</v>
      </c>
      <c r="BV1894" t="s">
        <v>89</v>
      </c>
      <c r="BW1894" t="s">
        <v>956</v>
      </c>
      <c r="BX1894" t="s">
        <v>2248</v>
      </c>
      <c r="BY1894">
        <v>1200</v>
      </c>
      <c r="CA1894" t="s">
        <v>2249</v>
      </c>
      <c r="CC1894" t="s">
        <v>107</v>
      </c>
      <c r="CD1894">
        <v>6000</v>
      </c>
      <c r="CE1894" t="s">
        <v>147</v>
      </c>
      <c r="CF1894" s="3">
        <v>43790</v>
      </c>
      <c r="CI1894">
        <v>1</v>
      </c>
      <c r="CJ1894">
        <v>3</v>
      </c>
      <c r="CK1894">
        <v>21</v>
      </c>
      <c r="CL1894" t="s">
        <v>89</v>
      </c>
    </row>
    <row r="1895" spans="1:90">
      <c r="A1895" t="s">
        <v>72</v>
      </c>
      <c r="B1895" t="s">
        <v>73</v>
      </c>
      <c r="C1895" t="s">
        <v>74</v>
      </c>
      <c r="E1895" t="str">
        <f>"FES1162723327"</f>
        <v>FES1162723327</v>
      </c>
      <c r="F1895" s="3">
        <v>43784</v>
      </c>
      <c r="G1895">
        <v>202005</v>
      </c>
      <c r="H1895" t="s">
        <v>75</v>
      </c>
      <c r="I1895" t="s">
        <v>76</v>
      </c>
      <c r="J1895" t="s">
        <v>77</v>
      </c>
      <c r="K1895" t="s">
        <v>78</v>
      </c>
      <c r="L1895" t="s">
        <v>118</v>
      </c>
      <c r="M1895" t="s">
        <v>119</v>
      </c>
      <c r="N1895" t="s">
        <v>248</v>
      </c>
      <c r="O1895" t="s">
        <v>82</v>
      </c>
      <c r="P1895" t="str">
        <f>"2170715426                    "</f>
        <v xml:space="preserve">2170715426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8.58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 s="4">
        <v>50.45</v>
      </c>
      <c r="BM1895" s="4">
        <v>7.57</v>
      </c>
      <c r="BN1895" s="4">
        <v>58.02</v>
      </c>
      <c r="BO1895" s="4">
        <v>58.02</v>
      </c>
      <c r="BQ1895" t="s">
        <v>121</v>
      </c>
      <c r="BR1895" t="s">
        <v>84</v>
      </c>
      <c r="BS1895" s="3">
        <v>43787</v>
      </c>
      <c r="BT1895" s="5">
        <v>0.37986111111111115</v>
      </c>
      <c r="BU1895" t="s">
        <v>623</v>
      </c>
      <c r="BV1895" t="s">
        <v>86</v>
      </c>
      <c r="BY1895">
        <v>1200</v>
      </c>
      <c r="CA1895" t="s">
        <v>435</v>
      </c>
      <c r="CC1895" t="s">
        <v>119</v>
      </c>
      <c r="CD1895">
        <v>3212</v>
      </c>
      <c r="CE1895" t="s">
        <v>147</v>
      </c>
      <c r="CF1895" s="3">
        <v>43788</v>
      </c>
      <c r="CI1895">
        <v>1</v>
      </c>
      <c r="CJ1895">
        <v>1</v>
      </c>
      <c r="CK1895">
        <v>21</v>
      </c>
      <c r="CL1895" t="s">
        <v>89</v>
      </c>
    </row>
    <row r="1896" spans="1:90">
      <c r="A1896" t="s">
        <v>72</v>
      </c>
      <c r="B1896" t="s">
        <v>73</v>
      </c>
      <c r="C1896" t="s">
        <v>74</v>
      </c>
      <c r="E1896" t="str">
        <f>"FES1162723337"</f>
        <v>FES1162723337</v>
      </c>
      <c r="F1896" s="3">
        <v>43784</v>
      </c>
      <c r="G1896">
        <v>202005</v>
      </c>
      <c r="H1896" t="s">
        <v>75</v>
      </c>
      <c r="I1896" t="s">
        <v>76</v>
      </c>
      <c r="J1896" t="s">
        <v>77</v>
      </c>
      <c r="K1896" t="s">
        <v>78</v>
      </c>
      <c r="L1896" t="s">
        <v>79</v>
      </c>
      <c r="M1896" t="s">
        <v>80</v>
      </c>
      <c r="N1896" t="s">
        <v>908</v>
      </c>
      <c r="O1896" t="s">
        <v>82</v>
      </c>
      <c r="P1896" t="str">
        <f>"2170715613                    "</f>
        <v xml:space="preserve">2170715613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8.58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 s="4">
        <v>50.45</v>
      </c>
      <c r="BM1896" s="4">
        <v>7.57</v>
      </c>
      <c r="BN1896" s="4">
        <v>58.02</v>
      </c>
      <c r="BO1896" s="4">
        <v>58.02</v>
      </c>
      <c r="BQ1896" t="s">
        <v>909</v>
      </c>
      <c r="BR1896" t="s">
        <v>84</v>
      </c>
      <c r="BS1896" s="3">
        <v>43787</v>
      </c>
      <c r="BT1896" s="5">
        <v>0.33333333333333331</v>
      </c>
      <c r="BU1896" t="s">
        <v>2250</v>
      </c>
      <c r="BV1896" t="s">
        <v>86</v>
      </c>
      <c r="BY1896">
        <v>1200</v>
      </c>
      <c r="CA1896" t="s">
        <v>87</v>
      </c>
      <c r="CC1896" t="s">
        <v>80</v>
      </c>
      <c r="CD1896">
        <v>6230</v>
      </c>
      <c r="CE1896" t="s">
        <v>147</v>
      </c>
      <c r="CI1896">
        <v>1</v>
      </c>
      <c r="CJ1896">
        <v>1</v>
      </c>
      <c r="CK1896">
        <v>21</v>
      </c>
      <c r="CL1896" t="s">
        <v>89</v>
      </c>
    </row>
    <row r="1897" spans="1:90">
      <c r="A1897" t="s">
        <v>72</v>
      </c>
      <c r="B1897" t="s">
        <v>73</v>
      </c>
      <c r="C1897" t="s">
        <v>74</v>
      </c>
      <c r="E1897" t="str">
        <f>"FES1162723335"</f>
        <v>FES1162723335</v>
      </c>
      <c r="F1897" s="3">
        <v>43784</v>
      </c>
      <c r="G1897">
        <v>202005</v>
      </c>
      <c r="H1897" t="s">
        <v>75</v>
      </c>
      <c r="I1897" t="s">
        <v>76</v>
      </c>
      <c r="J1897" t="s">
        <v>77</v>
      </c>
      <c r="K1897" t="s">
        <v>78</v>
      </c>
      <c r="L1897" t="s">
        <v>90</v>
      </c>
      <c r="M1897" t="s">
        <v>91</v>
      </c>
      <c r="N1897" t="s">
        <v>533</v>
      </c>
      <c r="O1897" t="s">
        <v>82</v>
      </c>
      <c r="P1897" t="str">
        <f>"2170715515                    "</f>
        <v xml:space="preserve">2170715515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8.58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 s="4">
        <v>50.45</v>
      </c>
      <c r="BM1897" s="4">
        <v>7.57</v>
      </c>
      <c r="BN1897" s="4">
        <v>58.02</v>
      </c>
      <c r="BO1897" s="4">
        <v>58.02</v>
      </c>
      <c r="BQ1897" t="s">
        <v>161</v>
      </c>
      <c r="BR1897" t="s">
        <v>84</v>
      </c>
      <c r="BS1897" s="3">
        <v>43787</v>
      </c>
      <c r="BT1897" s="5">
        <v>0.38958333333333334</v>
      </c>
      <c r="BU1897" t="s">
        <v>534</v>
      </c>
      <c r="BV1897" t="s">
        <v>86</v>
      </c>
      <c r="BY1897">
        <v>1200</v>
      </c>
      <c r="CA1897" t="s">
        <v>323</v>
      </c>
      <c r="CC1897" t="s">
        <v>91</v>
      </c>
      <c r="CD1897">
        <v>7460</v>
      </c>
      <c r="CE1897" t="s">
        <v>147</v>
      </c>
      <c r="CF1897" s="3">
        <v>43788</v>
      </c>
      <c r="CI1897">
        <v>1</v>
      </c>
      <c r="CJ1897">
        <v>1</v>
      </c>
      <c r="CK1897">
        <v>21</v>
      </c>
      <c r="CL1897" t="s">
        <v>89</v>
      </c>
    </row>
    <row r="1898" spans="1:90">
      <c r="A1898" t="s">
        <v>72</v>
      </c>
      <c r="B1898" t="s">
        <v>73</v>
      </c>
      <c r="C1898" t="s">
        <v>74</v>
      </c>
      <c r="E1898" t="str">
        <f>"FES1162723283"</f>
        <v>FES1162723283</v>
      </c>
      <c r="F1898" s="3">
        <v>43784</v>
      </c>
      <c r="G1898">
        <v>202005</v>
      </c>
      <c r="H1898" t="s">
        <v>75</v>
      </c>
      <c r="I1898" t="s">
        <v>76</v>
      </c>
      <c r="J1898" t="s">
        <v>77</v>
      </c>
      <c r="K1898" t="s">
        <v>78</v>
      </c>
      <c r="L1898" t="s">
        <v>214</v>
      </c>
      <c r="M1898" t="s">
        <v>214</v>
      </c>
      <c r="N1898" t="s">
        <v>314</v>
      </c>
      <c r="O1898" t="s">
        <v>82</v>
      </c>
      <c r="P1898" t="str">
        <f>"2170713902                    "</f>
        <v xml:space="preserve">2170713902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16.63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 s="4">
        <v>97.75</v>
      </c>
      <c r="BM1898" s="4">
        <v>14.66</v>
      </c>
      <c r="BN1898" s="4">
        <v>112.41</v>
      </c>
      <c r="BO1898" s="4">
        <v>112.41</v>
      </c>
      <c r="BQ1898" t="s">
        <v>109</v>
      </c>
      <c r="BR1898" t="s">
        <v>84</v>
      </c>
      <c r="BS1898" s="3">
        <v>43787</v>
      </c>
      <c r="BT1898" s="5">
        <v>0.46180555555555558</v>
      </c>
      <c r="BU1898" t="s">
        <v>315</v>
      </c>
      <c r="BV1898" t="s">
        <v>86</v>
      </c>
      <c r="BY1898">
        <v>1200</v>
      </c>
      <c r="CA1898" t="s">
        <v>217</v>
      </c>
      <c r="CC1898" t="s">
        <v>214</v>
      </c>
      <c r="CD1898">
        <v>7646</v>
      </c>
      <c r="CE1898" t="s">
        <v>147</v>
      </c>
      <c r="CF1898" s="3">
        <v>43788</v>
      </c>
      <c r="CI1898">
        <v>1</v>
      </c>
      <c r="CJ1898">
        <v>1</v>
      </c>
      <c r="CK1898">
        <v>23</v>
      </c>
      <c r="CL1898" t="s">
        <v>89</v>
      </c>
    </row>
    <row r="1899" spans="1:90">
      <c r="A1899" t="s">
        <v>72</v>
      </c>
      <c r="B1899" t="s">
        <v>73</v>
      </c>
      <c r="C1899" t="s">
        <v>74</v>
      </c>
      <c r="E1899" t="str">
        <f>"FES1162723382"</f>
        <v>FES1162723382</v>
      </c>
      <c r="F1899" s="3">
        <v>43784</v>
      </c>
      <c r="G1899">
        <v>202005</v>
      </c>
      <c r="H1899" t="s">
        <v>75</v>
      </c>
      <c r="I1899" t="s">
        <v>76</v>
      </c>
      <c r="J1899" t="s">
        <v>77</v>
      </c>
      <c r="K1899" t="s">
        <v>78</v>
      </c>
      <c r="L1899" t="s">
        <v>90</v>
      </c>
      <c r="M1899" t="s">
        <v>91</v>
      </c>
      <c r="N1899" t="s">
        <v>650</v>
      </c>
      <c r="O1899" t="s">
        <v>82</v>
      </c>
      <c r="P1899" t="str">
        <f>"2170717327                    "</f>
        <v xml:space="preserve">2170717327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8.58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 s="4">
        <v>50.45</v>
      </c>
      <c r="BM1899" s="4">
        <v>7.57</v>
      </c>
      <c r="BN1899" s="4">
        <v>58.02</v>
      </c>
      <c r="BO1899" s="4">
        <v>58.02</v>
      </c>
      <c r="BQ1899" t="s">
        <v>121</v>
      </c>
      <c r="BR1899" t="s">
        <v>84</v>
      </c>
      <c r="BS1899" s="3">
        <v>43787</v>
      </c>
      <c r="BT1899" s="5">
        <v>0.3666666666666667</v>
      </c>
      <c r="BU1899" t="s">
        <v>2251</v>
      </c>
      <c r="BV1899" t="s">
        <v>86</v>
      </c>
      <c r="BY1899">
        <v>1200</v>
      </c>
      <c r="CA1899" t="s">
        <v>1146</v>
      </c>
      <c r="CC1899" t="s">
        <v>91</v>
      </c>
      <c r="CD1899">
        <v>7441</v>
      </c>
      <c r="CE1899" t="s">
        <v>147</v>
      </c>
      <c r="CF1899" s="3">
        <v>43788</v>
      </c>
      <c r="CI1899">
        <v>1</v>
      </c>
      <c r="CJ1899">
        <v>1</v>
      </c>
      <c r="CK1899">
        <v>21</v>
      </c>
      <c r="CL1899" t="s">
        <v>89</v>
      </c>
    </row>
    <row r="1900" spans="1:90">
      <c r="A1900" t="s">
        <v>72</v>
      </c>
      <c r="B1900" t="s">
        <v>73</v>
      </c>
      <c r="C1900" t="s">
        <v>74</v>
      </c>
      <c r="E1900" t="str">
        <f>"FES1162723397"</f>
        <v>FES1162723397</v>
      </c>
      <c r="F1900" s="3">
        <v>43784</v>
      </c>
      <c r="G1900">
        <v>202005</v>
      </c>
      <c r="H1900" t="s">
        <v>75</v>
      </c>
      <c r="I1900" t="s">
        <v>76</v>
      </c>
      <c r="J1900" t="s">
        <v>77</v>
      </c>
      <c r="K1900" t="s">
        <v>78</v>
      </c>
      <c r="L1900" t="s">
        <v>90</v>
      </c>
      <c r="M1900" t="s">
        <v>91</v>
      </c>
      <c r="N1900" t="s">
        <v>505</v>
      </c>
      <c r="O1900" t="s">
        <v>82</v>
      </c>
      <c r="P1900" t="str">
        <f>"2170717342                    "</f>
        <v xml:space="preserve">2170717342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21.45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4.8</v>
      </c>
      <c r="BJ1900">
        <v>1.9</v>
      </c>
      <c r="BK1900">
        <v>5</v>
      </c>
      <c r="BL1900" s="4">
        <v>126.08</v>
      </c>
      <c r="BM1900" s="4">
        <v>18.91</v>
      </c>
      <c r="BN1900" s="4">
        <v>144.99</v>
      </c>
      <c r="BO1900" s="4">
        <v>144.99</v>
      </c>
      <c r="BQ1900" t="s">
        <v>121</v>
      </c>
      <c r="BR1900" t="s">
        <v>84</v>
      </c>
      <c r="BS1900" s="3">
        <v>43787</v>
      </c>
      <c r="BT1900" s="5">
        <v>0.3444444444444445</v>
      </c>
      <c r="BU1900" t="s">
        <v>1686</v>
      </c>
      <c r="BV1900" t="s">
        <v>86</v>
      </c>
      <c r="BY1900">
        <v>9457.15</v>
      </c>
      <c r="CA1900" t="s">
        <v>1121</v>
      </c>
      <c r="CC1900" t="s">
        <v>91</v>
      </c>
      <c r="CD1900">
        <v>7764</v>
      </c>
      <c r="CE1900" t="s">
        <v>88</v>
      </c>
      <c r="CF1900" s="3">
        <v>43788</v>
      </c>
      <c r="CI1900">
        <v>1</v>
      </c>
      <c r="CJ1900">
        <v>1</v>
      </c>
      <c r="CK1900">
        <v>21</v>
      </c>
      <c r="CL1900" t="s">
        <v>89</v>
      </c>
    </row>
    <row r="1901" spans="1:90">
      <c r="A1901" t="s">
        <v>72</v>
      </c>
      <c r="B1901" t="s">
        <v>73</v>
      </c>
      <c r="C1901" t="s">
        <v>74</v>
      </c>
      <c r="E1901" t="str">
        <f>"FES1162723295"</f>
        <v>FES1162723295</v>
      </c>
      <c r="F1901" s="3">
        <v>43784</v>
      </c>
      <c r="G1901">
        <v>202005</v>
      </c>
      <c r="H1901" t="s">
        <v>75</v>
      </c>
      <c r="I1901" t="s">
        <v>76</v>
      </c>
      <c r="J1901" t="s">
        <v>77</v>
      </c>
      <c r="K1901" t="s">
        <v>78</v>
      </c>
      <c r="L1901" t="s">
        <v>124</v>
      </c>
      <c r="M1901" t="s">
        <v>125</v>
      </c>
      <c r="N1901" t="s">
        <v>218</v>
      </c>
      <c r="O1901" t="s">
        <v>82</v>
      </c>
      <c r="P1901" t="str">
        <f>"2170715101                    "</f>
        <v xml:space="preserve">2170715101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6.71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 s="4">
        <v>39.42</v>
      </c>
      <c r="BM1901" s="4">
        <v>5.91</v>
      </c>
      <c r="BN1901" s="4">
        <v>45.33</v>
      </c>
      <c r="BO1901" s="4">
        <v>45.33</v>
      </c>
      <c r="BQ1901" t="s">
        <v>121</v>
      </c>
      <c r="BR1901" t="s">
        <v>84</v>
      </c>
      <c r="BS1901" s="3">
        <v>43787</v>
      </c>
      <c r="BT1901" s="5">
        <v>0.43055555555555558</v>
      </c>
      <c r="BU1901" t="s">
        <v>1995</v>
      </c>
      <c r="BV1901" t="s">
        <v>86</v>
      </c>
      <c r="BY1901">
        <v>1200</v>
      </c>
      <c r="CA1901" t="s">
        <v>837</v>
      </c>
      <c r="CC1901" t="s">
        <v>125</v>
      </c>
      <c r="CD1901">
        <v>2094</v>
      </c>
      <c r="CE1901" t="s">
        <v>147</v>
      </c>
      <c r="CF1901" s="3">
        <v>43789</v>
      </c>
      <c r="CI1901">
        <v>1</v>
      </c>
      <c r="CJ1901">
        <v>1</v>
      </c>
      <c r="CK1901">
        <v>22</v>
      </c>
      <c r="CL1901" t="s">
        <v>89</v>
      </c>
    </row>
    <row r="1902" spans="1:90">
      <c r="A1902" t="s">
        <v>72</v>
      </c>
      <c r="B1902" t="s">
        <v>73</v>
      </c>
      <c r="C1902" t="s">
        <v>74</v>
      </c>
      <c r="E1902" t="str">
        <f>"FES1162723343"</f>
        <v>FES1162723343</v>
      </c>
      <c r="F1902" s="3">
        <v>43784</v>
      </c>
      <c r="G1902">
        <v>202005</v>
      </c>
      <c r="H1902" t="s">
        <v>75</v>
      </c>
      <c r="I1902" t="s">
        <v>76</v>
      </c>
      <c r="J1902" t="s">
        <v>77</v>
      </c>
      <c r="K1902" t="s">
        <v>78</v>
      </c>
      <c r="L1902" t="s">
        <v>133</v>
      </c>
      <c r="M1902" t="s">
        <v>134</v>
      </c>
      <c r="N1902" t="s">
        <v>1628</v>
      </c>
      <c r="O1902" t="s">
        <v>82</v>
      </c>
      <c r="P1902" t="str">
        <f>"2170716047                    "</f>
        <v xml:space="preserve">2170716047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8.58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 s="4">
        <v>50.45</v>
      </c>
      <c r="BM1902" s="4">
        <v>7.57</v>
      </c>
      <c r="BN1902" s="4">
        <v>58.02</v>
      </c>
      <c r="BO1902" s="4">
        <v>58.02</v>
      </c>
      <c r="BQ1902" t="s">
        <v>187</v>
      </c>
      <c r="BR1902" t="s">
        <v>84</v>
      </c>
      <c r="BS1902" s="3">
        <v>43787</v>
      </c>
      <c r="BT1902" s="5">
        <v>0.3888888888888889</v>
      </c>
      <c r="BU1902" t="s">
        <v>1629</v>
      </c>
      <c r="BV1902" t="s">
        <v>86</v>
      </c>
      <c r="BY1902">
        <v>1200</v>
      </c>
      <c r="CA1902" t="s">
        <v>698</v>
      </c>
      <c r="CC1902" t="s">
        <v>134</v>
      </c>
      <c r="CD1902">
        <v>5201</v>
      </c>
      <c r="CE1902" t="s">
        <v>147</v>
      </c>
      <c r="CF1902" s="3">
        <v>43788</v>
      </c>
      <c r="CI1902">
        <v>1</v>
      </c>
      <c r="CJ1902">
        <v>1</v>
      </c>
      <c r="CK1902">
        <v>21</v>
      </c>
      <c r="CL1902" t="s">
        <v>89</v>
      </c>
    </row>
    <row r="1903" spans="1:90">
      <c r="A1903" t="s">
        <v>72</v>
      </c>
      <c r="B1903" t="s">
        <v>73</v>
      </c>
      <c r="C1903" t="s">
        <v>74</v>
      </c>
      <c r="E1903" t="str">
        <f>"FES1162723300"</f>
        <v>FES1162723300</v>
      </c>
      <c r="F1903" s="3">
        <v>43784</v>
      </c>
      <c r="G1903">
        <v>202005</v>
      </c>
      <c r="H1903" t="s">
        <v>75</v>
      </c>
      <c r="I1903" t="s">
        <v>76</v>
      </c>
      <c r="J1903" t="s">
        <v>77</v>
      </c>
      <c r="K1903" t="s">
        <v>78</v>
      </c>
      <c r="L1903" t="s">
        <v>133</v>
      </c>
      <c r="M1903" t="s">
        <v>134</v>
      </c>
      <c r="N1903" t="s">
        <v>135</v>
      </c>
      <c r="O1903" t="s">
        <v>82</v>
      </c>
      <c r="P1903" t="str">
        <f>"21707151876                   "</f>
        <v xml:space="preserve">21707151876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8.58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 s="4">
        <v>50.45</v>
      </c>
      <c r="BM1903" s="4">
        <v>7.57</v>
      </c>
      <c r="BN1903" s="4">
        <v>58.02</v>
      </c>
      <c r="BO1903" s="4">
        <v>58.02</v>
      </c>
      <c r="BQ1903" t="s">
        <v>109</v>
      </c>
      <c r="BR1903" t="s">
        <v>84</v>
      </c>
      <c r="BS1903" s="3">
        <v>43787</v>
      </c>
      <c r="BT1903" s="5">
        <v>0.3430555555555555</v>
      </c>
      <c r="BU1903" t="s">
        <v>2168</v>
      </c>
      <c r="BV1903" t="s">
        <v>86</v>
      </c>
      <c r="BY1903">
        <v>1200</v>
      </c>
      <c r="CA1903" t="s">
        <v>912</v>
      </c>
      <c r="CC1903" t="s">
        <v>134</v>
      </c>
      <c r="CD1903">
        <v>5201</v>
      </c>
      <c r="CE1903" t="s">
        <v>147</v>
      </c>
      <c r="CF1903" s="3">
        <v>43788</v>
      </c>
      <c r="CI1903">
        <v>1</v>
      </c>
      <c r="CJ1903">
        <v>1</v>
      </c>
      <c r="CK1903">
        <v>21</v>
      </c>
      <c r="CL1903" t="s">
        <v>89</v>
      </c>
    </row>
    <row r="1904" spans="1:90">
      <c r="A1904" t="s">
        <v>72</v>
      </c>
      <c r="B1904" t="s">
        <v>73</v>
      </c>
      <c r="C1904" t="s">
        <v>74</v>
      </c>
      <c r="E1904" t="str">
        <f>"FES1162723269"</f>
        <v>FES1162723269</v>
      </c>
      <c r="F1904" s="3">
        <v>43784</v>
      </c>
      <c r="G1904">
        <v>202005</v>
      </c>
      <c r="H1904" t="s">
        <v>75</v>
      </c>
      <c r="I1904" t="s">
        <v>76</v>
      </c>
      <c r="J1904" t="s">
        <v>77</v>
      </c>
      <c r="K1904" t="s">
        <v>78</v>
      </c>
      <c r="L1904" t="s">
        <v>75</v>
      </c>
      <c r="M1904" t="s">
        <v>76</v>
      </c>
      <c r="N1904" t="s">
        <v>366</v>
      </c>
      <c r="O1904" t="s">
        <v>82</v>
      </c>
      <c r="P1904" t="str">
        <f>"2170716404                    "</f>
        <v xml:space="preserve">2170716404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6.71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 s="4">
        <v>39.42</v>
      </c>
      <c r="BM1904" s="4">
        <v>5.91</v>
      </c>
      <c r="BN1904" s="4">
        <v>45.33</v>
      </c>
      <c r="BO1904" s="4">
        <v>45.33</v>
      </c>
      <c r="BR1904" t="s">
        <v>84</v>
      </c>
      <c r="BS1904" s="3">
        <v>43787</v>
      </c>
      <c r="BT1904" s="5">
        <v>0.375</v>
      </c>
      <c r="BU1904" t="s">
        <v>2252</v>
      </c>
      <c r="BV1904" t="s">
        <v>86</v>
      </c>
      <c r="BY1904">
        <v>1200</v>
      </c>
      <c r="CA1904" t="s">
        <v>368</v>
      </c>
      <c r="CC1904" t="s">
        <v>76</v>
      </c>
      <c r="CD1904">
        <v>1624</v>
      </c>
      <c r="CE1904" t="s">
        <v>147</v>
      </c>
      <c r="CF1904" s="3">
        <v>43788</v>
      </c>
      <c r="CI1904">
        <v>1</v>
      </c>
      <c r="CJ1904">
        <v>1</v>
      </c>
      <c r="CK1904">
        <v>22</v>
      </c>
      <c r="CL1904" t="s">
        <v>89</v>
      </c>
    </row>
    <row r="1905" spans="1:90">
      <c r="A1905" t="s">
        <v>72</v>
      </c>
      <c r="B1905" t="s">
        <v>73</v>
      </c>
      <c r="C1905" t="s">
        <v>74</v>
      </c>
      <c r="E1905" t="str">
        <f>"FES1162723355"</f>
        <v>FES1162723355</v>
      </c>
      <c r="F1905" s="3">
        <v>43784</v>
      </c>
      <c r="G1905">
        <v>202005</v>
      </c>
      <c r="H1905" t="s">
        <v>75</v>
      </c>
      <c r="I1905" t="s">
        <v>76</v>
      </c>
      <c r="J1905" t="s">
        <v>77</v>
      </c>
      <c r="K1905" t="s">
        <v>78</v>
      </c>
      <c r="L1905" t="s">
        <v>124</v>
      </c>
      <c r="M1905" t="s">
        <v>125</v>
      </c>
      <c r="N1905" t="s">
        <v>218</v>
      </c>
      <c r="O1905" t="s">
        <v>82</v>
      </c>
      <c r="P1905" t="str">
        <f>"2170716930                    "</f>
        <v xml:space="preserve">2170716930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6.71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 s="4">
        <v>39.42</v>
      </c>
      <c r="BM1905" s="4">
        <v>5.91</v>
      </c>
      <c r="BN1905" s="4">
        <v>45.33</v>
      </c>
      <c r="BO1905" s="4">
        <v>45.33</v>
      </c>
      <c r="BQ1905" t="s">
        <v>121</v>
      </c>
      <c r="BR1905" t="s">
        <v>84</v>
      </c>
      <c r="BS1905" s="3">
        <v>43787</v>
      </c>
      <c r="BT1905" s="5">
        <v>0.43124999999999997</v>
      </c>
      <c r="BU1905" t="s">
        <v>2247</v>
      </c>
      <c r="BV1905" t="s">
        <v>86</v>
      </c>
      <c r="BY1905">
        <v>1200</v>
      </c>
      <c r="CA1905" t="s">
        <v>837</v>
      </c>
      <c r="CC1905" t="s">
        <v>125</v>
      </c>
      <c r="CD1905">
        <v>2094</v>
      </c>
      <c r="CE1905" t="s">
        <v>147</v>
      </c>
      <c r="CF1905" s="3">
        <v>43789</v>
      </c>
      <c r="CI1905">
        <v>1</v>
      </c>
      <c r="CJ1905">
        <v>1</v>
      </c>
      <c r="CK1905">
        <v>22</v>
      </c>
      <c r="CL1905" t="s">
        <v>89</v>
      </c>
    </row>
    <row r="1906" spans="1:90">
      <c r="A1906" t="s">
        <v>72</v>
      </c>
      <c r="B1906" t="s">
        <v>73</v>
      </c>
      <c r="C1906" t="s">
        <v>74</v>
      </c>
      <c r="E1906" t="str">
        <f>"FES1162723331"</f>
        <v>FES1162723331</v>
      </c>
      <c r="F1906" s="3">
        <v>43784</v>
      </c>
      <c r="G1906">
        <v>202005</v>
      </c>
      <c r="H1906" t="s">
        <v>75</v>
      </c>
      <c r="I1906" t="s">
        <v>76</v>
      </c>
      <c r="J1906" t="s">
        <v>77</v>
      </c>
      <c r="K1906" t="s">
        <v>78</v>
      </c>
      <c r="L1906" t="s">
        <v>482</v>
      </c>
      <c r="M1906" t="s">
        <v>483</v>
      </c>
      <c r="N1906" t="s">
        <v>1153</v>
      </c>
      <c r="O1906" t="s">
        <v>82</v>
      </c>
      <c r="P1906" t="str">
        <f>"21707154717                   "</f>
        <v xml:space="preserve">21707154717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6.71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 s="4">
        <v>39.42</v>
      </c>
      <c r="BM1906" s="4">
        <v>5.91</v>
      </c>
      <c r="BN1906" s="4">
        <v>45.33</v>
      </c>
      <c r="BO1906" s="4">
        <v>45.33</v>
      </c>
      <c r="BQ1906" t="s">
        <v>109</v>
      </c>
      <c r="BR1906" t="s">
        <v>84</v>
      </c>
      <c r="BS1906" s="3">
        <v>43787</v>
      </c>
      <c r="BT1906" s="5">
        <v>0.32291666666666669</v>
      </c>
      <c r="BU1906" t="s">
        <v>1702</v>
      </c>
      <c r="BV1906" t="s">
        <v>86</v>
      </c>
      <c r="BY1906">
        <v>1200</v>
      </c>
      <c r="CA1906" t="s">
        <v>1336</v>
      </c>
      <c r="CC1906" t="s">
        <v>483</v>
      </c>
      <c r="CD1906">
        <v>1459</v>
      </c>
      <c r="CE1906" t="s">
        <v>147</v>
      </c>
      <c r="CF1906" s="3">
        <v>43788</v>
      </c>
      <c r="CI1906">
        <v>1</v>
      </c>
      <c r="CJ1906">
        <v>1</v>
      </c>
      <c r="CK1906">
        <v>22</v>
      </c>
      <c r="CL1906" t="s">
        <v>89</v>
      </c>
    </row>
    <row r="1907" spans="1:90">
      <c r="A1907" t="s">
        <v>72</v>
      </c>
      <c r="B1907" t="s">
        <v>73</v>
      </c>
      <c r="C1907" t="s">
        <v>74</v>
      </c>
      <c r="E1907" t="str">
        <f>"FES1162723346"</f>
        <v>FES1162723346</v>
      </c>
      <c r="F1907" s="3">
        <v>43784</v>
      </c>
      <c r="G1907">
        <v>202005</v>
      </c>
      <c r="H1907" t="s">
        <v>75</v>
      </c>
      <c r="I1907" t="s">
        <v>76</v>
      </c>
      <c r="J1907" t="s">
        <v>77</v>
      </c>
      <c r="K1907" t="s">
        <v>78</v>
      </c>
      <c r="L1907" t="s">
        <v>691</v>
      </c>
      <c r="M1907" t="s">
        <v>692</v>
      </c>
      <c r="N1907" t="s">
        <v>1217</v>
      </c>
      <c r="O1907" t="s">
        <v>82</v>
      </c>
      <c r="P1907" t="str">
        <f>"2170716287                    "</f>
        <v xml:space="preserve">2170716287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6.71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 s="4">
        <v>39.42</v>
      </c>
      <c r="BM1907" s="4">
        <v>5.91</v>
      </c>
      <c r="BN1907" s="4">
        <v>45.33</v>
      </c>
      <c r="BO1907" s="4">
        <v>45.33</v>
      </c>
      <c r="BQ1907" t="s">
        <v>109</v>
      </c>
      <c r="BR1907" t="s">
        <v>84</v>
      </c>
      <c r="BS1907" s="3">
        <v>43787</v>
      </c>
      <c r="BT1907" s="5">
        <v>0.33333333333333331</v>
      </c>
      <c r="BU1907" t="s">
        <v>2253</v>
      </c>
      <c r="BV1907" t="s">
        <v>86</v>
      </c>
      <c r="BY1907">
        <v>1200</v>
      </c>
      <c r="CC1907" t="s">
        <v>692</v>
      </c>
      <c r="CD1907">
        <v>1559</v>
      </c>
      <c r="CE1907" t="s">
        <v>147</v>
      </c>
      <c r="CF1907" s="3">
        <v>43789</v>
      </c>
      <c r="CI1907">
        <v>1</v>
      </c>
      <c r="CJ1907">
        <v>1</v>
      </c>
      <c r="CK1907">
        <v>22</v>
      </c>
      <c r="CL1907" t="s">
        <v>89</v>
      </c>
    </row>
    <row r="1908" spans="1:90">
      <c r="A1908" t="s">
        <v>72</v>
      </c>
      <c r="B1908" t="s">
        <v>73</v>
      </c>
      <c r="C1908" t="s">
        <v>74</v>
      </c>
      <c r="E1908" t="str">
        <f>"FES1162723387"</f>
        <v>FES1162723387</v>
      </c>
      <c r="F1908" s="3">
        <v>43784</v>
      </c>
      <c r="G1908">
        <v>202005</v>
      </c>
      <c r="H1908" t="s">
        <v>75</v>
      </c>
      <c r="I1908" t="s">
        <v>76</v>
      </c>
      <c r="J1908" t="s">
        <v>77</v>
      </c>
      <c r="K1908" t="s">
        <v>78</v>
      </c>
      <c r="L1908" t="s">
        <v>124</v>
      </c>
      <c r="M1908" t="s">
        <v>125</v>
      </c>
      <c r="N1908" t="s">
        <v>468</v>
      </c>
      <c r="O1908" t="s">
        <v>82</v>
      </c>
      <c r="P1908" t="str">
        <f>"217071333                     "</f>
        <v xml:space="preserve">217071333 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6.71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 s="4">
        <v>39.42</v>
      </c>
      <c r="BM1908" s="4">
        <v>5.91</v>
      </c>
      <c r="BN1908" s="4">
        <v>45.33</v>
      </c>
      <c r="BO1908" s="4">
        <v>45.33</v>
      </c>
      <c r="BQ1908" t="s">
        <v>187</v>
      </c>
      <c r="BR1908" t="s">
        <v>84</v>
      </c>
      <c r="BS1908" s="3">
        <v>43787</v>
      </c>
      <c r="BT1908" s="5">
        <v>0.33333333333333331</v>
      </c>
      <c r="BU1908" t="s">
        <v>2254</v>
      </c>
      <c r="BV1908" t="s">
        <v>86</v>
      </c>
      <c r="BY1908">
        <v>1200</v>
      </c>
      <c r="CC1908" t="s">
        <v>125</v>
      </c>
      <c r="CD1908">
        <v>2090</v>
      </c>
      <c r="CE1908" t="s">
        <v>147</v>
      </c>
      <c r="CF1908" s="3">
        <v>43789</v>
      </c>
      <c r="CI1908">
        <v>1</v>
      </c>
      <c r="CJ1908">
        <v>1</v>
      </c>
      <c r="CK1908">
        <v>22</v>
      </c>
      <c r="CL1908" t="s">
        <v>89</v>
      </c>
    </row>
    <row r="1909" spans="1:90">
      <c r="A1909" t="s">
        <v>72</v>
      </c>
      <c r="B1909" t="s">
        <v>73</v>
      </c>
      <c r="C1909" t="s">
        <v>74</v>
      </c>
      <c r="E1909" t="str">
        <f>"FES1162723363"</f>
        <v>FES1162723363</v>
      </c>
      <c r="F1909" s="3">
        <v>43784</v>
      </c>
      <c r="G1909">
        <v>202005</v>
      </c>
      <c r="H1909" t="s">
        <v>75</v>
      </c>
      <c r="I1909" t="s">
        <v>76</v>
      </c>
      <c r="J1909" t="s">
        <v>77</v>
      </c>
      <c r="K1909" t="s">
        <v>78</v>
      </c>
      <c r="L1909" t="s">
        <v>176</v>
      </c>
      <c r="M1909" t="s">
        <v>177</v>
      </c>
      <c r="N1909" t="s">
        <v>2255</v>
      </c>
      <c r="O1909" t="s">
        <v>82</v>
      </c>
      <c r="P1909" t="str">
        <f>"2170717303                    "</f>
        <v xml:space="preserve">2170717303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8.58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 s="4">
        <v>50.45</v>
      </c>
      <c r="BM1909" s="4">
        <v>7.57</v>
      </c>
      <c r="BN1909" s="4">
        <v>58.02</v>
      </c>
      <c r="BO1909" s="4">
        <v>58.02</v>
      </c>
      <c r="BQ1909" t="s">
        <v>1300</v>
      </c>
      <c r="BR1909" t="s">
        <v>84</v>
      </c>
      <c r="BS1909" s="3">
        <v>43787</v>
      </c>
      <c r="BT1909" s="5">
        <v>0.35902777777777778</v>
      </c>
      <c r="BU1909" t="s">
        <v>2256</v>
      </c>
      <c r="BV1909" t="s">
        <v>86</v>
      </c>
      <c r="BY1909">
        <v>1200</v>
      </c>
      <c r="CA1909" t="s">
        <v>224</v>
      </c>
      <c r="CC1909" t="s">
        <v>177</v>
      </c>
      <c r="CD1909">
        <v>3610</v>
      </c>
      <c r="CE1909" t="s">
        <v>147</v>
      </c>
      <c r="CF1909" s="3">
        <v>43788</v>
      </c>
      <c r="CI1909">
        <v>1</v>
      </c>
      <c r="CJ1909">
        <v>1</v>
      </c>
      <c r="CK1909">
        <v>21</v>
      </c>
      <c r="CL1909" t="s">
        <v>89</v>
      </c>
    </row>
    <row r="1910" spans="1:90">
      <c r="A1910" t="s">
        <v>72</v>
      </c>
      <c r="B1910" t="s">
        <v>73</v>
      </c>
      <c r="C1910" t="s">
        <v>74</v>
      </c>
      <c r="E1910" t="str">
        <f>"FES1162723347"</f>
        <v>FES1162723347</v>
      </c>
      <c r="F1910" s="3">
        <v>43784</v>
      </c>
      <c r="G1910">
        <v>202005</v>
      </c>
      <c r="H1910" t="s">
        <v>75</v>
      </c>
      <c r="I1910" t="s">
        <v>76</v>
      </c>
      <c r="J1910" t="s">
        <v>77</v>
      </c>
      <c r="K1910" t="s">
        <v>78</v>
      </c>
      <c r="L1910" t="s">
        <v>270</v>
      </c>
      <c r="M1910" t="s">
        <v>271</v>
      </c>
      <c r="N1910" t="s">
        <v>272</v>
      </c>
      <c r="O1910" t="s">
        <v>82</v>
      </c>
      <c r="P1910" t="str">
        <f>"21707165394                   "</f>
        <v xml:space="preserve">21707165394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8.58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 s="4">
        <v>50.45</v>
      </c>
      <c r="BM1910" s="4">
        <v>7.57</v>
      </c>
      <c r="BN1910" s="4">
        <v>58.02</v>
      </c>
      <c r="BO1910" s="4">
        <v>58.02</v>
      </c>
      <c r="BQ1910" t="s">
        <v>273</v>
      </c>
      <c r="BR1910" t="s">
        <v>84</v>
      </c>
      <c r="BS1910" s="3">
        <v>43787</v>
      </c>
      <c r="BT1910" s="5">
        <v>0.4152777777777778</v>
      </c>
      <c r="BU1910" t="s">
        <v>1753</v>
      </c>
      <c r="BV1910" t="s">
        <v>86</v>
      </c>
      <c r="BY1910">
        <v>1200</v>
      </c>
      <c r="CA1910" t="s">
        <v>773</v>
      </c>
      <c r="CC1910" t="s">
        <v>271</v>
      </c>
      <c r="CD1910">
        <v>6220</v>
      </c>
      <c r="CE1910" t="s">
        <v>147</v>
      </c>
      <c r="CF1910" s="3">
        <v>43788</v>
      </c>
      <c r="CI1910">
        <v>1</v>
      </c>
      <c r="CJ1910">
        <v>1</v>
      </c>
      <c r="CK1910">
        <v>21</v>
      </c>
      <c r="CL1910" t="s">
        <v>89</v>
      </c>
    </row>
    <row r="1911" spans="1:90">
      <c r="A1911" t="s">
        <v>72</v>
      </c>
      <c r="B1911" t="s">
        <v>73</v>
      </c>
      <c r="C1911" t="s">
        <v>74</v>
      </c>
      <c r="E1911" t="str">
        <f>"FES1162723375"</f>
        <v>FES1162723375</v>
      </c>
      <c r="F1911" s="3">
        <v>43784</v>
      </c>
      <c r="G1911">
        <v>202005</v>
      </c>
      <c r="H1911" t="s">
        <v>75</v>
      </c>
      <c r="I1911" t="s">
        <v>76</v>
      </c>
      <c r="J1911" t="s">
        <v>77</v>
      </c>
      <c r="K1911" t="s">
        <v>78</v>
      </c>
      <c r="L1911" t="s">
        <v>79</v>
      </c>
      <c r="M1911" t="s">
        <v>80</v>
      </c>
      <c r="N1911" t="s">
        <v>458</v>
      </c>
      <c r="O1911" t="s">
        <v>82</v>
      </c>
      <c r="P1911" t="str">
        <f>"2170717320                    "</f>
        <v xml:space="preserve">2170717320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8.58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0.6</v>
      </c>
      <c r="BJ1911">
        <v>0.8</v>
      </c>
      <c r="BK1911">
        <v>1</v>
      </c>
      <c r="BL1911" s="4">
        <v>50.45</v>
      </c>
      <c r="BM1911" s="4">
        <v>7.57</v>
      </c>
      <c r="BN1911" s="4">
        <v>58.02</v>
      </c>
      <c r="BO1911" s="4">
        <v>58.02</v>
      </c>
      <c r="BQ1911" t="s">
        <v>109</v>
      </c>
      <c r="BR1911" t="s">
        <v>84</v>
      </c>
      <c r="BS1911" s="3">
        <v>43787</v>
      </c>
      <c r="BT1911" s="5">
        <v>0.3298611111111111</v>
      </c>
      <c r="BU1911" t="s">
        <v>1318</v>
      </c>
      <c r="BV1911" t="s">
        <v>86</v>
      </c>
      <c r="BY1911">
        <v>4237.74</v>
      </c>
      <c r="CA1911" t="s">
        <v>87</v>
      </c>
      <c r="CC1911" t="s">
        <v>80</v>
      </c>
      <c r="CD1911">
        <v>6230</v>
      </c>
      <c r="CE1911" t="s">
        <v>88</v>
      </c>
      <c r="CF1911" s="3">
        <v>43788</v>
      </c>
      <c r="CI1911">
        <v>1</v>
      </c>
      <c r="CJ1911">
        <v>1</v>
      </c>
      <c r="CK1911">
        <v>21</v>
      </c>
      <c r="CL1911" t="s">
        <v>89</v>
      </c>
    </row>
    <row r="1912" spans="1:90">
      <c r="A1912" t="s">
        <v>72</v>
      </c>
      <c r="B1912" t="s">
        <v>73</v>
      </c>
      <c r="C1912" t="s">
        <v>74</v>
      </c>
      <c r="E1912" t="str">
        <f>"FES1162723369"</f>
        <v>FES1162723369</v>
      </c>
      <c r="F1912" s="3">
        <v>43784</v>
      </c>
      <c r="G1912">
        <v>202005</v>
      </c>
      <c r="H1912" t="s">
        <v>75</v>
      </c>
      <c r="I1912" t="s">
        <v>76</v>
      </c>
      <c r="J1912" t="s">
        <v>77</v>
      </c>
      <c r="K1912" t="s">
        <v>78</v>
      </c>
      <c r="L1912" t="s">
        <v>112</v>
      </c>
      <c r="M1912" t="s">
        <v>113</v>
      </c>
      <c r="N1912" t="s">
        <v>160</v>
      </c>
      <c r="O1912" t="s">
        <v>82</v>
      </c>
      <c r="P1912" t="str">
        <f>"217071314                     "</f>
        <v xml:space="preserve">217071314 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8.58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 s="4">
        <v>50.45</v>
      </c>
      <c r="BM1912" s="4">
        <v>7.57</v>
      </c>
      <c r="BN1912" s="4">
        <v>58.02</v>
      </c>
      <c r="BO1912" s="4">
        <v>58.02</v>
      </c>
      <c r="BQ1912" t="s">
        <v>161</v>
      </c>
      <c r="BR1912" t="s">
        <v>84</v>
      </c>
      <c r="BS1912" s="3">
        <v>43787</v>
      </c>
      <c r="BT1912" s="5">
        <v>0.35486111111111113</v>
      </c>
      <c r="BU1912" t="s">
        <v>162</v>
      </c>
      <c r="BV1912" t="s">
        <v>86</v>
      </c>
      <c r="BY1912">
        <v>1200</v>
      </c>
      <c r="CA1912" t="s">
        <v>163</v>
      </c>
      <c r="CC1912" t="s">
        <v>113</v>
      </c>
      <c r="CD1912">
        <v>4000</v>
      </c>
      <c r="CE1912" t="s">
        <v>147</v>
      </c>
      <c r="CF1912" s="3">
        <v>43788</v>
      </c>
      <c r="CI1912">
        <v>1</v>
      </c>
      <c r="CJ1912">
        <v>1</v>
      </c>
      <c r="CK1912">
        <v>21</v>
      </c>
      <c r="CL1912" t="s">
        <v>89</v>
      </c>
    </row>
    <row r="1913" spans="1:90">
      <c r="A1913" t="s">
        <v>72</v>
      </c>
      <c r="B1913" t="s">
        <v>73</v>
      </c>
      <c r="C1913" t="s">
        <v>74</v>
      </c>
      <c r="E1913" t="str">
        <f>"FES1162723279"</f>
        <v>FES1162723279</v>
      </c>
      <c r="F1913" s="3">
        <v>43784</v>
      </c>
      <c r="G1913">
        <v>202005</v>
      </c>
      <c r="H1913" t="s">
        <v>75</v>
      </c>
      <c r="I1913" t="s">
        <v>76</v>
      </c>
      <c r="J1913" t="s">
        <v>77</v>
      </c>
      <c r="K1913" t="s">
        <v>78</v>
      </c>
      <c r="L1913" t="s">
        <v>112</v>
      </c>
      <c r="M1913" t="s">
        <v>113</v>
      </c>
      <c r="N1913" t="s">
        <v>887</v>
      </c>
      <c r="O1913" t="s">
        <v>82</v>
      </c>
      <c r="P1913" t="str">
        <f>"2170713264                    "</f>
        <v xml:space="preserve">2170713264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8.58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 s="4">
        <v>50.45</v>
      </c>
      <c r="BM1913" s="4">
        <v>7.57</v>
      </c>
      <c r="BN1913" s="4">
        <v>58.02</v>
      </c>
      <c r="BO1913" s="4">
        <v>58.02</v>
      </c>
      <c r="BQ1913" t="s">
        <v>121</v>
      </c>
      <c r="BR1913" t="s">
        <v>84</v>
      </c>
      <c r="BS1913" s="3">
        <v>43787</v>
      </c>
      <c r="BT1913" s="5">
        <v>0.32361111111111113</v>
      </c>
      <c r="BU1913" t="s">
        <v>1310</v>
      </c>
      <c r="BV1913" t="s">
        <v>86</v>
      </c>
      <c r="BY1913">
        <v>1200</v>
      </c>
      <c r="CA1913" t="s">
        <v>180</v>
      </c>
      <c r="CC1913" t="s">
        <v>113</v>
      </c>
      <c r="CD1913">
        <v>4001</v>
      </c>
      <c r="CE1913" t="s">
        <v>147</v>
      </c>
      <c r="CF1913" s="3">
        <v>43788</v>
      </c>
      <c r="CI1913">
        <v>1</v>
      </c>
      <c r="CJ1913">
        <v>1</v>
      </c>
      <c r="CK1913">
        <v>21</v>
      </c>
      <c r="CL1913" t="s">
        <v>89</v>
      </c>
    </row>
    <row r="1914" spans="1:90">
      <c r="A1914" t="s">
        <v>72</v>
      </c>
      <c r="B1914" t="s">
        <v>73</v>
      </c>
      <c r="C1914" t="s">
        <v>74</v>
      </c>
      <c r="E1914" t="str">
        <f>"FES1162723285"</f>
        <v>FES1162723285</v>
      </c>
      <c r="F1914" s="3">
        <v>43784</v>
      </c>
      <c r="G1914">
        <v>202005</v>
      </c>
      <c r="H1914" t="s">
        <v>75</v>
      </c>
      <c r="I1914" t="s">
        <v>76</v>
      </c>
      <c r="J1914" t="s">
        <v>77</v>
      </c>
      <c r="K1914" t="s">
        <v>78</v>
      </c>
      <c r="L1914" t="s">
        <v>783</v>
      </c>
      <c r="M1914" t="s">
        <v>784</v>
      </c>
      <c r="N1914" t="s">
        <v>785</v>
      </c>
      <c r="O1914" t="s">
        <v>82</v>
      </c>
      <c r="P1914" t="str">
        <f>"2170714399                    "</f>
        <v xml:space="preserve">2170714399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16.63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 s="4">
        <v>97.75</v>
      </c>
      <c r="BM1914" s="4">
        <v>14.66</v>
      </c>
      <c r="BN1914" s="4">
        <v>112.41</v>
      </c>
      <c r="BO1914" s="4">
        <v>112.41</v>
      </c>
      <c r="BQ1914" t="s">
        <v>109</v>
      </c>
      <c r="BR1914" t="s">
        <v>84</v>
      </c>
      <c r="BS1914" s="3">
        <v>43787</v>
      </c>
      <c r="BT1914" s="5">
        <v>0.39583333333333331</v>
      </c>
      <c r="BU1914" t="s">
        <v>786</v>
      </c>
      <c r="BV1914" t="s">
        <v>86</v>
      </c>
      <c r="BY1914">
        <v>1200</v>
      </c>
      <c r="CC1914" t="s">
        <v>784</v>
      </c>
      <c r="CD1914">
        <v>9880</v>
      </c>
      <c r="CE1914" t="s">
        <v>147</v>
      </c>
      <c r="CF1914" s="3">
        <v>43789</v>
      </c>
      <c r="CI1914">
        <v>1</v>
      </c>
      <c r="CJ1914">
        <v>1</v>
      </c>
      <c r="CK1914">
        <v>23</v>
      </c>
      <c r="CL1914" t="s">
        <v>89</v>
      </c>
    </row>
    <row r="1915" spans="1:90">
      <c r="A1915" t="s">
        <v>72</v>
      </c>
      <c r="B1915" t="s">
        <v>73</v>
      </c>
      <c r="C1915" t="s">
        <v>74</v>
      </c>
      <c r="E1915" t="str">
        <f>"FES1162723377"</f>
        <v>FES1162723377</v>
      </c>
      <c r="F1915" s="3">
        <v>43784</v>
      </c>
      <c r="G1915">
        <v>202005</v>
      </c>
      <c r="H1915" t="s">
        <v>75</v>
      </c>
      <c r="I1915" t="s">
        <v>76</v>
      </c>
      <c r="J1915" t="s">
        <v>77</v>
      </c>
      <c r="K1915" t="s">
        <v>78</v>
      </c>
      <c r="L1915" t="s">
        <v>133</v>
      </c>
      <c r="M1915" t="s">
        <v>134</v>
      </c>
      <c r="N1915" t="s">
        <v>310</v>
      </c>
      <c r="O1915" t="s">
        <v>82</v>
      </c>
      <c r="P1915" t="str">
        <f>"2170717322                    "</f>
        <v xml:space="preserve">2170717322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8.58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 s="4">
        <v>50.45</v>
      </c>
      <c r="BM1915" s="4">
        <v>7.57</v>
      </c>
      <c r="BN1915" s="4">
        <v>58.02</v>
      </c>
      <c r="BO1915" s="4">
        <v>58.02</v>
      </c>
      <c r="BQ1915" t="s">
        <v>121</v>
      </c>
      <c r="BR1915" t="s">
        <v>84</v>
      </c>
      <c r="BS1915" s="3">
        <v>43787</v>
      </c>
      <c r="BT1915" s="5">
        <v>0.34930555555555554</v>
      </c>
      <c r="BU1915" t="s">
        <v>2182</v>
      </c>
      <c r="BV1915" t="s">
        <v>86</v>
      </c>
      <c r="BY1915">
        <v>1200</v>
      </c>
      <c r="CA1915" t="s">
        <v>912</v>
      </c>
      <c r="CC1915" t="s">
        <v>134</v>
      </c>
      <c r="CD1915">
        <v>5201</v>
      </c>
      <c r="CE1915" t="s">
        <v>147</v>
      </c>
      <c r="CF1915" s="3">
        <v>43788</v>
      </c>
      <c r="CI1915">
        <v>1</v>
      </c>
      <c r="CJ1915">
        <v>1</v>
      </c>
      <c r="CK1915">
        <v>21</v>
      </c>
      <c r="CL1915" t="s">
        <v>89</v>
      </c>
    </row>
    <row r="1916" spans="1:90">
      <c r="A1916" t="s">
        <v>72</v>
      </c>
      <c r="B1916" t="s">
        <v>73</v>
      </c>
      <c r="C1916" t="s">
        <v>74</v>
      </c>
      <c r="E1916" t="str">
        <f>"FES1162723354"</f>
        <v>FES1162723354</v>
      </c>
      <c r="F1916" s="3">
        <v>43784</v>
      </c>
      <c r="G1916">
        <v>202005</v>
      </c>
      <c r="H1916" t="s">
        <v>75</v>
      </c>
      <c r="I1916" t="s">
        <v>76</v>
      </c>
      <c r="J1916" t="s">
        <v>77</v>
      </c>
      <c r="K1916" t="s">
        <v>78</v>
      </c>
      <c r="L1916" t="s">
        <v>431</v>
      </c>
      <c r="M1916" t="s">
        <v>432</v>
      </c>
      <c r="N1916" t="s">
        <v>436</v>
      </c>
      <c r="O1916" t="s">
        <v>82</v>
      </c>
      <c r="P1916" t="str">
        <f>"2170716859                    "</f>
        <v xml:space="preserve">2170716859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8.58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 s="4">
        <v>50.45</v>
      </c>
      <c r="BM1916" s="4">
        <v>7.57</v>
      </c>
      <c r="BN1916" s="4">
        <v>58.02</v>
      </c>
      <c r="BO1916" s="4">
        <v>58.02</v>
      </c>
      <c r="BR1916" t="s">
        <v>84</v>
      </c>
      <c r="BS1916" s="3">
        <v>43787</v>
      </c>
      <c r="BT1916" s="5">
        <v>0.46527777777777773</v>
      </c>
      <c r="BU1916" t="s">
        <v>434</v>
      </c>
      <c r="BV1916" t="s">
        <v>86</v>
      </c>
      <c r="BY1916">
        <v>1200</v>
      </c>
      <c r="CA1916" t="s">
        <v>435</v>
      </c>
      <c r="CC1916" t="s">
        <v>432</v>
      </c>
      <c r="CD1916">
        <v>3699</v>
      </c>
      <c r="CE1916" t="s">
        <v>147</v>
      </c>
      <c r="CF1916" s="3">
        <v>43788</v>
      </c>
      <c r="CI1916">
        <v>1</v>
      </c>
      <c r="CJ1916">
        <v>1</v>
      </c>
      <c r="CK1916">
        <v>21</v>
      </c>
      <c r="CL1916" t="s">
        <v>89</v>
      </c>
    </row>
    <row r="1917" spans="1:90">
      <c r="A1917" t="s">
        <v>72</v>
      </c>
      <c r="B1917" t="s">
        <v>73</v>
      </c>
      <c r="C1917" t="s">
        <v>74</v>
      </c>
      <c r="E1917" t="str">
        <f>"FES1162723320"</f>
        <v>FES1162723320</v>
      </c>
      <c r="F1917" s="3">
        <v>43784</v>
      </c>
      <c r="G1917">
        <v>202005</v>
      </c>
      <c r="H1917" t="s">
        <v>75</v>
      </c>
      <c r="I1917" t="s">
        <v>76</v>
      </c>
      <c r="J1917" t="s">
        <v>77</v>
      </c>
      <c r="K1917" t="s">
        <v>78</v>
      </c>
      <c r="L1917" t="s">
        <v>164</v>
      </c>
      <c r="M1917" t="s">
        <v>165</v>
      </c>
      <c r="N1917" t="s">
        <v>166</v>
      </c>
      <c r="O1917" t="s">
        <v>82</v>
      </c>
      <c r="P1917" t="str">
        <f>"2170715355                    "</f>
        <v xml:space="preserve">2170715355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16.63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 s="4">
        <v>97.75</v>
      </c>
      <c r="BM1917" s="4">
        <v>14.66</v>
      </c>
      <c r="BN1917" s="4">
        <v>112.41</v>
      </c>
      <c r="BO1917" s="4">
        <v>112.41</v>
      </c>
      <c r="BQ1917" t="s">
        <v>121</v>
      </c>
      <c r="BR1917" t="s">
        <v>84</v>
      </c>
      <c r="BS1917" s="3">
        <v>43787</v>
      </c>
      <c r="BT1917" s="5">
        <v>0.45763888888888887</v>
      </c>
      <c r="BU1917" t="s">
        <v>870</v>
      </c>
      <c r="BV1917" t="s">
        <v>86</v>
      </c>
      <c r="BY1917">
        <v>1200</v>
      </c>
      <c r="CA1917" t="s">
        <v>168</v>
      </c>
      <c r="CC1917" t="s">
        <v>165</v>
      </c>
      <c r="CD1917">
        <v>3370</v>
      </c>
      <c r="CE1917" t="s">
        <v>147</v>
      </c>
      <c r="CF1917" s="3">
        <v>43790</v>
      </c>
      <c r="CI1917">
        <v>3</v>
      </c>
      <c r="CJ1917">
        <v>1</v>
      </c>
      <c r="CK1917">
        <v>23</v>
      </c>
      <c r="CL1917" t="s">
        <v>89</v>
      </c>
    </row>
    <row r="1918" spans="1:90">
      <c r="A1918" t="s">
        <v>72</v>
      </c>
      <c r="B1918" t="s">
        <v>73</v>
      </c>
      <c r="C1918" t="s">
        <v>74</v>
      </c>
      <c r="E1918" t="str">
        <f>"FES1162723372"</f>
        <v>FES1162723372</v>
      </c>
      <c r="F1918" s="3">
        <v>43784</v>
      </c>
      <c r="G1918">
        <v>202005</v>
      </c>
      <c r="H1918" t="s">
        <v>75</v>
      </c>
      <c r="I1918" t="s">
        <v>76</v>
      </c>
      <c r="J1918" t="s">
        <v>77</v>
      </c>
      <c r="K1918" t="s">
        <v>78</v>
      </c>
      <c r="L1918" t="s">
        <v>124</v>
      </c>
      <c r="M1918" t="s">
        <v>125</v>
      </c>
      <c r="N1918" t="s">
        <v>230</v>
      </c>
      <c r="O1918" t="s">
        <v>82</v>
      </c>
      <c r="P1918" t="str">
        <f>"2170717313                    "</f>
        <v xml:space="preserve">2170717313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6.71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 s="4">
        <v>39.42</v>
      </c>
      <c r="BM1918" s="4">
        <v>5.91</v>
      </c>
      <c r="BN1918" s="4">
        <v>45.33</v>
      </c>
      <c r="BO1918" s="4">
        <v>45.33</v>
      </c>
      <c r="BQ1918" t="s">
        <v>109</v>
      </c>
      <c r="BR1918" t="s">
        <v>84</v>
      </c>
      <c r="BS1918" s="3">
        <v>43787</v>
      </c>
      <c r="BT1918" s="5">
        <v>0.43472222222222223</v>
      </c>
      <c r="BU1918" t="s">
        <v>2257</v>
      </c>
      <c r="BV1918" t="s">
        <v>86</v>
      </c>
      <c r="BY1918">
        <v>1200</v>
      </c>
      <c r="CA1918" t="s">
        <v>2186</v>
      </c>
      <c r="CC1918" t="s">
        <v>125</v>
      </c>
      <c r="CD1918">
        <v>2091</v>
      </c>
      <c r="CE1918" t="s">
        <v>147</v>
      </c>
      <c r="CF1918" s="3">
        <v>43789</v>
      </c>
      <c r="CI1918">
        <v>1</v>
      </c>
      <c r="CJ1918">
        <v>1</v>
      </c>
      <c r="CK1918">
        <v>22</v>
      </c>
      <c r="CL1918" t="s">
        <v>89</v>
      </c>
    </row>
    <row r="1919" spans="1:90">
      <c r="A1919" t="s">
        <v>72</v>
      </c>
      <c r="B1919" t="s">
        <v>73</v>
      </c>
      <c r="C1919" t="s">
        <v>74</v>
      </c>
      <c r="E1919" t="str">
        <f>"FES1162723303"</f>
        <v>FES1162723303</v>
      </c>
      <c r="F1919" s="3">
        <v>43784</v>
      </c>
      <c r="G1919">
        <v>202005</v>
      </c>
      <c r="H1919" t="s">
        <v>75</v>
      </c>
      <c r="I1919" t="s">
        <v>76</v>
      </c>
      <c r="J1919" t="s">
        <v>77</v>
      </c>
      <c r="K1919" t="s">
        <v>78</v>
      </c>
      <c r="L1919" t="s">
        <v>95</v>
      </c>
      <c r="M1919" t="s">
        <v>96</v>
      </c>
      <c r="N1919" t="s">
        <v>97</v>
      </c>
      <c r="O1919" t="s">
        <v>82</v>
      </c>
      <c r="P1919" t="str">
        <f>"2170715206                    "</f>
        <v xml:space="preserve">2170715206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6.71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 s="4">
        <v>39.42</v>
      </c>
      <c r="BM1919" s="4">
        <v>5.91</v>
      </c>
      <c r="BN1919" s="4">
        <v>45.33</v>
      </c>
      <c r="BO1919" s="4">
        <v>45.33</v>
      </c>
      <c r="BQ1919" t="s">
        <v>98</v>
      </c>
      <c r="BR1919" t="s">
        <v>84</v>
      </c>
      <c r="BS1919" s="3">
        <v>43787</v>
      </c>
      <c r="BT1919" s="5">
        <v>0.30138888888888887</v>
      </c>
      <c r="BU1919" t="s">
        <v>2258</v>
      </c>
      <c r="BV1919" t="s">
        <v>86</v>
      </c>
      <c r="BY1919">
        <v>1200</v>
      </c>
      <c r="CA1919" t="s">
        <v>100</v>
      </c>
      <c r="CC1919" t="s">
        <v>96</v>
      </c>
      <c r="CD1919">
        <v>1449</v>
      </c>
      <c r="CE1919" t="s">
        <v>147</v>
      </c>
      <c r="CF1919" s="3">
        <v>43789</v>
      </c>
      <c r="CI1919">
        <v>1</v>
      </c>
      <c r="CJ1919">
        <v>1</v>
      </c>
      <c r="CK1919">
        <v>22</v>
      </c>
      <c r="CL1919" t="s">
        <v>89</v>
      </c>
    </row>
    <row r="1920" spans="1:90">
      <c r="A1920" t="s">
        <v>72</v>
      </c>
      <c r="B1920" t="s">
        <v>73</v>
      </c>
      <c r="C1920" t="s">
        <v>74</v>
      </c>
      <c r="E1920" t="str">
        <f>"FES1162723301"</f>
        <v>FES1162723301</v>
      </c>
      <c r="F1920" s="3">
        <v>43784</v>
      </c>
      <c r="G1920">
        <v>202005</v>
      </c>
      <c r="H1920" t="s">
        <v>75</v>
      </c>
      <c r="I1920" t="s">
        <v>76</v>
      </c>
      <c r="J1920" t="s">
        <v>77</v>
      </c>
      <c r="K1920" t="s">
        <v>78</v>
      </c>
      <c r="L1920" t="s">
        <v>90</v>
      </c>
      <c r="M1920" t="s">
        <v>91</v>
      </c>
      <c r="N1920" t="s">
        <v>576</v>
      </c>
      <c r="O1920" t="s">
        <v>82</v>
      </c>
      <c r="P1920" t="str">
        <f>"2170715190                    "</f>
        <v xml:space="preserve">2170715190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8.58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 s="4">
        <v>50.45</v>
      </c>
      <c r="BM1920" s="4">
        <v>7.57</v>
      </c>
      <c r="BN1920" s="4">
        <v>58.02</v>
      </c>
      <c r="BO1920" s="4">
        <v>58.02</v>
      </c>
      <c r="BQ1920" t="s">
        <v>109</v>
      </c>
      <c r="BR1920" t="s">
        <v>84</v>
      </c>
      <c r="BS1920" s="3">
        <v>43787</v>
      </c>
      <c r="BT1920" s="5">
        <v>0.33333333333333331</v>
      </c>
      <c r="BU1920" t="s">
        <v>2239</v>
      </c>
      <c r="BV1920" t="s">
        <v>86</v>
      </c>
      <c r="BY1920">
        <v>1200</v>
      </c>
      <c r="CA1920" t="s">
        <v>1146</v>
      </c>
      <c r="CC1920" t="s">
        <v>91</v>
      </c>
      <c r="CD1920">
        <v>7441</v>
      </c>
      <c r="CE1920" t="s">
        <v>147</v>
      </c>
      <c r="CF1920" s="3">
        <v>43788</v>
      </c>
      <c r="CI1920">
        <v>1</v>
      </c>
      <c r="CJ1920">
        <v>1</v>
      </c>
      <c r="CK1920">
        <v>21</v>
      </c>
      <c r="CL1920" t="s">
        <v>89</v>
      </c>
    </row>
    <row r="1921" spans="1:90">
      <c r="A1921" t="s">
        <v>72</v>
      </c>
      <c r="B1921" t="s">
        <v>73</v>
      </c>
      <c r="C1921" t="s">
        <v>74</v>
      </c>
      <c r="E1921" t="str">
        <f>"FES1162723341"</f>
        <v>FES1162723341</v>
      </c>
      <c r="F1921" s="3">
        <v>43784</v>
      </c>
      <c r="G1921">
        <v>202005</v>
      </c>
      <c r="H1921" t="s">
        <v>75</v>
      </c>
      <c r="I1921" t="s">
        <v>76</v>
      </c>
      <c r="J1921" t="s">
        <v>77</v>
      </c>
      <c r="K1921" t="s">
        <v>78</v>
      </c>
      <c r="L1921" t="s">
        <v>482</v>
      </c>
      <c r="M1921" t="s">
        <v>483</v>
      </c>
      <c r="N1921" t="s">
        <v>1256</v>
      </c>
      <c r="O1921" t="s">
        <v>82</v>
      </c>
      <c r="P1921" t="str">
        <f>"2170715799                    "</f>
        <v xml:space="preserve">2170715799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6.71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 s="4">
        <v>39.42</v>
      </c>
      <c r="BM1921" s="4">
        <v>5.91</v>
      </c>
      <c r="BN1921" s="4">
        <v>45.33</v>
      </c>
      <c r="BO1921" s="4">
        <v>45.33</v>
      </c>
      <c r="BR1921" t="s">
        <v>84</v>
      </c>
      <c r="BS1921" s="3">
        <v>43787</v>
      </c>
      <c r="BT1921" s="5">
        <v>0.40416666666666662</v>
      </c>
      <c r="BU1921" t="s">
        <v>1335</v>
      </c>
      <c r="BV1921" t="s">
        <v>86</v>
      </c>
      <c r="BY1921">
        <v>1200</v>
      </c>
      <c r="CA1921" t="s">
        <v>1336</v>
      </c>
      <c r="CC1921" t="s">
        <v>483</v>
      </c>
      <c r="CD1921">
        <v>1459</v>
      </c>
      <c r="CE1921" t="s">
        <v>147</v>
      </c>
      <c r="CF1921" s="3">
        <v>43788</v>
      </c>
      <c r="CI1921">
        <v>1</v>
      </c>
      <c r="CJ1921">
        <v>1</v>
      </c>
      <c r="CK1921">
        <v>22</v>
      </c>
      <c r="CL1921" t="s">
        <v>89</v>
      </c>
    </row>
    <row r="1922" spans="1:90">
      <c r="A1922" t="s">
        <v>72</v>
      </c>
      <c r="B1922" t="s">
        <v>73</v>
      </c>
      <c r="C1922" t="s">
        <v>74</v>
      </c>
      <c r="E1922" t="str">
        <f>"FES1162723304"</f>
        <v>FES1162723304</v>
      </c>
      <c r="F1922" s="3">
        <v>43784</v>
      </c>
      <c r="G1922">
        <v>202005</v>
      </c>
      <c r="H1922" t="s">
        <v>75</v>
      </c>
      <c r="I1922" t="s">
        <v>76</v>
      </c>
      <c r="J1922" t="s">
        <v>77</v>
      </c>
      <c r="K1922" t="s">
        <v>78</v>
      </c>
      <c r="L1922" t="s">
        <v>112</v>
      </c>
      <c r="M1922" t="s">
        <v>113</v>
      </c>
      <c r="N1922" t="s">
        <v>397</v>
      </c>
      <c r="O1922" t="s">
        <v>82</v>
      </c>
      <c r="P1922" t="str">
        <f>"2170715221                    "</f>
        <v xml:space="preserve">2170715221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8.58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 s="4">
        <v>50.45</v>
      </c>
      <c r="BM1922" s="4">
        <v>7.57</v>
      </c>
      <c r="BN1922" s="4">
        <v>58.02</v>
      </c>
      <c r="BO1922" s="4">
        <v>58.02</v>
      </c>
      <c r="BQ1922" t="s">
        <v>1076</v>
      </c>
      <c r="BR1922" t="s">
        <v>84</v>
      </c>
      <c r="BS1922" s="3">
        <v>43787</v>
      </c>
      <c r="BT1922" s="5">
        <v>0.35625000000000001</v>
      </c>
      <c r="BU1922" t="s">
        <v>2259</v>
      </c>
      <c r="BV1922" t="s">
        <v>86</v>
      </c>
      <c r="BY1922">
        <v>1200</v>
      </c>
      <c r="CA1922" t="s">
        <v>163</v>
      </c>
      <c r="CC1922" t="s">
        <v>113</v>
      </c>
      <c r="CD1922">
        <v>4051</v>
      </c>
      <c r="CE1922" t="s">
        <v>147</v>
      </c>
      <c r="CF1922" s="3">
        <v>43788</v>
      </c>
      <c r="CI1922">
        <v>1</v>
      </c>
      <c r="CJ1922">
        <v>1</v>
      </c>
      <c r="CK1922">
        <v>21</v>
      </c>
      <c r="CL1922" t="s">
        <v>89</v>
      </c>
    </row>
    <row r="1923" spans="1:90">
      <c r="A1923" t="s">
        <v>72</v>
      </c>
      <c r="B1923" t="s">
        <v>73</v>
      </c>
      <c r="C1923" t="s">
        <v>74</v>
      </c>
      <c r="E1923" t="str">
        <f>"FES1162723330"</f>
        <v>FES1162723330</v>
      </c>
      <c r="F1923" s="3">
        <v>43784</v>
      </c>
      <c r="G1923">
        <v>202005</v>
      </c>
      <c r="H1923" t="s">
        <v>75</v>
      </c>
      <c r="I1923" t="s">
        <v>76</v>
      </c>
      <c r="J1923" t="s">
        <v>77</v>
      </c>
      <c r="K1923" t="s">
        <v>78</v>
      </c>
      <c r="L1923" t="s">
        <v>118</v>
      </c>
      <c r="M1923" t="s">
        <v>119</v>
      </c>
      <c r="N1923" t="s">
        <v>885</v>
      </c>
      <c r="O1923" t="s">
        <v>82</v>
      </c>
      <c r="P1923" t="str">
        <f>"2170705456                    "</f>
        <v xml:space="preserve">2170705456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12.87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2.9</v>
      </c>
      <c r="BJ1923">
        <v>1.2</v>
      </c>
      <c r="BK1923">
        <v>3</v>
      </c>
      <c r="BL1923" s="4">
        <v>75.66</v>
      </c>
      <c r="BM1923" s="4">
        <v>11.35</v>
      </c>
      <c r="BN1923" s="4">
        <v>87.01</v>
      </c>
      <c r="BO1923" s="4">
        <v>87.01</v>
      </c>
      <c r="BQ1923" t="s">
        <v>109</v>
      </c>
      <c r="BR1923" t="s">
        <v>84</v>
      </c>
      <c r="BS1923" s="3">
        <v>43787</v>
      </c>
      <c r="BT1923" s="5">
        <v>0.38541666666666669</v>
      </c>
      <c r="BU1923" t="s">
        <v>2254</v>
      </c>
      <c r="BV1923" t="s">
        <v>86</v>
      </c>
      <c r="BY1923">
        <v>6170.05</v>
      </c>
      <c r="CC1923" t="s">
        <v>119</v>
      </c>
      <c r="CD1923">
        <v>3212</v>
      </c>
      <c r="CE1923" t="s">
        <v>88</v>
      </c>
      <c r="CF1923" s="3">
        <v>43788</v>
      </c>
      <c r="CI1923">
        <v>1</v>
      </c>
      <c r="CJ1923">
        <v>1</v>
      </c>
      <c r="CK1923">
        <v>21</v>
      </c>
      <c r="CL1923" t="s">
        <v>89</v>
      </c>
    </row>
    <row r="1924" spans="1:90">
      <c r="A1924" t="s">
        <v>72</v>
      </c>
      <c r="B1924" t="s">
        <v>73</v>
      </c>
      <c r="C1924" t="s">
        <v>74</v>
      </c>
      <c r="E1924" t="str">
        <f>"FES1162723314"</f>
        <v>FES1162723314</v>
      </c>
      <c r="F1924" s="3">
        <v>43784</v>
      </c>
      <c r="G1924">
        <v>202005</v>
      </c>
      <c r="H1924" t="s">
        <v>75</v>
      </c>
      <c r="I1924" t="s">
        <v>76</v>
      </c>
      <c r="J1924" t="s">
        <v>77</v>
      </c>
      <c r="K1924" t="s">
        <v>78</v>
      </c>
      <c r="L1924" t="s">
        <v>349</v>
      </c>
      <c r="M1924" t="s">
        <v>350</v>
      </c>
      <c r="N1924" t="s">
        <v>351</v>
      </c>
      <c r="O1924" t="s">
        <v>82</v>
      </c>
      <c r="P1924" t="str">
        <f>"2170715305                    "</f>
        <v xml:space="preserve">2170715305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8.58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 s="4">
        <v>50.45</v>
      </c>
      <c r="BM1924" s="4">
        <v>7.57</v>
      </c>
      <c r="BN1924" s="4">
        <v>58.02</v>
      </c>
      <c r="BO1924" s="4">
        <v>58.02</v>
      </c>
      <c r="BQ1924" t="s">
        <v>109</v>
      </c>
      <c r="BR1924" t="s">
        <v>84</v>
      </c>
      <c r="BS1924" s="3">
        <v>43787</v>
      </c>
      <c r="BT1924" s="5">
        <v>0.41597222222222219</v>
      </c>
      <c r="BU1924" t="s">
        <v>1347</v>
      </c>
      <c r="BV1924" t="s">
        <v>86</v>
      </c>
      <c r="BY1924">
        <v>1200</v>
      </c>
      <c r="CC1924" t="s">
        <v>350</v>
      </c>
      <c r="CD1924">
        <v>6536</v>
      </c>
      <c r="CE1924" t="s">
        <v>147</v>
      </c>
      <c r="CF1924" s="3">
        <v>43789</v>
      </c>
      <c r="CI1924">
        <v>1</v>
      </c>
      <c r="CJ1924">
        <v>1</v>
      </c>
      <c r="CK1924">
        <v>21</v>
      </c>
      <c r="CL1924" t="s">
        <v>89</v>
      </c>
    </row>
    <row r="1925" spans="1:90">
      <c r="A1925" t="s">
        <v>72</v>
      </c>
      <c r="B1925" t="s">
        <v>73</v>
      </c>
      <c r="C1925" t="s">
        <v>74</v>
      </c>
      <c r="E1925" t="str">
        <f>"FES1162723318"</f>
        <v>FES1162723318</v>
      </c>
      <c r="F1925" s="3">
        <v>43784</v>
      </c>
      <c r="G1925">
        <v>202005</v>
      </c>
      <c r="H1925" t="s">
        <v>75</v>
      </c>
      <c r="I1925" t="s">
        <v>76</v>
      </c>
      <c r="J1925" t="s">
        <v>77</v>
      </c>
      <c r="K1925" t="s">
        <v>78</v>
      </c>
      <c r="L1925" t="s">
        <v>214</v>
      </c>
      <c r="M1925" t="s">
        <v>214</v>
      </c>
      <c r="N1925" t="s">
        <v>314</v>
      </c>
      <c r="O1925" t="s">
        <v>82</v>
      </c>
      <c r="P1925" t="str">
        <f>"21707415343                   "</f>
        <v xml:space="preserve">21707415343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16.63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 s="4">
        <v>97.75</v>
      </c>
      <c r="BM1925" s="4">
        <v>14.66</v>
      </c>
      <c r="BN1925" s="4">
        <v>112.41</v>
      </c>
      <c r="BO1925" s="4">
        <v>112.41</v>
      </c>
      <c r="BQ1925" t="s">
        <v>109</v>
      </c>
      <c r="BR1925" t="s">
        <v>84</v>
      </c>
      <c r="BS1925" s="3">
        <v>43787</v>
      </c>
      <c r="BT1925" s="5">
        <v>0.46180555555555558</v>
      </c>
      <c r="BU1925" t="s">
        <v>315</v>
      </c>
      <c r="BV1925" t="s">
        <v>86</v>
      </c>
      <c r="BY1925">
        <v>1200</v>
      </c>
      <c r="CA1925" t="s">
        <v>217</v>
      </c>
      <c r="CC1925" t="s">
        <v>214</v>
      </c>
      <c r="CD1925">
        <v>7646</v>
      </c>
      <c r="CE1925" t="s">
        <v>147</v>
      </c>
      <c r="CF1925" s="3">
        <v>43788</v>
      </c>
      <c r="CI1925">
        <v>1</v>
      </c>
      <c r="CJ1925">
        <v>1</v>
      </c>
      <c r="CK1925">
        <v>23</v>
      </c>
      <c r="CL1925" t="s">
        <v>89</v>
      </c>
    </row>
    <row r="1926" spans="1:90">
      <c r="A1926" t="s">
        <v>72</v>
      </c>
      <c r="B1926" t="s">
        <v>73</v>
      </c>
      <c r="C1926" t="s">
        <v>74</v>
      </c>
      <c r="E1926" t="str">
        <f>"FES1162723467"</f>
        <v>FES1162723467</v>
      </c>
      <c r="F1926" s="3">
        <v>43784</v>
      </c>
      <c r="G1926">
        <v>202005</v>
      </c>
      <c r="H1926" t="s">
        <v>75</v>
      </c>
      <c r="I1926" t="s">
        <v>76</v>
      </c>
      <c r="J1926" t="s">
        <v>77</v>
      </c>
      <c r="K1926" t="s">
        <v>78</v>
      </c>
      <c r="L1926" t="s">
        <v>133</v>
      </c>
      <c r="M1926" t="s">
        <v>134</v>
      </c>
      <c r="N1926" t="s">
        <v>310</v>
      </c>
      <c r="O1926" t="s">
        <v>82</v>
      </c>
      <c r="P1926" t="str">
        <f>"2170717416                    "</f>
        <v xml:space="preserve">2170717416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8.58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 s="4">
        <v>50.45</v>
      </c>
      <c r="BM1926" s="4">
        <v>7.57</v>
      </c>
      <c r="BN1926" s="4">
        <v>58.02</v>
      </c>
      <c r="BO1926" s="4">
        <v>58.02</v>
      </c>
      <c r="BQ1926" t="s">
        <v>121</v>
      </c>
      <c r="BR1926" t="s">
        <v>84</v>
      </c>
      <c r="BS1926" s="3">
        <v>43787</v>
      </c>
      <c r="BT1926" s="5">
        <v>0.34930555555555554</v>
      </c>
      <c r="BU1926" t="s">
        <v>2182</v>
      </c>
      <c r="BV1926" t="s">
        <v>86</v>
      </c>
      <c r="BY1926">
        <v>1200</v>
      </c>
      <c r="CA1926" t="s">
        <v>912</v>
      </c>
      <c r="CC1926" t="s">
        <v>134</v>
      </c>
      <c r="CD1926">
        <v>5201</v>
      </c>
      <c r="CE1926" t="s">
        <v>147</v>
      </c>
      <c r="CF1926" s="3">
        <v>43788</v>
      </c>
      <c r="CI1926">
        <v>1</v>
      </c>
      <c r="CJ1926">
        <v>1</v>
      </c>
      <c r="CK1926">
        <v>21</v>
      </c>
      <c r="CL1926" t="s">
        <v>89</v>
      </c>
    </row>
    <row r="1927" spans="1:90">
      <c r="A1927" t="s">
        <v>72</v>
      </c>
      <c r="B1927" t="s">
        <v>73</v>
      </c>
      <c r="C1927" t="s">
        <v>74</v>
      </c>
      <c r="E1927" t="str">
        <f>"FES1162723492"</f>
        <v>FES1162723492</v>
      </c>
      <c r="F1927" s="3">
        <v>43784</v>
      </c>
      <c r="G1927">
        <v>202005</v>
      </c>
      <c r="H1927" t="s">
        <v>75</v>
      </c>
      <c r="I1927" t="s">
        <v>76</v>
      </c>
      <c r="J1927" t="s">
        <v>77</v>
      </c>
      <c r="K1927" t="s">
        <v>78</v>
      </c>
      <c r="L1927" t="s">
        <v>90</v>
      </c>
      <c r="M1927" t="s">
        <v>91</v>
      </c>
      <c r="N1927" t="s">
        <v>945</v>
      </c>
      <c r="O1927" t="s">
        <v>82</v>
      </c>
      <c r="P1927" t="str">
        <f>"2170717200                    "</f>
        <v xml:space="preserve">2170717200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8.58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 s="4">
        <v>50.45</v>
      </c>
      <c r="BM1927" s="4">
        <v>7.57</v>
      </c>
      <c r="BN1927" s="4">
        <v>58.02</v>
      </c>
      <c r="BO1927" s="4">
        <v>58.02</v>
      </c>
      <c r="BQ1927" t="s">
        <v>121</v>
      </c>
      <c r="BR1927" t="s">
        <v>84</v>
      </c>
      <c r="BS1927" s="3">
        <v>43787</v>
      </c>
      <c r="BT1927" s="5">
        <v>0.35347222222222219</v>
      </c>
      <c r="BU1927" t="s">
        <v>1298</v>
      </c>
      <c r="BV1927" t="s">
        <v>86</v>
      </c>
      <c r="BY1927">
        <v>1200</v>
      </c>
      <c r="CA1927" t="s">
        <v>323</v>
      </c>
      <c r="CC1927" t="s">
        <v>91</v>
      </c>
      <c r="CD1927">
        <v>7460</v>
      </c>
      <c r="CE1927" t="s">
        <v>147</v>
      </c>
      <c r="CF1927" s="3">
        <v>43788</v>
      </c>
      <c r="CI1927">
        <v>1</v>
      </c>
      <c r="CJ1927">
        <v>1</v>
      </c>
      <c r="CK1927">
        <v>21</v>
      </c>
      <c r="CL1927" t="s">
        <v>89</v>
      </c>
    </row>
    <row r="1928" spans="1:90">
      <c r="A1928" t="s">
        <v>72</v>
      </c>
      <c r="B1928" t="s">
        <v>73</v>
      </c>
      <c r="C1928" t="s">
        <v>74</v>
      </c>
      <c r="E1928" t="str">
        <f>"FES1162723491"</f>
        <v>FES1162723491</v>
      </c>
      <c r="F1928" s="3">
        <v>43784</v>
      </c>
      <c r="G1928">
        <v>202005</v>
      </c>
      <c r="H1928" t="s">
        <v>75</v>
      </c>
      <c r="I1928" t="s">
        <v>76</v>
      </c>
      <c r="J1928" t="s">
        <v>77</v>
      </c>
      <c r="K1928" t="s">
        <v>78</v>
      </c>
      <c r="L1928" t="s">
        <v>118</v>
      </c>
      <c r="M1928" t="s">
        <v>119</v>
      </c>
      <c r="N1928" t="s">
        <v>2260</v>
      </c>
      <c r="O1928" t="s">
        <v>82</v>
      </c>
      <c r="P1928" t="str">
        <f>"2170717443                    "</f>
        <v xml:space="preserve">2170717443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8.58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 s="4">
        <v>50.45</v>
      </c>
      <c r="BM1928" s="4">
        <v>7.57</v>
      </c>
      <c r="BN1928" s="4">
        <v>58.02</v>
      </c>
      <c r="BO1928" s="4">
        <v>58.02</v>
      </c>
      <c r="BQ1928" t="s">
        <v>2261</v>
      </c>
      <c r="BR1928" t="s">
        <v>84</v>
      </c>
      <c r="BS1928" s="3">
        <v>43787</v>
      </c>
      <c r="BT1928" s="5">
        <v>0.39374999999999999</v>
      </c>
      <c r="BU1928" t="s">
        <v>1310</v>
      </c>
      <c r="BV1928" t="s">
        <v>86</v>
      </c>
      <c r="BY1928">
        <v>1200</v>
      </c>
      <c r="CA1928" t="s">
        <v>435</v>
      </c>
      <c r="CC1928" t="s">
        <v>119</v>
      </c>
      <c r="CD1928">
        <v>3201</v>
      </c>
      <c r="CE1928" t="s">
        <v>147</v>
      </c>
      <c r="CF1928" s="3">
        <v>43788</v>
      </c>
      <c r="CI1928">
        <v>1</v>
      </c>
      <c r="CJ1928">
        <v>1</v>
      </c>
      <c r="CK1928">
        <v>21</v>
      </c>
      <c r="CL1928" t="s">
        <v>89</v>
      </c>
    </row>
    <row r="1929" spans="1:90">
      <c r="A1929" t="s">
        <v>72</v>
      </c>
      <c r="B1929" t="s">
        <v>73</v>
      </c>
      <c r="C1929" t="s">
        <v>74</v>
      </c>
      <c r="E1929" t="str">
        <f>"FES1162723356"</f>
        <v>FES1162723356</v>
      </c>
      <c r="F1929" s="3">
        <v>43784</v>
      </c>
      <c r="G1929">
        <v>202005</v>
      </c>
      <c r="H1929" t="s">
        <v>75</v>
      </c>
      <c r="I1929" t="s">
        <v>76</v>
      </c>
      <c r="J1929" t="s">
        <v>77</v>
      </c>
      <c r="K1929" t="s">
        <v>78</v>
      </c>
      <c r="L1929" t="s">
        <v>296</v>
      </c>
      <c r="M1929" t="s">
        <v>297</v>
      </c>
      <c r="N1929" t="s">
        <v>298</v>
      </c>
      <c r="O1929" t="s">
        <v>82</v>
      </c>
      <c r="P1929" t="str">
        <f>"2170716951                    "</f>
        <v xml:space="preserve">2170716951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16.63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 s="4">
        <v>97.75</v>
      </c>
      <c r="BM1929" s="4">
        <v>14.66</v>
      </c>
      <c r="BN1929" s="4">
        <v>112.41</v>
      </c>
      <c r="BO1929" s="4">
        <v>112.41</v>
      </c>
      <c r="BQ1929" t="s">
        <v>121</v>
      </c>
      <c r="BR1929" t="s">
        <v>84</v>
      </c>
      <c r="BS1929" s="3">
        <v>43788</v>
      </c>
      <c r="BT1929" s="5">
        <v>0.36180555555555555</v>
      </c>
      <c r="BU1929" t="s">
        <v>658</v>
      </c>
      <c r="BV1929" t="s">
        <v>86</v>
      </c>
      <c r="BY1929">
        <v>1200</v>
      </c>
      <c r="CA1929" t="s">
        <v>300</v>
      </c>
      <c r="CC1929" t="s">
        <v>297</v>
      </c>
      <c r="CD1929">
        <v>6849</v>
      </c>
      <c r="CE1929" t="s">
        <v>147</v>
      </c>
      <c r="CF1929" s="3">
        <v>43789</v>
      </c>
      <c r="CI1929">
        <v>3</v>
      </c>
      <c r="CJ1929">
        <v>2</v>
      </c>
      <c r="CK1929">
        <v>23</v>
      </c>
      <c r="CL1929" t="s">
        <v>89</v>
      </c>
    </row>
    <row r="1930" spans="1:90">
      <c r="A1930" t="s">
        <v>72</v>
      </c>
      <c r="B1930" t="s">
        <v>73</v>
      </c>
      <c r="C1930" t="s">
        <v>74</v>
      </c>
      <c r="E1930" t="str">
        <f>"FES1162723429"</f>
        <v>FES1162723429</v>
      </c>
      <c r="F1930" s="3">
        <v>43784</v>
      </c>
      <c r="G1930">
        <v>202005</v>
      </c>
      <c r="H1930" t="s">
        <v>75</v>
      </c>
      <c r="I1930" t="s">
        <v>76</v>
      </c>
      <c r="J1930" t="s">
        <v>77</v>
      </c>
      <c r="K1930" t="s">
        <v>78</v>
      </c>
      <c r="L1930" t="s">
        <v>112</v>
      </c>
      <c r="M1930" t="s">
        <v>113</v>
      </c>
      <c r="N1930" t="s">
        <v>449</v>
      </c>
      <c r="O1930" t="s">
        <v>82</v>
      </c>
      <c r="P1930" t="str">
        <f>"2170717376                    "</f>
        <v xml:space="preserve">2170717376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8.58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 s="4">
        <v>50.45</v>
      </c>
      <c r="BM1930" s="4">
        <v>7.57</v>
      </c>
      <c r="BN1930" s="4">
        <v>58.02</v>
      </c>
      <c r="BO1930" s="4">
        <v>58.02</v>
      </c>
      <c r="BQ1930" t="s">
        <v>450</v>
      </c>
      <c r="BR1930" t="s">
        <v>84</v>
      </c>
      <c r="BS1930" s="3">
        <v>43787</v>
      </c>
      <c r="BT1930" s="5">
        <v>0.28680555555555554</v>
      </c>
      <c r="BU1930" t="s">
        <v>2262</v>
      </c>
      <c r="BV1930" t="s">
        <v>86</v>
      </c>
      <c r="BY1930">
        <v>1200</v>
      </c>
      <c r="CA1930" t="s">
        <v>426</v>
      </c>
      <c r="CC1930" t="s">
        <v>113</v>
      </c>
      <c r="CD1930">
        <v>4019</v>
      </c>
      <c r="CE1930" t="s">
        <v>147</v>
      </c>
      <c r="CF1930" s="3">
        <v>43788</v>
      </c>
      <c r="CI1930">
        <v>1</v>
      </c>
      <c r="CJ1930">
        <v>1</v>
      </c>
      <c r="CK1930">
        <v>21</v>
      </c>
      <c r="CL1930" t="s">
        <v>89</v>
      </c>
    </row>
    <row r="1931" spans="1:90">
      <c r="A1931" t="s">
        <v>72</v>
      </c>
      <c r="B1931" t="s">
        <v>73</v>
      </c>
      <c r="C1931" t="s">
        <v>74</v>
      </c>
      <c r="E1931" t="str">
        <f>"FES1162723390"</f>
        <v>FES1162723390</v>
      </c>
      <c r="F1931" s="3">
        <v>43784</v>
      </c>
      <c r="G1931">
        <v>202005</v>
      </c>
      <c r="H1931" t="s">
        <v>75</v>
      </c>
      <c r="I1931" t="s">
        <v>76</v>
      </c>
      <c r="J1931" t="s">
        <v>77</v>
      </c>
      <c r="K1931" t="s">
        <v>78</v>
      </c>
      <c r="L1931" t="s">
        <v>112</v>
      </c>
      <c r="M1931" t="s">
        <v>113</v>
      </c>
      <c r="N1931" t="s">
        <v>206</v>
      </c>
      <c r="O1931" t="s">
        <v>82</v>
      </c>
      <c r="P1931" t="str">
        <f>"2170717337                    "</f>
        <v xml:space="preserve">2170717337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15.02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2</v>
      </c>
      <c r="BJ1931">
        <v>3.1</v>
      </c>
      <c r="BK1931">
        <v>3.5</v>
      </c>
      <c r="BL1931" s="4">
        <v>88.27</v>
      </c>
      <c r="BM1931" s="4">
        <v>13.24</v>
      </c>
      <c r="BN1931" s="4">
        <v>101.51</v>
      </c>
      <c r="BO1931" s="4">
        <v>101.51</v>
      </c>
      <c r="BQ1931" t="s">
        <v>109</v>
      </c>
      <c r="BR1931" t="s">
        <v>84</v>
      </c>
      <c r="BS1931" s="3">
        <v>43787</v>
      </c>
      <c r="BT1931" s="5">
        <v>0.53402777777777777</v>
      </c>
      <c r="BU1931" t="s">
        <v>2263</v>
      </c>
      <c r="BV1931" t="s">
        <v>89</v>
      </c>
      <c r="BW1931" t="s">
        <v>144</v>
      </c>
      <c r="BX1931" t="s">
        <v>145</v>
      </c>
      <c r="BY1931">
        <v>15293.68</v>
      </c>
      <c r="CA1931" t="s">
        <v>2019</v>
      </c>
      <c r="CC1931" t="s">
        <v>113</v>
      </c>
      <c r="CD1931">
        <v>4001</v>
      </c>
      <c r="CE1931" t="s">
        <v>88</v>
      </c>
      <c r="CF1931" s="3">
        <v>43788</v>
      </c>
      <c r="CI1931">
        <v>1</v>
      </c>
      <c r="CJ1931">
        <v>1</v>
      </c>
      <c r="CK1931">
        <v>21</v>
      </c>
      <c r="CL1931" t="s">
        <v>89</v>
      </c>
    </row>
    <row r="1932" spans="1:90">
      <c r="A1932" t="s">
        <v>72</v>
      </c>
      <c r="B1932" t="s">
        <v>73</v>
      </c>
      <c r="C1932" t="s">
        <v>74</v>
      </c>
      <c r="E1932" t="str">
        <f>"FES1162723400"</f>
        <v>FES1162723400</v>
      </c>
      <c r="F1932" s="3">
        <v>43784</v>
      </c>
      <c r="G1932">
        <v>202005</v>
      </c>
      <c r="H1932" t="s">
        <v>75</v>
      </c>
      <c r="I1932" t="s">
        <v>76</v>
      </c>
      <c r="J1932" t="s">
        <v>77</v>
      </c>
      <c r="K1932" t="s">
        <v>78</v>
      </c>
      <c r="L1932" t="s">
        <v>112</v>
      </c>
      <c r="M1932" t="s">
        <v>113</v>
      </c>
      <c r="N1932" t="s">
        <v>268</v>
      </c>
      <c r="O1932" t="s">
        <v>82</v>
      </c>
      <c r="P1932" t="str">
        <f>"2170717346                    "</f>
        <v xml:space="preserve">2170717346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8.58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 s="4">
        <v>50.45</v>
      </c>
      <c r="BM1932" s="4">
        <v>7.57</v>
      </c>
      <c r="BN1932" s="4">
        <v>58.02</v>
      </c>
      <c r="BO1932" s="4">
        <v>58.02</v>
      </c>
      <c r="BQ1932" t="s">
        <v>109</v>
      </c>
      <c r="BR1932" t="s">
        <v>84</v>
      </c>
      <c r="BS1932" s="3">
        <v>43787</v>
      </c>
      <c r="BT1932" s="5">
        <v>0.42499999999999999</v>
      </c>
      <c r="BU1932" t="s">
        <v>269</v>
      </c>
      <c r="BV1932" t="s">
        <v>86</v>
      </c>
      <c r="BY1932">
        <v>1200</v>
      </c>
      <c r="CA1932" t="s">
        <v>255</v>
      </c>
      <c r="CC1932" t="s">
        <v>113</v>
      </c>
      <c r="CD1932">
        <v>4001</v>
      </c>
      <c r="CE1932" t="s">
        <v>147</v>
      </c>
      <c r="CF1932" s="3">
        <v>43788</v>
      </c>
      <c r="CI1932">
        <v>1</v>
      </c>
      <c r="CJ1932">
        <v>1</v>
      </c>
      <c r="CK1932">
        <v>21</v>
      </c>
      <c r="CL1932" t="s">
        <v>89</v>
      </c>
    </row>
    <row r="1933" spans="1:90">
      <c r="A1933" t="s">
        <v>72</v>
      </c>
      <c r="B1933" t="s">
        <v>73</v>
      </c>
      <c r="C1933" t="s">
        <v>74</v>
      </c>
      <c r="E1933" t="str">
        <f>"FES1162723462"</f>
        <v>FES1162723462</v>
      </c>
      <c r="F1933" s="3">
        <v>43784</v>
      </c>
      <c r="G1933">
        <v>202005</v>
      </c>
      <c r="H1933" t="s">
        <v>75</v>
      </c>
      <c r="I1933" t="s">
        <v>76</v>
      </c>
      <c r="J1933" t="s">
        <v>77</v>
      </c>
      <c r="K1933" t="s">
        <v>78</v>
      </c>
      <c r="L1933" t="s">
        <v>106</v>
      </c>
      <c r="M1933" t="s">
        <v>107</v>
      </c>
      <c r="N1933" t="s">
        <v>150</v>
      </c>
      <c r="O1933" t="s">
        <v>82</v>
      </c>
      <c r="P1933" t="str">
        <f>"2170717409                    "</f>
        <v xml:space="preserve">2170717409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8.58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 s="4">
        <v>50.45</v>
      </c>
      <c r="BM1933" s="4">
        <v>7.57</v>
      </c>
      <c r="BN1933" s="4">
        <v>58.02</v>
      </c>
      <c r="BO1933" s="4">
        <v>58.02</v>
      </c>
      <c r="BQ1933" t="s">
        <v>109</v>
      </c>
      <c r="BR1933" t="s">
        <v>84</v>
      </c>
      <c r="BS1933" s="3">
        <v>43787</v>
      </c>
      <c r="BT1933" s="5">
        <v>0.4152777777777778</v>
      </c>
      <c r="BU1933" t="s">
        <v>2207</v>
      </c>
      <c r="BV1933" t="s">
        <v>86</v>
      </c>
      <c r="BY1933">
        <v>1200</v>
      </c>
      <c r="CA1933" t="s">
        <v>111</v>
      </c>
      <c r="CC1933" t="s">
        <v>107</v>
      </c>
      <c r="CD1933">
        <v>6001</v>
      </c>
      <c r="CE1933" t="s">
        <v>147</v>
      </c>
      <c r="CF1933" s="3">
        <v>43788</v>
      </c>
      <c r="CI1933">
        <v>1</v>
      </c>
      <c r="CJ1933">
        <v>1</v>
      </c>
      <c r="CK1933">
        <v>21</v>
      </c>
      <c r="CL1933" t="s">
        <v>89</v>
      </c>
    </row>
    <row r="1934" spans="1:90">
      <c r="A1934" t="s">
        <v>72</v>
      </c>
      <c r="B1934" t="s">
        <v>73</v>
      </c>
      <c r="C1934" t="s">
        <v>74</v>
      </c>
      <c r="E1934" t="str">
        <f>"FES1162723476"</f>
        <v>FES1162723476</v>
      </c>
      <c r="F1934" s="3">
        <v>43784</v>
      </c>
      <c r="G1934">
        <v>202005</v>
      </c>
      <c r="H1934" t="s">
        <v>75</v>
      </c>
      <c r="I1934" t="s">
        <v>76</v>
      </c>
      <c r="J1934" t="s">
        <v>77</v>
      </c>
      <c r="K1934" t="s">
        <v>78</v>
      </c>
      <c r="L1934" t="s">
        <v>90</v>
      </c>
      <c r="M1934" t="s">
        <v>91</v>
      </c>
      <c r="N1934" t="s">
        <v>650</v>
      </c>
      <c r="O1934" t="s">
        <v>82</v>
      </c>
      <c r="P1934" t="str">
        <f>"2170717427                    "</f>
        <v xml:space="preserve">2170717427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8.58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 s="4">
        <v>50.45</v>
      </c>
      <c r="BM1934" s="4">
        <v>7.57</v>
      </c>
      <c r="BN1934" s="4">
        <v>58.02</v>
      </c>
      <c r="BO1934" s="4">
        <v>58.02</v>
      </c>
      <c r="BQ1934" t="s">
        <v>121</v>
      </c>
      <c r="BR1934" t="s">
        <v>84</v>
      </c>
      <c r="BS1934" s="3">
        <v>43787</v>
      </c>
      <c r="BT1934" s="5">
        <v>0.3666666666666667</v>
      </c>
      <c r="BU1934" t="s">
        <v>2264</v>
      </c>
      <c r="BV1934" t="s">
        <v>86</v>
      </c>
      <c r="BY1934">
        <v>1200</v>
      </c>
      <c r="CA1934" t="s">
        <v>1146</v>
      </c>
      <c r="CC1934" t="s">
        <v>91</v>
      </c>
      <c r="CD1934">
        <v>7441</v>
      </c>
      <c r="CE1934" t="s">
        <v>147</v>
      </c>
      <c r="CF1934" s="3">
        <v>43788</v>
      </c>
      <c r="CI1934">
        <v>1</v>
      </c>
      <c r="CJ1934">
        <v>1</v>
      </c>
      <c r="CK1934">
        <v>21</v>
      </c>
      <c r="CL1934" t="s">
        <v>89</v>
      </c>
    </row>
    <row r="1935" spans="1:90">
      <c r="A1935" t="s">
        <v>72</v>
      </c>
      <c r="B1935" t="s">
        <v>73</v>
      </c>
      <c r="C1935" t="s">
        <v>74</v>
      </c>
      <c r="E1935" t="str">
        <f>"FES1162723352"</f>
        <v>FES1162723352</v>
      </c>
      <c r="F1935" s="3">
        <v>43784</v>
      </c>
      <c r="G1935">
        <v>202005</v>
      </c>
      <c r="H1935" t="s">
        <v>75</v>
      </c>
      <c r="I1935" t="s">
        <v>76</v>
      </c>
      <c r="J1935" t="s">
        <v>77</v>
      </c>
      <c r="K1935" t="s">
        <v>78</v>
      </c>
      <c r="L1935" t="s">
        <v>101</v>
      </c>
      <c r="M1935" t="s">
        <v>102</v>
      </c>
      <c r="N1935" t="s">
        <v>707</v>
      </c>
      <c r="O1935" t="s">
        <v>82</v>
      </c>
      <c r="P1935" t="str">
        <f>"21707167765                   "</f>
        <v xml:space="preserve">21707167765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8.58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1.1000000000000001</v>
      </c>
      <c r="BJ1935">
        <v>1.2</v>
      </c>
      <c r="BK1935">
        <v>1.5</v>
      </c>
      <c r="BL1935" s="4">
        <v>50.45</v>
      </c>
      <c r="BM1935" s="4">
        <v>7.57</v>
      </c>
      <c r="BN1935" s="4">
        <v>58.02</v>
      </c>
      <c r="BO1935" s="4">
        <v>58.02</v>
      </c>
      <c r="BQ1935" t="s">
        <v>121</v>
      </c>
      <c r="BR1935" t="s">
        <v>84</v>
      </c>
      <c r="BS1935" s="3">
        <v>43787</v>
      </c>
      <c r="BT1935" s="5">
        <v>0.41250000000000003</v>
      </c>
      <c r="BU1935" t="s">
        <v>708</v>
      </c>
      <c r="BV1935" t="s">
        <v>86</v>
      </c>
      <c r="BY1935">
        <v>6155.39</v>
      </c>
      <c r="CA1935" t="s">
        <v>709</v>
      </c>
      <c r="CC1935" t="s">
        <v>102</v>
      </c>
      <c r="CD1935">
        <v>1</v>
      </c>
      <c r="CE1935" t="s">
        <v>88</v>
      </c>
      <c r="CF1935" s="3">
        <v>43788</v>
      </c>
      <c r="CI1935">
        <v>1</v>
      </c>
      <c r="CJ1935">
        <v>1</v>
      </c>
      <c r="CK1935">
        <v>21</v>
      </c>
      <c r="CL1935" t="s">
        <v>89</v>
      </c>
    </row>
    <row r="1936" spans="1:90">
      <c r="A1936" t="s">
        <v>72</v>
      </c>
      <c r="B1936" t="s">
        <v>73</v>
      </c>
      <c r="C1936" t="s">
        <v>74</v>
      </c>
      <c r="E1936" t="str">
        <f>"FES1162723480"</f>
        <v>FES1162723480</v>
      </c>
      <c r="F1936" s="3">
        <v>43784</v>
      </c>
      <c r="G1936">
        <v>202005</v>
      </c>
      <c r="H1936" t="s">
        <v>75</v>
      </c>
      <c r="I1936" t="s">
        <v>76</v>
      </c>
      <c r="J1936" t="s">
        <v>77</v>
      </c>
      <c r="K1936" t="s">
        <v>78</v>
      </c>
      <c r="L1936" t="s">
        <v>202</v>
      </c>
      <c r="M1936" t="s">
        <v>203</v>
      </c>
      <c r="N1936" t="s">
        <v>521</v>
      </c>
      <c r="O1936" t="s">
        <v>82</v>
      </c>
      <c r="P1936" t="str">
        <f>"2170717293                    "</f>
        <v xml:space="preserve">2170717293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6.71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 s="4">
        <v>39.42</v>
      </c>
      <c r="BM1936" s="4">
        <v>5.91</v>
      </c>
      <c r="BN1936" s="4">
        <v>45.33</v>
      </c>
      <c r="BO1936" s="4">
        <v>45.33</v>
      </c>
      <c r="BQ1936" t="s">
        <v>109</v>
      </c>
      <c r="BR1936" t="s">
        <v>84</v>
      </c>
      <c r="BS1936" s="3">
        <v>43787</v>
      </c>
      <c r="BT1936" s="5">
        <v>0.41319444444444442</v>
      </c>
      <c r="BU1936" t="s">
        <v>2110</v>
      </c>
      <c r="BV1936" t="s">
        <v>86</v>
      </c>
      <c r="BY1936">
        <v>1200</v>
      </c>
      <c r="CC1936" t="s">
        <v>203</v>
      </c>
      <c r="CD1936">
        <v>1428</v>
      </c>
      <c r="CE1936" t="s">
        <v>147</v>
      </c>
      <c r="CF1936" s="3">
        <v>43788</v>
      </c>
      <c r="CI1936">
        <v>1</v>
      </c>
      <c r="CJ1936">
        <v>1</v>
      </c>
      <c r="CK1936">
        <v>22</v>
      </c>
      <c r="CL1936" t="s">
        <v>89</v>
      </c>
    </row>
    <row r="1937" spans="1:91">
      <c r="A1937" t="s">
        <v>72</v>
      </c>
      <c r="B1937" t="s">
        <v>73</v>
      </c>
      <c r="C1937" t="s">
        <v>74</v>
      </c>
      <c r="E1937" t="str">
        <f>"FES1162723484"</f>
        <v>FES1162723484</v>
      </c>
      <c r="F1937" s="3">
        <v>43784</v>
      </c>
      <c r="G1937">
        <v>202005</v>
      </c>
      <c r="H1937" t="s">
        <v>75</v>
      </c>
      <c r="I1937" t="s">
        <v>76</v>
      </c>
      <c r="J1937" t="s">
        <v>77</v>
      </c>
      <c r="K1937" t="s">
        <v>78</v>
      </c>
      <c r="L1937" t="s">
        <v>90</v>
      </c>
      <c r="M1937" t="s">
        <v>91</v>
      </c>
      <c r="N1937" t="s">
        <v>659</v>
      </c>
      <c r="O1937" t="s">
        <v>82</v>
      </c>
      <c r="P1937" t="str">
        <f>"2170717434                    "</f>
        <v xml:space="preserve">2170717434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8.58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 s="4">
        <v>50.45</v>
      </c>
      <c r="BM1937" s="4">
        <v>7.57</v>
      </c>
      <c r="BN1937" s="4">
        <v>58.02</v>
      </c>
      <c r="BO1937" s="4">
        <v>58.02</v>
      </c>
      <c r="BQ1937" t="s">
        <v>121</v>
      </c>
      <c r="BR1937" t="s">
        <v>84</v>
      </c>
      <c r="BS1937" s="3">
        <v>43787</v>
      </c>
      <c r="BT1937" s="5">
        <v>0.3576388888888889</v>
      </c>
      <c r="BU1937" t="s">
        <v>2265</v>
      </c>
      <c r="BV1937" t="s">
        <v>86</v>
      </c>
      <c r="BY1937">
        <v>1200</v>
      </c>
      <c r="CA1937" t="s">
        <v>1522</v>
      </c>
      <c r="CC1937" t="s">
        <v>91</v>
      </c>
      <c r="CD1937">
        <v>7800</v>
      </c>
      <c r="CE1937" t="s">
        <v>147</v>
      </c>
      <c r="CF1937" s="3">
        <v>43788</v>
      </c>
      <c r="CI1937">
        <v>1</v>
      </c>
      <c r="CJ1937">
        <v>1</v>
      </c>
      <c r="CK1937">
        <v>21</v>
      </c>
      <c r="CL1937" t="s">
        <v>89</v>
      </c>
    </row>
    <row r="1938" spans="1:91">
      <c r="A1938" t="s">
        <v>72</v>
      </c>
      <c r="B1938" t="s">
        <v>73</v>
      </c>
      <c r="C1938" t="s">
        <v>74</v>
      </c>
      <c r="E1938" t="str">
        <f>"FES1162723489"</f>
        <v>FES1162723489</v>
      </c>
      <c r="F1938" s="3">
        <v>43784</v>
      </c>
      <c r="G1938">
        <v>202005</v>
      </c>
      <c r="H1938" t="s">
        <v>75</v>
      </c>
      <c r="I1938" t="s">
        <v>76</v>
      </c>
      <c r="J1938" t="s">
        <v>77</v>
      </c>
      <c r="K1938" t="s">
        <v>78</v>
      </c>
      <c r="L1938" t="s">
        <v>90</v>
      </c>
      <c r="M1938" t="s">
        <v>91</v>
      </c>
      <c r="N1938" t="s">
        <v>576</v>
      </c>
      <c r="O1938" t="s">
        <v>82</v>
      </c>
      <c r="P1938" t="str">
        <f>"2170716890                    "</f>
        <v xml:space="preserve">2170716890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8.58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0.2</v>
      </c>
      <c r="BJ1938">
        <v>1</v>
      </c>
      <c r="BK1938">
        <v>1</v>
      </c>
      <c r="BL1938" s="4">
        <v>50.45</v>
      </c>
      <c r="BM1938" s="4">
        <v>7.57</v>
      </c>
      <c r="BN1938" s="4">
        <v>58.02</v>
      </c>
      <c r="BO1938" s="4">
        <v>58.02</v>
      </c>
      <c r="BQ1938" t="s">
        <v>109</v>
      </c>
      <c r="BR1938" t="s">
        <v>84</v>
      </c>
      <c r="BS1938" s="3">
        <v>43787</v>
      </c>
      <c r="BT1938" s="5">
        <v>0.33333333333333331</v>
      </c>
      <c r="BU1938" t="s">
        <v>2266</v>
      </c>
      <c r="BV1938" t="s">
        <v>86</v>
      </c>
      <c r="BY1938">
        <v>5050.08</v>
      </c>
      <c r="CA1938" t="s">
        <v>213</v>
      </c>
      <c r="CC1938" t="s">
        <v>91</v>
      </c>
      <c r="CD1938">
        <v>7441</v>
      </c>
      <c r="CE1938" t="s">
        <v>88</v>
      </c>
      <c r="CF1938" s="3">
        <v>43788</v>
      </c>
      <c r="CI1938">
        <v>1</v>
      </c>
      <c r="CJ1938">
        <v>1</v>
      </c>
      <c r="CK1938">
        <v>21</v>
      </c>
      <c r="CL1938" t="s">
        <v>89</v>
      </c>
    </row>
    <row r="1939" spans="1:91">
      <c r="A1939" t="s">
        <v>72</v>
      </c>
      <c r="B1939" t="s">
        <v>73</v>
      </c>
      <c r="C1939" t="s">
        <v>74</v>
      </c>
      <c r="E1939" t="str">
        <f>"FES1162723412"</f>
        <v>FES1162723412</v>
      </c>
      <c r="F1939" s="3">
        <v>43784</v>
      </c>
      <c r="G1939">
        <v>202005</v>
      </c>
      <c r="H1939" t="s">
        <v>75</v>
      </c>
      <c r="I1939" t="s">
        <v>76</v>
      </c>
      <c r="J1939" t="s">
        <v>77</v>
      </c>
      <c r="K1939" t="s">
        <v>78</v>
      </c>
      <c r="L1939" t="s">
        <v>112</v>
      </c>
      <c r="M1939" t="s">
        <v>113</v>
      </c>
      <c r="N1939" t="s">
        <v>637</v>
      </c>
      <c r="O1939" t="s">
        <v>82</v>
      </c>
      <c r="P1939" t="str">
        <f>"2170717364                    "</f>
        <v xml:space="preserve">2170717364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8.58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1.8</v>
      </c>
      <c r="BJ1939">
        <v>1.2</v>
      </c>
      <c r="BK1939">
        <v>2</v>
      </c>
      <c r="BL1939" s="4">
        <v>50.45</v>
      </c>
      <c r="BM1939" s="4">
        <v>7.57</v>
      </c>
      <c r="BN1939" s="4">
        <v>58.02</v>
      </c>
      <c r="BO1939" s="4">
        <v>58.02</v>
      </c>
      <c r="BR1939" t="s">
        <v>84</v>
      </c>
      <c r="BS1939" s="3">
        <v>43787</v>
      </c>
      <c r="BT1939" s="5">
        <v>0.39444444444444443</v>
      </c>
      <c r="BU1939" t="s">
        <v>2267</v>
      </c>
      <c r="BV1939" t="s">
        <v>86</v>
      </c>
      <c r="BY1939">
        <v>6246.07</v>
      </c>
      <c r="CA1939" t="s">
        <v>639</v>
      </c>
      <c r="CC1939" t="s">
        <v>113</v>
      </c>
      <c r="CD1939">
        <v>4094</v>
      </c>
      <c r="CE1939" t="s">
        <v>88</v>
      </c>
      <c r="CF1939" s="3">
        <v>43788</v>
      </c>
      <c r="CI1939">
        <v>1</v>
      </c>
      <c r="CJ1939">
        <v>1</v>
      </c>
      <c r="CK1939">
        <v>21</v>
      </c>
      <c r="CL1939" t="s">
        <v>89</v>
      </c>
    </row>
    <row r="1940" spans="1:91">
      <c r="A1940" t="s">
        <v>72</v>
      </c>
      <c r="B1940" t="s">
        <v>73</v>
      </c>
      <c r="C1940" t="s">
        <v>74</v>
      </c>
      <c r="E1940" t="str">
        <f>"FES1162723405"</f>
        <v>FES1162723405</v>
      </c>
      <c r="F1940" s="3">
        <v>43784</v>
      </c>
      <c r="G1940">
        <v>202005</v>
      </c>
      <c r="H1940" t="s">
        <v>75</v>
      </c>
      <c r="I1940" t="s">
        <v>76</v>
      </c>
      <c r="J1940" t="s">
        <v>77</v>
      </c>
      <c r="K1940" t="s">
        <v>78</v>
      </c>
      <c r="L1940" t="s">
        <v>118</v>
      </c>
      <c r="M1940" t="s">
        <v>119</v>
      </c>
      <c r="N1940" t="s">
        <v>248</v>
      </c>
      <c r="O1940" t="s">
        <v>82</v>
      </c>
      <c r="P1940" t="str">
        <f>"2170717351                    "</f>
        <v xml:space="preserve">2170717351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8.58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2</v>
      </c>
      <c r="BJ1940">
        <v>0.9</v>
      </c>
      <c r="BK1940">
        <v>2</v>
      </c>
      <c r="BL1940" s="4">
        <v>50.45</v>
      </c>
      <c r="BM1940" s="4">
        <v>7.57</v>
      </c>
      <c r="BN1940" s="4">
        <v>58.02</v>
      </c>
      <c r="BO1940" s="4">
        <v>58.02</v>
      </c>
      <c r="BQ1940" t="s">
        <v>121</v>
      </c>
      <c r="BR1940" t="s">
        <v>84</v>
      </c>
      <c r="BS1940" s="3">
        <v>43787</v>
      </c>
      <c r="BT1940" s="5">
        <v>0.37847222222222227</v>
      </c>
      <c r="BU1940" t="s">
        <v>2268</v>
      </c>
      <c r="BV1940" t="s">
        <v>86</v>
      </c>
      <c r="BY1940">
        <v>4463.9399999999996</v>
      </c>
      <c r="CC1940" t="s">
        <v>119</v>
      </c>
      <c r="CD1940">
        <v>3212</v>
      </c>
      <c r="CE1940" t="s">
        <v>88</v>
      </c>
      <c r="CF1940" s="3">
        <v>43788</v>
      </c>
      <c r="CI1940">
        <v>1</v>
      </c>
      <c r="CJ1940">
        <v>1</v>
      </c>
      <c r="CK1940">
        <v>21</v>
      </c>
      <c r="CL1940" t="s">
        <v>89</v>
      </c>
    </row>
    <row r="1941" spans="1:91">
      <c r="A1941" t="s">
        <v>72</v>
      </c>
      <c r="B1941" t="s">
        <v>73</v>
      </c>
      <c r="C1941" t="s">
        <v>74</v>
      </c>
      <c r="E1941" t="str">
        <f>"019911311299"</f>
        <v>019911311299</v>
      </c>
      <c r="F1941" s="3">
        <v>43781</v>
      </c>
      <c r="G1941">
        <v>202005</v>
      </c>
      <c r="H1941" t="s">
        <v>90</v>
      </c>
      <c r="I1941" t="s">
        <v>91</v>
      </c>
      <c r="J1941" t="s">
        <v>211</v>
      </c>
      <c r="K1941" t="s">
        <v>78</v>
      </c>
      <c r="L1941" t="s">
        <v>75</v>
      </c>
      <c r="M1941" t="s">
        <v>76</v>
      </c>
      <c r="N1941" t="s">
        <v>1014</v>
      </c>
      <c r="O1941" t="s">
        <v>282</v>
      </c>
      <c r="P1941" t="str">
        <f>"1703                          "</f>
        <v xml:space="preserve">1703      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17.57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2</v>
      </c>
      <c r="BJ1941">
        <v>0.9</v>
      </c>
      <c r="BK1941">
        <v>2</v>
      </c>
      <c r="BL1941" s="4">
        <v>108.28</v>
      </c>
      <c r="BM1941" s="4">
        <v>16.239999999999998</v>
      </c>
      <c r="BN1941" s="4">
        <v>124.52</v>
      </c>
      <c r="BO1941" s="4">
        <v>124.52</v>
      </c>
      <c r="BQ1941" t="s">
        <v>2269</v>
      </c>
      <c r="BR1941" t="s">
        <v>1011</v>
      </c>
      <c r="BS1941" s="3">
        <v>43783</v>
      </c>
      <c r="BT1941" s="5">
        <v>0.38055555555555554</v>
      </c>
      <c r="BU1941" t="s">
        <v>1016</v>
      </c>
      <c r="BV1941" t="s">
        <v>86</v>
      </c>
      <c r="BY1941">
        <v>4723.2</v>
      </c>
      <c r="CA1941" t="s">
        <v>198</v>
      </c>
      <c r="CC1941" t="s">
        <v>76</v>
      </c>
      <c r="CD1941">
        <v>1620</v>
      </c>
      <c r="CE1941" t="s">
        <v>88</v>
      </c>
      <c r="CF1941" s="3">
        <v>43784</v>
      </c>
      <c r="CI1941">
        <v>2</v>
      </c>
      <c r="CJ1941">
        <v>2</v>
      </c>
      <c r="CK1941" t="s">
        <v>1002</v>
      </c>
      <c r="CL1941" t="s">
        <v>89</v>
      </c>
    </row>
    <row r="1942" spans="1:91">
      <c r="A1942" t="s">
        <v>72</v>
      </c>
      <c r="B1942" t="s">
        <v>73</v>
      </c>
      <c r="C1942" t="s">
        <v>74</v>
      </c>
      <c r="E1942" t="str">
        <f>"FES1162723360"</f>
        <v>FES1162723360</v>
      </c>
      <c r="F1942" s="3">
        <v>43784</v>
      </c>
      <c r="G1942">
        <v>202005</v>
      </c>
      <c r="H1942" t="s">
        <v>75</v>
      </c>
      <c r="I1942" t="s">
        <v>76</v>
      </c>
      <c r="J1942" t="s">
        <v>77</v>
      </c>
      <c r="K1942" t="s">
        <v>78</v>
      </c>
      <c r="L1942" t="s">
        <v>155</v>
      </c>
      <c r="M1942" t="s">
        <v>156</v>
      </c>
      <c r="N1942" t="s">
        <v>157</v>
      </c>
      <c r="O1942" t="s">
        <v>282</v>
      </c>
      <c r="P1942" t="str">
        <f>"21707177299                   "</f>
        <v xml:space="preserve">21707177299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15.3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23</v>
      </c>
      <c r="BJ1942">
        <v>17.3</v>
      </c>
      <c r="BK1942">
        <v>23</v>
      </c>
      <c r="BL1942" s="4">
        <v>94.94</v>
      </c>
      <c r="BM1942" s="4">
        <v>14.24</v>
      </c>
      <c r="BN1942" s="4">
        <v>109.18</v>
      </c>
      <c r="BO1942" s="4">
        <v>109.18</v>
      </c>
      <c r="BQ1942" t="s">
        <v>2270</v>
      </c>
      <c r="BR1942" t="s">
        <v>84</v>
      </c>
      <c r="BS1942" s="3">
        <v>43787</v>
      </c>
      <c r="BT1942" s="5">
        <v>0.33333333333333331</v>
      </c>
      <c r="BU1942" t="s">
        <v>158</v>
      </c>
      <c r="BV1942" t="s">
        <v>86</v>
      </c>
      <c r="BY1942">
        <v>86328</v>
      </c>
      <c r="CA1942" t="s">
        <v>159</v>
      </c>
      <c r="CC1942" t="s">
        <v>156</v>
      </c>
      <c r="CD1942">
        <v>1685</v>
      </c>
      <c r="CE1942" t="s">
        <v>1598</v>
      </c>
      <c r="CF1942" s="3">
        <v>43789</v>
      </c>
      <c r="CI1942">
        <v>1</v>
      </c>
      <c r="CJ1942">
        <v>1</v>
      </c>
      <c r="CK1942" t="s">
        <v>379</v>
      </c>
      <c r="CL1942" t="s">
        <v>89</v>
      </c>
    </row>
    <row r="1943" spans="1:91">
      <c r="A1943" t="s">
        <v>72</v>
      </c>
      <c r="B1943" t="s">
        <v>73</v>
      </c>
      <c r="C1943" t="s">
        <v>74</v>
      </c>
      <c r="E1943" t="str">
        <f>"FES1162723804"</f>
        <v>FES1162723804</v>
      </c>
      <c r="F1943" s="3">
        <v>43788</v>
      </c>
      <c r="G1943">
        <v>202005</v>
      </c>
      <c r="H1943" t="s">
        <v>75</v>
      </c>
      <c r="I1943" t="s">
        <v>76</v>
      </c>
      <c r="J1943" t="s">
        <v>77</v>
      </c>
      <c r="K1943" t="s">
        <v>78</v>
      </c>
      <c r="L1943" t="s">
        <v>999</v>
      </c>
      <c r="M1943" t="s">
        <v>91</v>
      </c>
      <c r="N1943" t="s">
        <v>1003</v>
      </c>
      <c r="O1943" t="s">
        <v>282</v>
      </c>
      <c r="P1943" t="str">
        <f>"2170717781                    "</f>
        <v xml:space="preserve">2170717781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17.57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6</v>
      </c>
      <c r="BJ1943">
        <v>2</v>
      </c>
      <c r="BK1943">
        <v>6</v>
      </c>
      <c r="BL1943" s="4">
        <v>108.28</v>
      </c>
      <c r="BM1943" s="4">
        <v>16.239999999999998</v>
      </c>
      <c r="BN1943" s="4">
        <v>124.52</v>
      </c>
      <c r="BO1943" s="4">
        <v>124.52</v>
      </c>
      <c r="BP1943" t="s">
        <v>757</v>
      </c>
      <c r="BQ1943" t="s">
        <v>121</v>
      </c>
      <c r="BR1943" t="s">
        <v>84</v>
      </c>
      <c r="BS1943" s="3">
        <v>43789</v>
      </c>
      <c r="BT1943" s="5">
        <v>0.42430555555555555</v>
      </c>
      <c r="BU1943" t="s">
        <v>2271</v>
      </c>
      <c r="BV1943" t="s">
        <v>86</v>
      </c>
      <c r="BY1943">
        <v>9918</v>
      </c>
      <c r="CA1943" t="s">
        <v>515</v>
      </c>
      <c r="CC1943" t="s">
        <v>91</v>
      </c>
      <c r="CD1943">
        <v>7500</v>
      </c>
      <c r="CE1943" t="s">
        <v>88</v>
      </c>
      <c r="CF1943" s="3">
        <v>43790</v>
      </c>
      <c r="CI1943">
        <v>2</v>
      </c>
      <c r="CJ1943">
        <v>1</v>
      </c>
      <c r="CK1943" t="s">
        <v>1002</v>
      </c>
      <c r="CL1943" t="s">
        <v>89</v>
      </c>
    </row>
    <row r="1944" spans="1:91">
      <c r="A1944" t="s">
        <v>72</v>
      </c>
      <c r="B1944" t="s">
        <v>73</v>
      </c>
      <c r="C1944" t="s">
        <v>74</v>
      </c>
      <c r="E1944" t="str">
        <f>"FES1162723580"</f>
        <v>FES1162723580</v>
      </c>
      <c r="F1944" s="3">
        <v>43787</v>
      </c>
      <c r="G1944">
        <v>202005</v>
      </c>
      <c r="H1944" t="s">
        <v>75</v>
      </c>
      <c r="I1944" t="s">
        <v>76</v>
      </c>
      <c r="J1944" t="s">
        <v>77</v>
      </c>
      <c r="K1944" t="s">
        <v>78</v>
      </c>
      <c r="L1944" t="s">
        <v>90</v>
      </c>
      <c r="M1944" t="s">
        <v>91</v>
      </c>
      <c r="N1944" t="s">
        <v>527</v>
      </c>
      <c r="O1944" t="s">
        <v>82</v>
      </c>
      <c r="P1944" t="str">
        <f>"2170717533                    "</f>
        <v xml:space="preserve">2170717533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19.3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4.5</v>
      </c>
      <c r="BJ1944">
        <v>1.3</v>
      </c>
      <c r="BK1944">
        <v>4.5</v>
      </c>
      <c r="BL1944" s="4">
        <v>113.47</v>
      </c>
      <c r="BM1944" s="4">
        <v>17.02</v>
      </c>
      <c r="BN1944" s="4">
        <v>130.49</v>
      </c>
      <c r="BO1944" s="4">
        <v>130.49</v>
      </c>
      <c r="BQ1944" t="s">
        <v>109</v>
      </c>
      <c r="BR1944" t="s">
        <v>84</v>
      </c>
      <c r="BS1944" s="3">
        <v>43788</v>
      </c>
      <c r="BT1944" s="5">
        <v>0.31041666666666667</v>
      </c>
      <c r="BU1944" t="s">
        <v>2272</v>
      </c>
      <c r="BV1944" t="s">
        <v>86</v>
      </c>
      <c r="BY1944">
        <v>6557.68</v>
      </c>
      <c r="CA1944" t="s">
        <v>221</v>
      </c>
      <c r="CC1944" t="s">
        <v>91</v>
      </c>
      <c r="CD1944">
        <v>7405</v>
      </c>
      <c r="CE1944" t="s">
        <v>88</v>
      </c>
      <c r="CF1944" s="3">
        <v>43789</v>
      </c>
      <c r="CI1944">
        <v>1</v>
      </c>
      <c r="CJ1944">
        <v>1</v>
      </c>
      <c r="CK1944">
        <v>21</v>
      </c>
      <c r="CL1944" t="s">
        <v>89</v>
      </c>
    </row>
    <row r="1945" spans="1:91">
      <c r="A1945" t="s">
        <v>72</v>
      </c>
      <c r="B1945" t="s">
        <v>73</v>
      </c>
      <c r="C1945" t="s">
        <v>74</v>
      </c>
      <c r="E1945" t="str">
        <f>"FES1162722303"</f>
        <v>FES1162722303</v>
      </c>
      <c r="F1945" s="3">
        <v>43780</v>
      </c>
      <c r="G1945">
        <v>202005</v>
      </c>
      <c r="H1945" t="s">
        <v>75</v>
      </c>
      <c r="I1945" t="s">
        <v>76</v>
      </c>
      <c r="J1945" t="s">
        <v>211</v>
      </c>
      <c r="K1945" t="s">
        <v>78</v>
      </c>
      <c r="L1945" t="s">
        <v>90</v>
      </c>
      <c r="M1945" t="s">
        <v>91</v>
      </c>
      <c r="N1945" t="s">
        <v>1453</v>
      </c>
      <c r="O1945" t="s">
        <v>82</v>
      </c>
      <c r="P1945" t="str">
        <f>"2170716513                    "</f>
        <v xml:space="preserve">2170716513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164.07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17.16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4</v>
      </c>
      <c r="BJ1945">
        <v>0.5</v>
      </c>
      <c r="BK1945">
        <v>4</v>
      </c>
      <c r="BL1945" s="4">
        <v>264.94</v>
      </c>
      <c r="BM1945" s="4">
        <v>39.74</v>
      </c>
      <c r="BN1945" s="4">
        <v>304.68</v>
      </c>
      <c r="BO1945" s="4">
        <v>304.68</v>
      </c>
      <c r="BP1945" t="s">
        <v>2273</v>
      </c>
      <c r="BR1945" t="s">
        <v>212</v>
      </c>
      <c r="BS1945" s="3">
        <v>43780</v>
      </c>
      <c r="BT1945" s="5">
        <v>0.34027777777777773</v>
      </c>
      <c r="BU1945" t="s">
        <v>1454</v>
      </c>
      <c r="BV1945" t="s">
        <v>86</v>
      </c>
      <c r="BY1945">
        <v>2744</v>
      </c>
      <c r="BZ1945" t="s">
        <v>2274</v>
      </c>
      <c r="CC1945" t="s">
        <v>91</v>
      </c>
      <c r="CD1945">
        <v>7580</v>
      </c>
      <c r="CE1945" t="s">
        <v>88</v>
      </c>
      <c r="CF1945" s="3">
        <v>43782</v>
      </c>
      <c r="CI1945">
        <v>1</v>
      </c>
      <c r="CJ1945">
        <v>0</v>
      </c>
      <c r="CK1945">
        <v>21</v>
      </c>
      <c r="CL1945" t="s">
        <v>86</v>
      </c>
      <c r="CM1945" s="5">
        <v>0.34027777777777773</v>
      </c>
    </row>
    <row r="1946" spans="1:91">
      <c r="A1946" t="s">
        <v>72</v>
      </c>
      <c r="B1946" t="s">
        <v>73</v>
      </c>
      <c r="C1946" t="s">
        <v>74</v>
      </c>
      <c r="E1946" t="str">
        <f>"FES1162723589"</f>
        <v>FES1162723589</v>
      </c>
      <c r="F1946" s="3">
        <v>43787</v>
      </c>
      <c r="G1946">
        <v>202005</v>
      </c>
      <c r="H1946" t="s">
        <v>75</v>
      </c>
      <c r="I1946" t="s">
        <v>76</v>
      </c>
      <c r="J1946" t="s">
        <v>77</v>
      </c>
      <c r="K1946" t="s">
        <v>78</v>
      </c>
      <c r="L1946" t="s">
        <v>90</v>
      </c>
      <c r="M1946" t="s">
        <v>91</v>
      </c>
      <c r="N1946" t="s">
        <v>401</v>
      </c>
      <c r="O1946" t="s">
        <v>82</v>
      </c>
      <c r="P1946" t="str">
        <f>"2170717544                    "</f>
        <v xml:space="preserve">2170717544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10.73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2.2000000000000002</v>
      </c>
      <c r="BJ1946">
        <v>1</v>
      </c>
      <c r="BK1946">
        <v>2.5</v>
      </c>
      <c r="BL1946" s="4">
        <v>63.06</v>
      </c>
      <c r="BM1946" s="4">
        <v>9.4600000000000009</v>
      </c>
      <c r="BN1946" s="4">
        <v>72.52</v>
      </c>
      <c r="BO1946" s="4">
        <v>72.52</v>
      </c>
      <c r="BQ1946" t="s">
        <v>109</v>
      </c>
      <c r="BR1946" t="s">
        <v>84</v>
      </c>
      <c r="BS1946" s="3">
        <v>43788</v>
      </c>
      <c r="BT1946" s="5">
        <v>0.32222222222222224</v>
      </c>
      <c r="BU1946" t="s">
        <v>402</v>
      </c>
      <c r="BV1946" t="s">
        <v>86</v>
      </c>
      <c r="BY1946">
        <v>5096.9399999999996</v>
      </c>
      <c r="CA1946" t="s">
        <v>221</v>
      </c>
      <c r="CC1946" t="s">
        <v>91</v>
      </c>
      <c r="CD1946">
        <v>7441</v>
      </c>
      <c r="CE1946" t="s">
        <v>88</v>
      </c>
      <c r="CF1946" s="3">
        <v>43789</v>
      </c>
      <c r="CI1946">
        <v>1</v>
      </c>
      <c r="CJ1946">
        <v>1</v>
      </c>
      <c r="CK1946">
        <v>21</v>
      </c>
      <c r="CL1946" t="s">
        <v>89</v>
      </c>
    </row>
    <row r="1947" spans="1:91">
      <c r="A1947" t="s">
        <v>72</v>
      </c>
      <c r="B1947" t="s">
        <v>73</v>
      </c>
      <c r="C1947" t="s">
        <v>74</v>
      </c>
      <c r="E1947" t="str">
        <f>"FES1162723588"</f>
        <v>FES1162723588</v>
      </c>
      <c r="F1947" s="3">
        <v>43787</v>
      </c>
      <c r="G1947">
        <v>202005</v>
      </c>
      <c r="H1947" t="s">
        <v>75</v>
      </c>
      <c r="I1947" t="s">
        <v>76</v>
      </c>
      <c r="J1947" t="s">
        <v>77</v>
      </c>
      <c r="K1947" t="s">
        <v>78</v>
      </c>
      <c r="L1947" t="s">
        <v>124</v>
      </c>
      <c r="M1947" t="s">
        <v>125</v>
      </c>
      <c r="N1947" t="s">
        <v>2275</v>
      </c>
      <c r="O1947" t="s">
        <v>82</v>
      </c>
      <c r="P1947" t="str">
        <f>"2170717542                    "</f>
        <v xml:space="preserve">2170717542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6.71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 s="4">
        <v>39.42</v>
      </c>
      <c r="BM1947" s="4">
        <v>5.91</v>
      </c>
      <c r="BN1947" s="4">
        <v>45.33</v>
      </c>
      <c r="BO1947" s="4">
        <v>45.33</v>
      </c>
      <c r="BQ1947" t="s">
        <v>109</v>
      </c>
      <c r="BR1947" t="s">
        <v>84</v>
      </c>
      <c r="BS1947" s="3">
        <v>43788</v>
      </c>
      <c r="BT1947" s="5">
        <v>0.4375</v>
      </c>
      <c r="BU1947" t="s">
        <v>1659</v>
      </c>
      <c r="BV1947" t="s">
        <v>86</v>
      </c>
      <c r="BY1947">
        <v>1200</v>
      </c>
      <c r="CC1947" t="s">
        <v>125</v>
      </c>
      <c r="CD1947">
        <v>2013</v>
      </c>
      <c r="CE1947" t="s">
        <v>147</v>
      </c>
      <c r="CF1947" s="3">
        <v>43789</v>
      </c>
      <c r="CI1947">
        <v>1</v>
      </c>
      <c r="CJ1947">
        <v>1</v>
      </c>
      <c r="CK1947">
        <v>22</v>
      </c>
      <c r="CL1947" t="s">
        <v>89</v>
      </c>
    </row>
    <row r="1948" spans="1:91">
      <c r="A1948" t="s">
        <v>72</v>
      </c>
      <c r="B1948" t="s">
        <v>73</v>
      </c>
      <c r="C1948" t="s">
        <v>74</v>
      </c>
      <c r="E1948" t="str">
        <f>"FES1162723610"</f>
        <v>FES1162723610</v>
      </c>
      <c r="F1948" s="3">
        <v>43787</v>
      </c>
      <c r="G1948">
        <v>202005</v>
      </c>
      <c r="H1948" t="s">
        <v>75</v>
      </c>
      <c r="I1948" t="s">
        <v>76</v>
      </c>
      <c r="J1948" t="s">
        <v>77</v>
      </c>
      <c r="K1948" t="s">
        <v>78</v>
      </c>
      <c r="L1948" t="s">
        <v>95</v>
      </c>
      <c r="M1948" t="s">
        <v>96</v>
      </c>
      <c r="N1948" t="s">
        <v>2276</v>
      </c>
      <c r="O1948" t="s">
        <v>82</v>
      </c>
      <c r="P1948" t="str">
        <f>"2170717565                    "</f>
        <v xml:space="preserve">2170717565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6.71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 s="4">
        <v>39.42</v>
      </c>
      <c r="BM1948" s="4">
        <v>5.91</v>
      </c>
      <c r="BN1948" s="4">
        <v>45.33</v>
      </c>
      <c r="BO1948" s="4">
        <v>45.33</v>
      </c>
      <c r="BQ1948" t="s">
        <v>2277</v>
      </c>
      <c r="BR1948" t="s">
        <v>84</v>
      </c>
      <c r="BS1948" s="3">
        <v>43788</v>
      </c>
      <c r="BT1948" s="5">
        <v>0.35138888888888892</v>
      </c>
      <c r="BU1948" t="s">
        <v>2278</v>
      </c>
      <c r="BV1948" t="s">
        <v>86</v>
      </c>
      <c r="BY1948">
        <v>1200</v>
      </c>
      <c r="CC1948" t="s">
        <v>96</v>
      </c>
      <c r="CD1948">
        <v>1451</v>
      </c>
      <c r="CE1948" t="s">
        <v>147</v>
      </c>
      <c r="CF1948" s="3">
        <v>43789</v>
      </c>
      <c r="CI1948">
        <v>1</v>
      </c>
      <c r="CJ1948">
        <v>1</v>
      </c>
      <c r="CK1948">
        <v>22</v>
      </c>
      <c r="CL1948" t="s">
        <v>89</v>
      </c>
    </row>
    <row r="1949" spans="1:91">
      <c r="A1949" t="s">
        <v>72</v>
      </c>
      <c r="B1949" t="s">
        <v>73</v>
      </c>
      <c r="C1949" t="s">
        <v>74</v>
      </c>
      <c r="E1949" t="str">
        <f>"FES1162723615"</f>
        <v>FES1162723615</v>
      </c>
      <c r="F1949" s="3">
        <v>43787</v>
      </c>
      <c r="G1949">
        <v>202005</v>
      </c>
      <c r="H1949" t="s">
        <v>75</v>
      </c>
      <c r="I1949" t="s">
        <v>76</v>
      </c>
      <c r="J1949" t="s">
        <v>77</v>
      </c>
      <c r="K1949" t="s">
        <v>78</v>
      </c>
      <c r="L1949" t="s">
        <v>112</v>
      </c>
      <c r="M1949" t="s">
        <v>113</v>
      </c>
      <c r="N1949" t="s">
        <v>397</v>
      </c>
      <c r="O1949" t="s">
        <v>82</v>
      </c>
      <c r="P1949" t="str">
        <f>"2170717574                    "</f>
        <v xml:space="preserve">2170717574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15.02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2.1</v>
      </c>
      <c r="BJ1949">
        <v>3.1</v>
      </c>
      <c r="BK1949">
        <v>3.5</v>
      </c>
      <c r="BL1949" s="4">
        <v>88.27</v>
      </c>
      <c r="BM1949" s="4">
        <v>13.24</v>
      </c>
      <c r="BN1949" s="4">
        <v>101.51</v>
      </c>
      <c r="BO1949" s="4">
        <v>101.51</v>
      </c>
      <c r="BQ1949" t="s">
        <v>2279</v>
      </c>
      <c r="BR1949" t="s">
        <v>84</v>
      </c>
      <c r="BS1949" s="3">
        <v>43788</v>
      </c>
      <c r="BT1949" s="5">
        <v>0.36319444444444443</v>
      </c>
      <c r="BU1949" t="s">
        <v>953</v>
      </c>
      <c r="BV1949" t="s">
        <v>86</v>
      </c>
      <c r="BY1949">
        <v>15719.23</v>
      </c>
      <c r="CA1949" t="s">
        <v>163</v>
      </c>
      <c r="CC1949" t="s">
        <v>113</v>
      </c>
      <c r="CD1949">
        <v>4051</v>
      </c>
      <c r="CE1949" t="s">
        <v>88</v>
      </c>
      <c r="CF1949" s="3">
        <v>43789</v>
      </c>
      <c r="CI1949">
        <v>1</v>
      </c>
      <c r="CJ1949">
        <v>1</v>
      </c>
      <c r="CK1949">
        <v>21</v>
      </c>
      <c r="CL1949" t="s">
        <v>89</v>
      </c>
    </row>
    <row r="1950" spans="1:91">
      <c r="A1950" t="s">
        <v>72</v>
      </c>
      <c r="B1950" t="s">
        <v>73</v>
      </c>
      <c r="C1950" t="s">
        <v>74</v>
      </c>
      <c r="E1950" t="str">
        <f>"FES1162723629"</f>
        <v>FES1162723629</v>
      </c>
      <c r="F1950" s="3">
        <v>43787</v>
      </c>
      <c r="G1950">
        <v>202005</v>
      </c>
      <c r="H1950" t="s">
        <v>75</v>
      </c>
      <c r="I1950" t="s">
        <v>76</v>
      </c>
      <c r="J1950" t="s">
        <v>77</v>
      </c>
      <c r="K1950" t="s">
        <v>78</v>
      </c>
      <c r="L1950" t="s">
        <v>90</v>
      </c>
      <c r="M1950" t="s">
        <v>91</v>
      </c>
      <c r="N1950" t="s">
        <v>527</v>
      </c>
      <c r="O1950" t="s">
        <v>82</v>
      </c>
      <c r="P1950" t="str">
        <f>"2170716529                    "</f>
        <v xml:space="preserve">2170716529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8.58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 s="4">
        <v>50.45</v>
      </c>
      <c r="BM1950" s="4">
        <v>7.57</v>
      </c>
      <c r="BN1950" s="4">
        <v>58.02</v>
      </c>
      <c r="BO1950" s="4">
        <v>58.02</v>
      </c>
      <c r="BQ1950" t="s">
        <v>109</v>
      </c>
      <c r="BR1950" t="s">
        <v>84</v>
      </c>
      <c r="BS1950" s="3">
        <v>43788</v>
      </c>
      <c r="BT1950" s="5">
        <v>0.30972222222222223</v>
      </c>
      <c r="BU1950" t="s">
        <v>2272</v>
      </c>
      <c r="BV1950" t="s">
        <v>86</v>
      </c>
      <c r="BY1950">
        <v>1200</v>
      </c>
      <c r="CA1950" t="s">
        <v>221</v>
      </c>
      <c r="CC1950" t="s">
        <v>91</v>
      </c>
      <c r="CD1950">
        <v>7405</v>
      </c>
      <c r="CE1950" t="s">
        <v>147</v>
      </c>
      <c r="CF1950" s="3">
        <v>43789</v>
      </c>
      <c r="CI1950">
        <v>1</v>
      </c>
      <c r="CJ1950">
        <v>1</v>
      </c>
      <c r="CK1950">
        <v>21</v>
      </c>
      <c r="CL1950" t="s">
        <v>89</v>
      </c>
    </row>
    <row r="1951" spans="1:91">
      <c r="A1951" t="s">
        <v>72</v>
      </c>
      <c r="B1951" t="s">
        <v>73</v>
      </c>
      <c r="C1951" t="s">
        <v>74</v>
      </c>
      <c r="E1951" t="str">
        <f>"FES1162723603"</f>
        <v>FES1162723603</v>
      </c>
      <c r="F1951" s="3">
        <v>43787</v>
      </c>
      <c r="G1951">
        <v>202005</v>
      </c>
      <c r="H1951" t="s">
        <v>75</v>
      </c>
      <c r="I1951" t="s">
        <v>76</v>
      </c>
      <c r="J1951" t="s">
        <v>77</v>
      </c>
      <c r="K1951" t="s">
        <v>78</v>
      </c>
      <c r="L1951" t="s">
        <v>106</v>
      </c>
      <c r="M1951" t="s">
        <v>107</v>
      </c>
      <c r="N1951" t="s">
        <v>262</v>
      </c>
      <c r="O1951" t="s">
        <v>82</v>
      </c>
      <c r="P1951" t="str">
        <f>"2170717569                    "</f>
        <v xml:space="preserve">2170717569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15.02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2.2000000000000002</v>
      </c>
      <c r="BJ1951">
        <v>3.4</v>
      </c>
      <c r="BK1951">
        <v>3.5</v>
      </c>
      <c r="BL1951" s="4">
        <v>88.27</v>
      </c>
      <c r="BM1951" s="4">
        <v>13.24</v>
      </c>
      <c r="BN1951" s="4">
        <v>101.51</v>
      </c>
      <c r="BO1951" s="4">
        <v>101.51</v>
      </c>
      <c r="BQ1951" t="s">
        <v>263</v>
      </c>
      <c r="BR1951" t="s">
        <v>84</v>
      </c>
      <c r="BS1951" s="3">
        <v>43788</v>
      </c>
      <c r="BT1951" s="5">
        <v>0.38263888888888892</v>
      </c>
      <c r="BU1951" t="s">
        <v>2280</v>
      </c>
      <c r="BV1951" t="s">
        <v>86</v>
      </c>
      <c r="BY1951">
        <v>17152.400000000001</v>
      </c>
      <c r="CA1951" t="s">
        <v>244</v>
      </c>
      <c r="CC1951" t="s">
        <v>107</v>
      </c>
      <c r="CD1951">
        <v>6045</v>
      </c>
      <c r="CE1951" t="s">
        <v>88</v>
      </c>
      <c r="CF1951" s="3">
        <v>43789</v>
      </c>
      <c r="CI1951">
        <v>1</v>
      </c>
      <c r="CJ1951">
        <v>1</v>
      </c>
      <c r="CK1951">
        <v>21</v>
      </c>
      <c r="CL1951" t="s">
        <v>89</v>
      </c>
    </row>
    <row r="1952" spans="1:91">
      <c r="A1952" t="s">
        <v>72</v>
      </c>
      <c r="B1952" t="s">
        <v>73</v>
      </c>
      <c r="C1952" t="s">
        <v>74</v>
      </c>
      <c r="E1952" t="str">
        <f>"FES1162723561"</f>
        <v>FES1162723561</v>
      </c>
      <c r="F1952" s="3">
        <v>43787</v>
      </c>
      <c r="G1952">
        <v>202005</v>
      </c>
      <c r="H1952" t="s">
        <v>75</v>
      </c>
      <c r="I1952" t="s">
        <v>76</v>
      </c>
      <c r="J1952" t="s">
        <v>77</v>
      </c>
      <c r="K1952" t="s">
        <v>78</v>
      </c>
      <c r="L1952" t="s">
        <v>90</v>
      </c>
      <c r="M1952" t="s">
        <v>91</v>
      </c>
      <c r="N1952" t="s">
        <v>290</v>
      </c>
      <c r="O1952" t="s">
        <v>82</v>
      </c>
      <c r="P1952" t="str">
        <f>"2170717516                    "</f>
        <v xml:space="preserve">2170717516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8.58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 s="4">
        <v>50.45</v>
      </c>
      <c r="BM1952" s="4">
        <v>7.57</v>
      </c>
      <c r="BN1952" s="4">
        <v>58.02</v>
      </c>
      <c r="BO1952" s="4">
        <v>58.02</v>
      </c>
      <c r="BQ1952" t="s">
        <v>109</v>
      </c>
      <c r="BR1952" t="s">
        <v>84</v>
      </c>
      <c r="BS1952" s="3">
        <v>43788</v>
      </c>
      <c r="BT1952" s="5">
        <v>0.30833333333333335</v>
      </c>
      <c r="BU1952" t="s">
        <v>2281</v>
      </c>
      <c r="BV1952" t="s">
        <v>86</v>
      </c>
      <c r="BY1952">
        <v>1200</v>
      </c>
      <c r="CA1952" t="s">
        <v>140</v>
      </c>
      <c r="CC1952" t="s">
        <v>91</v>
      </c>
      <c r="CD1952">
        <v>7530</v>
      </c>
      <c r="CE1952" t="s">
        <v>147</v>
      </c>
      <c r="CF1952" s="3">
        <v>43789</v>
      </c>
      <c r="CI1952">
        <v>1</v>
      </c>
      <c r="CJ1952">
        <v>1</v>
      </c>
      <c r="CK1952">
        <v>21</v>
      </c>
      <c r="CL1952" t="s">
        <v>89</v>
      </c>
    </row>
    <row r="1953" spans="1:90">
      <c r="A1953" t="s">
        <v>72</v>
      </c>
      <c r="B1953" t="s">
        <v>73</v>
      </c>
      <c r="C1953" t="s">
        <v>74</v>
      </c>
      <c r="E1953" t="str">
        <f>"FES1162723614"</f>
        <v>FES1162723614</v>
      </c>
      <c r="F1953" s="3">
        <v>43787</v>
      </c>
      <c r="G1953">
        <v>202005</v>
      </c>
      <c r="H1953" t="s">
        <v>75</v>
      </c>
      <c r="I1953" t="s">
        <v>76</v>
      </c>
      <c r="J1953" t="s">
        <v>77</v>
      </c>
      <c r="K1953" t="s">
        <v>78</v>
      </c>
      <c r="L1953" t="s">
        <v>90</v>
      </c>
      <c r="M1953" t="s">
        <v>91</v>
      </c>
      <c r="N1953" t="s">
        <v>527</v>
      </c>
      <c r="O1953" t="s">
        <v>82</v>
      </c>
      <c r="P1953" t="str">
        <f>"2170715446                    "</f>
        <v xml:space="preserve">2170715446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8.58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 s="4">
        <v>50.45</v>
      </c>
      <c r="BM1953" s="4">
        <v>7.57</v>
      </c>
      <c r="BN1953" s="4">
        <v>58.02</v>
      </c>
      <c r="BO1953" s="4">
        <v>58.02</v>
      </c>
      <c r="BQ1953" t="s">
        <v>109</v>
      </c>
      <c r="BR1953" t="s">
        <v>84</v>
      </c>
      <c r="BS1953" s="3">
        <v>43788</v>
      </c>
      <c r="BT1953" s="5">
        <v>0.30972222222222223</v>
      </c>
      <c r="BU1953" t="s">
        <v>2272</v>
      </c>
      <c r="BV1953" t="s">
        <v>86</v>
      </c>
      <c r="BY1953">
        <v>1200</v>
      </c>
      <c r="CA1953" t="s">
        <v>221</v>
      </c>
      <c r="CC1953" t="s">
        <v>91</v>
      </c>
      <c r="CD1953">
        <v>7405</v>
      </c>
      <c r="CE1953" t="s">
        <v>147</v>
      </c>
      <c r="CF1953" s="3">
        <v>43789</v>
      </c>
      <c r="CI1953">
        <v>1</v>
      </c>
      <c r="CJ1953">
        <v>1</v>
      </c>
      <c r="CK1953">
        <v>21</v>
      </c>
      <c r="CL1953" t="s">
        <v>89</v>
      </c>
    </row>
    <row r="1954" spans="1:90">
      <c r="A1954" t="s">
        <v>72</v>
      </c>
      <c r="B1954" t="s">
        <v>73</v>
      </c>
      <c r="C1954" t="s">
        <v>74</v>
      </c>
      <c r="E1954" t="str">
        <f>"FES1162723599"</f>
        <v>FES1162723599</v>
      </c>
      <c r="F1954" s="3">
        <v>43787</v>
      </c>
      <c r="G1954">
        <v>202005</v>
      </c>
      <c r="H1954" t="s">
        <v>75</v>
      </c>
      <c r="I1954" t="s">
        <v>76</v>
      </c>
      <c r="J1954" t="s">
        <v>77</v>
      </c>
      <c r="K1954" t="s">
        <v>78</v>
      </c>
      <c r="L1954" t="s">
        <v>90</v>
      </c>
      <c r="M1954" t="s">
        <v>91</v>
      </c>
      <c r="N1954" t="s">
        <v>1194</v>
      </c>
      <c r="O1954" t="s">
        <v>82</v>
      </c>
      <c r="P1954" t="str">
        <f>"2170717369                    "</f>
        <v xml:space="preserve">2170717369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8.58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0.7</v>
      </c>
      <c r="BJ1954">
        <v>1.2</v>
      </c>
      <c r="BK1954">
        <v>1.5</v>
      </c>
      <c r="BL1954" s="4">
        <v>50.45</v>
      </c>
      <c r="BM1954" s="4">
        <v>7.57</v>
      </c>
      <c r="BN1954" s="4">
        <v>58.02</v>
      </c>
      <c r="BO1954" s="4">
        <v>58.02</v>
      </c>
      <c r="BQ1954" t="s">
        <v>121</v>
      </c>
      <c r="BR1954" t="s">
        <v>84</v>
      </c>
      <c r="BS1954" s="3">
        <v>43788</v>
      </c>
      <c r="BT1954" s="5">
        <v>0.41250000000000003</v>
      </c>
      <c r="BU1954" t="s">
        <v>1618</v>
      </c>
      <c r="BV1954" t="s">
        <v>86</v>
      </c>
      <c r="BY1954">
        <v>5841.36</v>
      </c>
      <c r="CA1954" t="s">
        <v>1309</v>
      </c>
      <c r="CC1954" t="s">
        <v>91</v>
      </c>
      <c r="CD1954">
        <v>7580</v>
      </c>
      <c r="CE1954" t="s">
        <v>88</v>
      </c>
      <c r="CF1954" s="3">
        <v>43789</v>
      </c>
      <c r="CI1954">
        <v>1</v>
      </c>
      <c r="CJ1954">
        <v>1</v>
      </c>
      <c r="CK1954">
        <v>21</v>
      </c>
      <c r="CL1954" t="s">
        <v>89</v>
      </c>
    </row>
    <row r="1955" spans="1:90">
      <c r="A1955" t="s">
        <v>72</v>
      </c>
      <c r="B1955" t="s">
        <v>73</v>
      </c>
      <c r="C1955" t="s">
        <v>74</v>
      </c>
      <c r="E1955" t="str">
        <f>"FES1162723570"</f>
        <v>FES1162723570</v>
      </c>
      <c r="F1955" s="3">
        <v>43787</v>
      </c>
      <c r="G1955">
        <v>202005</v>
      </c>
      <c r="H1955" t="s">
        <v>75</v>
      </c>
      <c r="I1955" t="s">
        <v>76</v>
      </c>
      <c r="J1955" t="s">
        <v>77</v>
      </c>
      <c r="K1955" t="s">
        <v>78</v>
      </c>
      <c r="L1955" t="s">
        <v>431</v>
      </c>
      <c r="M1955" t="s">
        <v>432</v>
      </c>
      <c r="N1955" t="s">
        <v>436</v>
      </c>
      <c r="O1955" t="s">
        <v>82</v>
      </c>
      <c r="P1955" t="str">
        <f>"2170717525                    "</f>
        <v xml:space="preserve">2170717525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8.58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 s="4">
        <v>50.45</v>
      </c>
      <c r="BM1955" s="4">
        <v>7.57</v>
      </c>
      <c r="BN1955" s="4">
        <v>58.02</v>
      </c>
      <c r="BO1955" s="4">
        <v>58.02</v>
      </c>
      <c r="BR1955" t="s">
        <v>84</v>
      </c>
      <c r="BS1955" s="3">
        <v>43788</v>
      </c>
      <c r="BT1955" s="5">
        <v>0.52430555555555558</v>
      </c>
      <c r="BU1955" t="s">
        <v>434</v>
      </c>
      <c r="BV1955" t="s">
        <v>86</v>
      </c>
      <c r="BY1955">
        <v>1200</v>
      </c>
      <c r="CA1955" t="s">
        <v>435</v>
      </c>
      <c r="CC1955" t="s">
        <v>432</v>
      </c>
      <c r="CD1955">
        <v>3699</v>
      </c>
      <c r="CE1955" t="s">
        <v>147</v>
      </c>
      <c r="CF1955" s="3">
        <v>43789</v>
      </c>
      <c r="CI1955">
        <v>1</v>
      </c>
      <c r="CJ1955">
        <v>1</v>
      </c>
      <c r="CK1955">
        <v>21</v>
      </c>
      <c r="CL1955" t="s">
        <v>89</v>
      </c>
    </row>
    <row r="1956" spans="1:90">
      <c r="A1956" t="s">
        <v>72</v>
      </c>
      <c r="B1956" t="s">
        <v>73</v>
      </c>
      <c r="C1956" t="s">
        <v>74</v>
      </c>
      <c r="E1956" t="str">
        <f>"FES1162723633"</f>
        <v>FES1162723633</v>
      </c>
      <c r="F1956" s="3">
        <v>43787</v>
      </c>
      <c r="G1956">
        <v>202005</v>
      </c>
      <c r="H1956" t="s">
        <v>75</v>
      </c>
      <c r="I1956" t="s">
        <v>76</v>
      </c>
      <c r="J1956" t="s">
        <v>77</v>
      </c>
      <c r="K1956" t="s">
        <v>78</v>
      </c>
      <c r="L1956" t="s">
        <v>106</v>
      </c>
      <c r="M1956" t="s">
        <v>107</v>
      </c>
      <c r="N1956" t="s">
        <v>700</v>
      </c>
      <c r="O1956" t="s">
        <v>82</v>
      </c>
      <c r="P1956" t="str">
        <f>"2170714794                    "</f>
        <v xml:space="preserve">2170714794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8.58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 s="4">
        <v>50.45</v>
      </c>
      <c r="BM1956" s="4">
        <v>7.57</v>
      </c>
      <c r="BN1956" s="4">
        <v>58.02</v>
      </c>
      <c r="BO1956" s="4">
        <v>58.02</v>
      </c>
      <c r="BQ1956" t="s">
        <v>109</v>
      </c>
      <c r="BR1956" t="s">
        <v>84</v>
      </c>
      <c r="BS1956" s="3">
        <v>43788</v>
      </c>
      <c r="BT1956" s="5">
        <v>0.39444444444444443</v>
      </c>
      <c r="BU1956" t="s">
        <v>2282</v>
      </c>
      <c r="BV1956" t="s">
        <v>86</v>
      </c>
      <c r="BY1956">
        <v>1200</v>
      </c>
      <c r="CA1956" t="s">
        <v>773</v>
      </c>
      <c r="CC1956" t="s">
        <v>107</v>
      </c>
      <c r="CD1956">
        <v>6001</v>
      </c>
      <c r="CE1956" t="s">
        <v>147</v>
      </c>
      <c r="CF1956" s="3">
        <v>43789</v>
      </c>
      <c r="CI1956">
        <v>1</v>
      </c>
      <c r="CJ1956">
        <v>1</v>
      </c>
      <c r="CK1956">
        <v>21</v>
      </c>
      <c r="CL1956" t="s">
        <v>89</v>
      </c>
    </row>
    <row r="1957" spans="1:90">
      <c r="A1957" t="s">
        <v>72</v>
      </c>
      <c r="B1957" t="s">
        <v>73</v>
      </c>
      <c r="C1957" t="s">
        <v>74</v>
      </c>
      <c r="E1957" t="str">
        <f>"FES1162723571"</f>
        <v>FES1162723571</v>
      </c>
      <c r="F1957" s="3">
        <v>43787</v>
      </c>
      <c r="G1957">
        <v>202005</v>
      </c>
      <c r="H1957" t="s">
        <v>75</v>
      </c>
      <c r="I1957" t="s">
        <v>76</v>
      </c>
      <c r="J1957" t="s">
        <v>77</v>
      </c>
      <c r="K1957" t="s">
        <v>78</v>
      </c>
      <c r="L1957" t="s">
        <v>112</v>
      </c>
      <c r="M1957" t="s">
        <v>113</v>
      </c>
      <c r="N1957" t="s">
        <v>423</v>
      </c>
      <c r="O1957" t="s">
        <v>82</v>
      </c>
      <c r="P1957" t="str">
        <f>"2170717526                    "</f>
        <v xml:space="preserve">2170717526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8.58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 s="4">
        <v>50.45</v>
      </c>
      <c r="BM1957" s="4">
        <v>7.57</v>
      </c>
      <c r="BN1957" s="4">
        <v>58.02</v>
      </c>
      <c r="BO1957" s="4">
        <v>58.02</v>
      </c>
      <c r="BQ1957" t="s">
        <v>424</v>
      </c>
      <c r="BR1957" t="s">
        <v>84</v>
      </c>
      <c r="BS1957" s="3">
        <v>43788</v>
      </c>
      <c r="BT1957" s="5">
        <v>0.3</v>
      </c>
      <c r="BU1957" t="s">
        <v>2283</v>
      </c>
      <c r="BV1957" t="s">
        <v>86</v>
      </c>
      <c r="BY1957">
        <v>1200</v>
      </c>
      <c r="CA1957" t="s">
        <v>426</v>
      </c>
      <c r="CC1957" t="s">
        <v>113</v>
      </c>
      <c r="CD1957">
        <v>4001</v>
      </c>
      <c r="CE1957" t="s">
        <v>147</v>
      </c>
      <c r="CF1957" s="3">
        <v>43789</v>
      </c>
      <c r="CI1957">
        <v>1</v>
      </c>
      <c r="CJ1957">
        <v>1</v>
      </c>
      <c r="CK1957">
        <v>21</v>
      </c>
      <c r="CL1957" t="s">
        <v>89</v>
      </c>
    </row>
    <row r="1958" spans="1:90">
      <c r="A1958" t="s">
        <v>72</v>
      </c>
      <c r="B1958" t="s">
        <v>73</v>
      </c>
      <c r="C1958" t="s">
        <v>74</v>
      </c>
      <c r="E1958" t="str">
        <f>"FES1162723622"</f>
        <v>FES1162723622</v>
      </c>
      <c r="F1958" s="3">
        <v>43787</v>
      </c>
      <c r="G1958">
        <v>202005</v>
      </c>
      <c r="H1958" t="s">
        <v>75</v>
      </c>
      <c r="I1958" t="s">
        <v>76</v>
      </c>
      <c r="J1958" t="s">
        <v>77</v>
      </c>
      <c r="K1958" t="s">
        <v>78</v>
      </c>
      <c r="L1958" t="s">
        <v>106</v>
      </c>
      <c r="M1958" t="s">
        <v>107</v>
      </c>
      <c r="N1958" t="s">
        <v>1311</v>
      </c>
      <c r="O1958" t="s">
        <v>82</v>
      </c>
      <c r="P1958" t="str">
        <f>"2170713301                    "</f>
        <v xml:space="preserve">2170713301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40.75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8.8000000000000007</v>
      </c>
      <c r="BJ1958">
        <v>9.1</v>
      </c>
      <c r="BK1958">
        <v>9.5</v>
      </c>
      <c r="BL1958" s="4">
        <v>239.52</v>
      </c>
      <c r="BM1958" s="4">
        <v>35.93</v>
      </c>
      <c r="BN1958" s="4">
        <v>275.45</v>
      </c>
      <c r="BO1958" s="4">
        <v>275.45</v>
      </c>
      <c r="BQ1958" t="s">
        <v>109</v>
      </c>
      <c r="BR1958" t="s">
        <v>84</v>
      </c>
      <c r="BS1958" s="3">
        <v>43788</v>
      </c>
      <c r="BT1958" s="5">
        <v>0.3840277777777778</v>
      </c>
      <c r="BU1958" t="s">
        <v>2284</v>
      </c>
      <c r="BV1958" t="s">
        <v>86</v>
      </c>
      <c r="BY1958">
        <v>45619.46</v>
      </c>
      <c r="CA1958" t="s">
        <v>773</v>
      </c>
      <c r="CC1958" t="s">
        <v>107</v>
      </c>
      <c r="CD1958">
        <v>6001</v>
      </c>
      <c r="CE1958" t="s">
        <v>88</v>
      </c>
      <c r="CF1958" s="3">
        <v>43789</v>
      </c>
      <c r="CI1958">
        <v>1</v>
      </c>
      <c r="CJ1958">
        <v>1</v>
      </c>
      <c r="CK1958">
        <v>21</v>
      </c>
      <c r="CL1958" t="s">
        <v>89</v>
      </c>
    </row>
    <row r="1959" spans="1:90">
      <c r="A1959" t="s">
        <v>72</v>
      </c>
      <c r="B1959" t="s">
        <v>73</v>
      </c>
      <c r="C1959" t="s">
        <v>74</v>
      </c>
      <c r="E1959" t="str">
        <f>"FES1162723601"</f>
        <v>FES1162723601</v>
      </c>
      <c r="F1959" s="3">
        <v>43787</v>
      </c>
      <c r="G1959">
        <v>202005</v>
      </c>
      <c r="H1959" t="s">
        <v>75</v>
      </c>
      <c r="I1959" t="s">
        <v>76</v>
      </c>
      <c r="J1959" t="s">
        <v>77</v>
      </c>
      <c r="K1959" t="s">
        <v>78</v>
      </c>
      <c r="L1959" t="s">
        <v>106</v>
      </c>
      <c r="M1959" t="s">
        <v>107</v>
      </c>
      <c r="N1959" t="s">
        <v>700</v>
      </c>
      <c r="O1959" t="s">
        <v>82</v>
      </c>
      <c r="P1959" t="str">
        <f>"217074784                     "</f>
        <v xml:space="preserve">217074784 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8.58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 s="4">
        <v>50.45</v>
      </c>
      <c r="BM1959" s="4">
        <v>7.57</v>
      </c>
      <c r="BN1959" s="4">
        <v>58.02</v>
      </c>
      <c r="BO1959" s="4">
        <v>58.02</v>
      </c>
      <c r="BQ1959" t="s">
        <v>109</v>
      </c>
      <c r="BR1959" t="s">
        <v>84</v>
      </c>
      <c r="BS1959" s="3">
        <v>43788</v>
      </c>
      <c r="BT1959" s="5">
        <v>0.39444444444444443</v>
      </c>
      <c r="BU1959" t="s">
        <v>2285</v>
      </c>
      <c r="BV1959" t="s">
        <v>86</v>
      </c>
      <c r="BY1959">
        <v>1200</v>
      </c>
      <c r="CA1959" t="s">
        <v>773</v>
      </c>
      <c r="CC1959" t="s">
        <v>107</v>
      </c>
      <c r="CD1959">
        <v>6001</v>
      </c>
      <c r="CE1959" t="s">
        <v>147</v>
      </c>
      <c r="CF1959" s="3">
        <v>43789</v>
      </c>
      <c r="CI1959">
        <v>1</v>
      </c>
      <c r="CJ1959">
        <v>1</v>
      </c>
      <c r="CK1959">
        <v>21</v>
      </c>
      <c r="CL1959" t="s">
        <v>89</v>
      </c>
    </row>
    <row r="1960" spans="1:90">
      <c r="A1960" t="s">
        <v>72</v>
      </c>
      <c r="B1960" t="s">
        <v>73</v>
      </c>
      <c r="C1960" t="s">
        <v>74</v>
      </c>
      <c r="E1960" t="str">
        <f>"FES1162723596"</f>
        <v>FES1162723596</v>
      </c>
      <c r="F1960" s="3">
        <v>43787</v>
      </c>
      <c r="G1960">
        <v>202005</v>
      </c>
      <c r="H1960" t="s">
        <v>75</v>
      </c>
      <c r="I1960" t="s">
        <v>76</v>
      </c>
      <c r="J1960" t="s">
        <v>77</v>
      </c>
      <c r="K1960" t="s">
        <v>78</v>
      </c>
      <c r="L1960" t="s">
        <v>202</v>
      </c>
      <c r="M1960" t="s">
        <v>203</v>
      </c>
      <c r="N1960" t="s">
        <v>1170</v>
      </c>
      <c r="O1960" t="s">
        <v>82</v>
      </c>
      <c r="P1960" t="str">
        <f>"217071550                     "</f>
        <v xml:space="preserve">217071550 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6.71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 s="4">
        <v>39.42</v>
      </c>
      <c r="BM1960" s="4">
        <v>5.91</v>
      </c>
      <c r="BN1960" s="4">
        <v>45.33</v>
      </c>
      <c r="BO1960" s="4">
        <v>45.33</v>
      </c>
      <c r="BQ1960" t="s">
        <v>337</v>
      </c>
      <c r="BR1960" t="s">
        <v>84</v>
      </c>
      <c r="BS1960" s="3">
        <v>43788</v>
      </c>
      <c r="BT1960" s="5">
        <v>0.33333333333333331</v>
      </c>
      <c r="BU1960" t="s">
        <v>231</v>
      </c>
      <c r="BV1960" t="s">
        <v>86</v>
      </c>
      <c r="BY1960">
        <v>1200</v>
      </c>
      <c r="CC1960" t="s">
        <v>203</v>
      </c>
      <c r="CD1960">
        <v>1401</v>
      </c>
      <c r="CE1960" t="s">
        <v>147</v>
      </c>
      <c r="CF1960" s="3">
        <v>43789</v>
      </c>
      <c r="CI1960">
        <v>1</v>
      </c>
      <c r="CJ1960">
        <v>1</v>
      </c>
      <c r="CK1960">
        <v>22</v>
      </c>
      <c r="CL1960" t="s">
        <v>89</v>
      </c>
    </row>
    <row r="1961" spans="1:90">
      <c r="A1961" t="s">
        <v>72</v>
      </c>
      <c r="B1961" t="s">
        <v>73</v>
      </c>
      <c r="C1961" t="s">
        <v>74</v>
      </c>
      <c r="E1961" t="str">
        <f>"FES1162723551"</f>
        <v>FES1162723551</v>
      </c>
      <c r="F1961" s="3">
        <v>43787</v>
      </c>
      <c r="G1961">
        <v>202005</v>
      </c>
      <c r="H1961" t="s">
        <v>75</v>
      </c>
      <c r="I1961" t="s">
        <v>76</v>
      </c>
      <c r="J1961" t="s">
        <v>77</v>
      </c>
      <c r="K1961" t="s">
        <v>78</v>
      </c>
      <c r="L1961" t="s">
        <v>118</v>
      </c>
      <c r="M1961" t="s">
        <v>119</v>
      </c>
      <c r="N1961" t="s">
        <v>630</v>
      </c>
      <c r="O1961" t="s">
        <v>82</v>
      </c>
      <c r="P1961" t="str">
        <f>"2170717508                    "</f>
        <v xml:space="preserve">2170717508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21.45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</v>
      </c>
      <c r="BJ1961">
        <v>4.8</v>
      </c>
      <c r="BK1961">
        <v>5</v>
      </c>
      <c r="BL1961" s="4">
        <v>126.08</v>
      </c>
      <c r="BM1961" s="4">
        <v>18.91</v>
      </c>
      <c r="BN1961" s="4">
        <v>144.99</v>
      </c>
      <c r="BO1961" s="4">
        <v>144.99</v>
      </c>
      <c r="BQ1961" t="s">
        <v>121</v>
      </c>
      <c r="BR1961" t="s">
        <v>84</v>
      </c>
      <c r="BS1961" s="3">
        <v>43788</v>
      </c>
      <c r="BT1961" s="5">
        <v>0.33680555555555558</v>
      </c>
      <c r="BU1961" t="s">
        <v>2286</v>
      </c>
      <c r="BV1961" t="s">
        <v>86</v>
      </c>
      <c r="BY1961">
        <v>24243.3</v>
      </c>
      <c r="CA1961" t="s">
        <v>2287</v>
      </c>
      <c r="CC1961" t="s">
        <v>119</v>
      </c>
      <c r="CD1961">
        <v>3201</v>
      </c>
      <c r="CE1961" t="s">
        <v>88</v>
      </c>
      <c r="CF1961" s="3">
        <v>43789</v>
      </c>
      <c r="CI1961">
        <v>1</v>
      </c>
      <c r="CJ1961">
        <v>1</v>
      </c>
      <c r="CK1961">
        <v>21</v>
      </c>
      <c r="CL1961" t="s">
        <v>89</v>
      </c>
    </row>
    <row r="1962" spans="1:90">
      <c r="A1962" t="s">
        <v>72</v>
      </c>
      <c r="B1962" t="s">
        <v>73</v>
      </c>
      <c r="C1962" t="s">
        <v>74</v>
      </c>
      <c r="E1962" t="str">
        <f>"FES1162723510"</f>
        <v>FES1162723510</v>
      </c>
      <c r="F1962" s="3">
        <v>43787</v>
      </c>
      <c r="G1962">
        <v>202005</v>
      </c>
      <c r="H1962" t="s">
        <v>75</v>
      </c>
      <c r="I1962" t="s">
        <v>76</v>
      </c>
      <c r="J1962" t="s">
        <v>77</v>
      </c>
      <c r="K1962" t="s">
        <v>78</v>
      </c>
      <c r="L1962" t="s">
        <v>176</v>
      </c>
      <c r="M1962" t="s">
        <v>177</v>
      </c>
      <c r="N1962" t="s">
        <v>598</v>
      </c>
      <c r="O1962" t="s">
        <v>82</v>
      </c>
      <c r="P1962" t="str">
        <f>"2170715632                    "</f>
        <v xml:space="preserve">2170715632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10.73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1.1000000000000001</v>
      </c>
      <c r="BJ1962">
        <v>2.4</v>
      </c>
      <c r="BK1962">
        <v>2.5</v>
      </c>
      <c r="BL1962" s="4">
        <v>63.06</v>
      </c>
      <c r="BM1962" s="4">
        <v>9.4600000000000009</v>
      </c>
      <c r="BN1962" s="4">
        <v>72.52</v>
      </c>
      <c r="BO1962" s="4">
        <v>72.52</v>
      </c>
      <c r="BQ1962" t="s">
        <v>121</v>
      </c>
      <c r="BR1962" t="s">
        <v>84</v>
      </c>
      <c r="BS1962" s="3">
        <v>43788</v>
      </c>
      <c r="BT1962" s="5">
        <v>0.4201388888888889</v>
      </c>
      <c r="BU1962" t="s">
        <v>2236</v>
      </c>
      <c r="BV1962" t="s">
        <v>86</v>
      </c>
      <c r="BY1962">
        <v>11858.45</v>
      </c>
      <c r="CA1962" t="s">
        <v>224</v>
      </c>
      <c r="CC1962" t="s">
        <v>177</v>
      </c>
      <c r="CD1962">
        <v>3610</v>
      </c>
      <c r="CE1962" t="s">
        <v>88</v>
      </c>
      <c r="CF1962" s="3">
        <v>43789</v>
      </c>
      <c r="CI1962">
        <v>1</v>
      </c>
      <c r="CJ1962">
        <v>1</v>
      </c>
      <c r="CK1962">
        <v>21</v>
      </c>
      <c r="CL1962" t="s">
        <v>89</v>
      </c>
    </row>
    <row r="1963" spans="1:90">
      <c r="A1963" t="s">
        <v>72</v>
      </c>
      <c r="B1963" t="s">
        <v>73</v>
      </c>
      <c r="C1963" t="s">
        <v>74</v>
      </c>
      <c r="E1963" t="str">
        <f>"FES1162723631"</f>
        <v>FES1162723631</v>
      </c>
      <c r="F1963" s="3">
        <v>43787</v>
      </c>
      <c r="G1963">
        <v>202005</v>
      </c>
      <c r="H1963" t="s">
        <v>75</v>
      </c>
      <c r="I1963" t="s">
        <v>76</v>
      </c>
      <c r="J1963" t="s">
        <v>77</v>
      </c>
      <c r="K1963" t="s">
        <v>78</v>
      </c>
      <c r="L1963" t="s">
        <v>133</v>
      </c>
      <c r="M1963" t="s">
        <v>134</v>
      </c>
      <c r="N1963" t="s">
        <v>1201</v>
      </c>
      <c r="O1963" t="s">
        <v>82</v>
      </c>
      <c r="P1963" t="str">
        <f>"2170717587                    "</f>
        <v xml:space="preserve">2170717587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15.02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3.4</v>
      </c>
      <c r="BJ1963">
        <v>1.3</v>
      </c>
      <c r="BK1963">
        <v>3.5</v>
      </c>
      <c r="BL1963" s="4">
        <v>88.27</v>
      </c>
      <c r="BM1963" s="4">
        <v>13.24</v>
      </c>
      <c r="BN1963" s="4">
        <v>101.51</v>
      </c>
      <c r="BO1963" s="4">
        <v>101.51</v>
      </c>
      <c r="BQ1963" t="s">
        <v>109</v>
      </c>
      <c r="BR1963" t="s">
        <v>84</v>
      </c>
      <c r="BS1963" s="3">
        <v>43788</v>
      </c>
      <c r="BT1963" s="5">
        <v>0.43402777777777773</v>
      </c>
      <c r="BU1963" t="s">
        <v>2288</v>
      </c>
      <c r="BV1963" t="s">
        <v>86</v>
      </c>
      <c r="BY1963">
        <v>6660.54</v>
      </c>
      <c r="CA1963" t="s">
        <v>988</v>
      </c>
      <c r="CC1963" t="s">
        <v>134</v>
      </c>
      <c r="CD1963">
        <v>5201</v>
      </c>
      <c r="CE1963" t="s">
        <v>88</v>
      </c>
      <c r="CF1963" s="3">
        <v>43791</v>
      </c>
      <c r="CI1963">
        <v>1</v>
      </c>
      <c r="CJ1963">
        <v>1</v>
      </c>
      <c r="CK1963">
        <v>21</v>
      </c>
      <c r="CL1963" t="s">
        <v>89</v>
      </c>
    </row>
    <row r="1964" spans="1:90">
      <c r="A1964" t="s">
        <v>72</v>
      </c>
      <c r="B1964" t="s">
        <v>73</v>
      </c>
      <c r="C1964" t="s">
        <v>74</v>
      </c>
      <c r="E1964" t="str">
        <f>"FES1162723624"</f>
        <v>FES1162723624</v>
      </c>
      <c r="F1964" s="3">
        <v>43787</v>
      </c>
      <c r="G1964">
        <v>202005</v>
      </c>
      <c r="H1964" t="s">
        <v>75</v>
      </c>
      <c r="I1964" t="s">
        <v>76</v>
      </c>
      <c r="J1964" t="s">
        <v>77</v>
      </c>
      <c r="K1964" t="s">
        <v>78</v>
      </c>
      <c r="L1964" t="s">
        <v>270</v>
      </c>
      <c r="M1964" t="s">
        <v>271</v>
      </c>
      <c r="N1964" t="s">
        <v>618</v>
      </c>
      <c r="O1964" t="s">
        <v>82</v>
      </c>
      <c r="P1964" t="str">
        <f>"2170717583                    "</f>
        <v xml:space="preserve">2170717583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8.58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1.1000000000000001</v>
      </c>
      <c r="BJ1964">
        <v>1.4</v>
      </c>
      <c r="BK1964">
        <v>1.5</v>
      </c>
      <c r="BL1964" s="4">
        <v>50.45</v>
      </c>
      <c r="BM1964" s="4">
        <v>7.57</v>
      </c>
      <c r="BN1964" s="4">
        <v>58.02</v>
      </c>
      <c r="BO1964" s="4">
        <v>58.02</v>
      </c>
      <c r="BQ1964" t="s">
        <v>121</v>
      </c>
      <c r="BR1964" t="s">
        <v>84</v>
      </c>
      <c r="BS1964" s="3">
        <v>43788</v>
      </c>
      <c r="BT1964" s="5">
        <v>0.43055555555555558</v>
      </c>
      <c r="BU1964" t="s">
        <v>2289</v>
      </c>
      <c r="BV1964" t="s">
        <v>86</v>
      </c>
      <c r="BY1964">
        <v>6756.19</v>
      </c>
      <c r="CA1964" t="s">
        <v>773</v>
      </c>
      <c r="CC1964" t="s">
        <v>271</v>
      </c>
      <c r="CD1964">
        <v>6220</v>
      </c>
      <c r="CE1964" t="s">
        <v>88</v>
      </c>
      <c r="CF1964" s="3">
        <v>43789</v>
      </c>
      <c r="CI1964">
        <v>1</v>
      </c>
      <c r="CJ1964">
        <v>1</v>
      </c>
      <c r="CK1964">
        <v>21</v>
      </c>
      <c r="CL1964" t="s">
        <v>89</v>
      </c>
    </row>
    <row r="1965" spans="1:90">
      <c r="A1965" t="s">
        <v>72</v>
      </c>
      <c r="B1965" t="s">
        <v>73</v>
      </c>
      <c r="C1965" t="s">
        <v>74</v>
      </c>
      <c r="E1965" t="str">
        <f>"FES1162723575"</f>
        <v>FES1162723575</v>
      </c>
      <c r="F1965" s="3">
        <v>43787</v>
      </c>
      <c r="G1965">
        <v>202005</v>
      </c>
      <c r="H1965" t="s">
        <v>75</v>
      </c>
      <c r="I1965" t="s">
        <v>76</v>
      </c>
      <c r="J1965" t="s">
        <v>77</v>
      </c>
      <c r="K1965" t="s">
        <v>78</v>
      </c>
      <c r="L1965" t="s">
        <v>106</v>
      </c>
      <c r="M1965" t="s">
        <v>107</v>
      </c>
      <c r="N1965" t="s">
        <v>108</v>
      </c>
      <c r="O1965" t="s">
        <v>82</v>
      </c>
      <c r="P1965" t="str">
        <f>"2170715445                    "</f>
        <v xml:space="preserve">2170715445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27.88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6.4</v>
      </c>
      <c r="BJ1965">
        <v>1.6</v>
      </c>
      <c r="BK1965">
        <v>6.5</v>
      </c>
      <c r="BL1965" s="4">
        <v>163.89</v>
      </c>
      <c r="BM1965" s="4">
        <v>24.58</v>
      </c>
      <c r="BN1965" s="4">
        <v>188.47</v>
      </c>
      <c r="BO1965" s="4">
        <v>188.47</v>
      </c>
      <c r="BQ1965" t="s">
        <v>109</v>
      </c>
      <c r="BR1965" t="s">
        <v>84</v>
      </c>
      <c r="BS1965" s="3">
        <v>43788</v>
      </c>
      <c r="BT1965" s="5">
        <v>0.36805555555555558</v>
      </c>
      <c r="BU1965" t="s">
        <v>110</v>
      </c>
      <c r="BV1965" t="s">
        <v>86</v>
      </c>
      <c r="BY1965">
        <v>8031.02</v>
      </c>
      <c r="CA1965" t="s">
        <v>111</v>
      </c>
      <c r="CC1965" t="s">
        <v>107</v>
      </c>
      <c r="CD1965">
        <v>6001</v>
      </c>
      <c r="CE1965" t="s">
        <v>88</v>
      </c>
      <c r="CF1965" s="3">
        <v>43789</v>
      </c>
      <c r="CI1965">
        <v>1</v>
      </c>
      <c r="CJ1965">
        <v>1</v>
      </c>
      <c r="CK1965">
        <v>21</v>
      </c>
      <c r="CL1965" t="s">
        <v>89</v>
      </c>
    </row>
    <row r="1966" spans="1:90">
      <c r="A1966" t="s">
        <v>72</v>
      </c>
      <c r="B1966" t="s">
        <v>73</v>
      </c>
      <c r="C1966" t="s">
        <v>74</v>
      </c>
      <c r="E1966" t="str">
        <f>"FES165723509"</f>
        <v>FES165723509</v>
      </c>
      <c r="F1966" s="3">
        <v>43787</v>
      </c>
      <c r="G1966">
        <v>202005</v>
      </c>
      <c r="H1966" t="s">
        <v>75</v>
      </c>
      <c r="I1966" t="s">
        <v>76</v>
      </c>
      <c r="J1966" t="s">
        <v>77</v>
      </c>
      <c r="K1966" t="s">
        <v>78</v>
      </c>
      <c r="L1966" t="s">
        <v>482</v>
      </c>
      <c r="M1966" t="s">
        <v>483</v>
      </c>
      <c r="N1966" t="s">
        <v>1036</v>
      </c>
      <c r="O1966" t="s">
        <v>82</v>
      </c>
      <c r="P1966" t="str">
        <f>"2170715392                    "</f>
        <v xml:space="preserve">2170715392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6.71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1.2</v>
      </c>
      <c r="BJ1966">
        <v>0.9</v>
      </c>
      <c r="BK1966">
        <v>1.5</v>
      </c>
      <c r="BL1966" s="4">
        <v>39.42</v>
      </c>
      <c r="BM1966" s="4">
        <v>5.91</v>
      </c>
      <c r="BN1966" s="4">
        <v>45.33</v>
      </c>
      <c r="BO1966" s="4">
        <v>45.33</v>
      </c>
      <c r="BQ1966" t="s">
        <v>121</v>
      </c>
      <c r="BR1966" t="s">
        <v>84</v>
      </c>
      <c r="BS1966" s="3">
        <v>43788</v>
      </c>
      <c r="BT1966" s="5">
        <v>0.38472222222222219</v>
      </c>
      <c r="BU1966" t="s">
        <v>2290</v>
      </c>
      <c r="BV1966" t="s">
        <v>86</v>
      </c>
      <c r="BY1966">
        <v>4585.28</v>
      </c>
      <c r="CC1966" t="s">
        <v>483</v>
      </c>
      <c r="CD1966">
        <v>1460</v>
      </c>
      <c r="CE1966" t="s">
        <v>88</v>
      </c>
      <c r="CI1966">
        <v>1</v>
      </c>
      <c r="CJ1966">
        <v>1</v>
      </c>
      <c r="CK1966">
        <v>22</v>
      </c>
      <c r="CL1966" t="s">
        <v>89</v>
      </c>
    </row>
    <row r="1967" spans="1:90">
      <c r="A1967" t="s">
        <v>72</v>
      </c>
      <c r="B1967" t="s">
        <v>73</v>
      </c>
      <c r="C1967" t="s">
        <v>74</v>
      </c>
      <c r="E1967" t="str">
        <f>"FES1162723565"</f>
        <v>FES1162723565</v>
      </c>
      <c r="F1967" s="3">
        <v>43787</v>
      </c>
      <c r="G1967">
        <v>202005</v>
      </c>
      <c r="H1967" t="s">
        <v>75</v>
      </c>
      <c r="I1967" t="s">
        <v>76</v>
      </c>
      <c r="J1967" t="s">
        <v>77</v>
      </c>
      <c r="K1967" t="s">
        <v>78</v>
      </c>
      <c r="L1967" t="s">
        <v>214</v>
      </c>
      <c r="M1967" t="s">
        <v>214</v>
      </c>
      <c r="N1967" t="s">
        <v>314</v>
      </c>
      <c r="O1967" t="s">
        <v>82</v>
      </c>
      <c r="P1967" t="str">
        <f>"2170717213                    "</f>
        <v xml:space="preserve">2170717213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106.76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13.7</v>
      </c>
      <c r="BJ1967">
        <v>8.9</v>
      </c>
      <c r="BK1967">
        <v>14</v>
      </c>
      <c r="BL1967" s="4">
        <v>627.55999999999995</v>
      </c>
      <c r="BM1967" s="4">
        <v>94.13</v>
      </c>
      <c r="BN1967" s="4">
        <v>721.69</v>
      </c>
      <c r="BO1967" s="4">
        <v>721.69</v>
      </c>
      <c r="BQ1967" t="s">
        <v>109</v>
      </c>
      <c r="BR1967" t="s">
        <v>84</v>
      </c>
      <c r="BS1967" s="3">
        <v>43788</v>
      </c>
      <c r="BT1967" s="5">
        <v>0.46597222222222223</v>
      </c>
      <c r="BU1967" t="s">
        <v>315</v>
      </c>
      <c r="BV1967" t="s">
        <v>86</v>
      </c>
      <c r="BY1967">
        <v>44635.5</v>
      </c>
      <c r="CA1967" t="s">
        <v>217</v>
      </c>
      <c r="CC1967" t="s">
        <v>214</v>
      </c>
      <c r="CD1967">
        <v>7646</v>
      </c>
      <c r="CE1967" t="s">
        <v>88</v>
      </c>
      <c r="CF1967" s="3">
        <v>43789</v>
      </c>
      <c r="CI1967">
        <v>1</v>
      </c>
      <c r="CJ1967">
        <v>1</v>
      </c>
      <c r="CK1967">
        <v>23</v>
      </c>
      <c r="CL1967" t="s">
        <v>89</v>
      </c>
    </row>
    <row r="1968" spans="1:90">
      <c r="A1968" t="s">
        <v>72</v>
      </c>
      <c r="B1968" t="s">
        <v>73</v>
      </c>
      <c r="C1968" t="s">
        <v>74</v>
      </c>
      <c r="E1968" t="str">
        <f>"FES1162723617"</f>
        <v>FES1162723617</v>
      </c>
      <c r="F1968" s="3">
        <v>43787</v>
      </c>
      <c r="G1968">
        <v>202005</v>
      </c>
      <c r="H1968" t="s">
        <v>75</v>
      </c>
      <c r="I1968" t="s">
        <v>76</v>
      </c>
      <c r="J1968" t="s">
        <v>77</v>
      </c>
      <c r="K1968" t="s">
        <v>78</v>
      </c>
      <c r="L1968" t="s">
        <v>225</v>
      </c>
      <c r="M1968" t="s">
        <v>226</v>
      </c>
      <c r="N1968" t="s">
        <v>227</v>
      </c>
      <c r="O1968" t="s">
        <v>82</v>
      </c>
      <c r="P1968" t="str">
        <f>"2170717572                    "</f>
        <v xml:space="preserve">2170717572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8.58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 s="4">
        <v>50.45</v>
      </c>
      <c r="BM1968" s="4">
        <v>7.57</v>
      </c>
      <c r="BN1968" s="4">
        <v>58.02</v>
      </c>
      <c r="BO1968" s="4">
        <v>58.02</v>
      </c>
      <c r="BQ1968" t="s">
        <v>121</v>
      </c>
      <c r="BR1968" t="s">
        <v>84</v>
      </c>
      <c r="BS1968" s="3">
        <v>43788</v>
      </c>
      <c r="BT1968" s="5">
        <v>0.3444444444444445</v>
      </c>
      <c r="BU1968" t="s">
        <v>2291</v>
      </c>
      <c r="BV1968" t="s">
        <v>86</v>
      </c>
      <c r="BY1968">
        <v>1200</v>
      </c>
      <c r="CA1968" t="s">
        <v>229</v>
      </c>
      <c r="CC1968" t="s">
        <v>226</v>
      </c>
      <c r="CD1968">
        <v>4026</v>
      </c>
      <c r="CE1968" t="s">
        <v>147</v>
      </c>
      <c r="CF1968" s="3">
        <v>43789</v>
      </c>
      <c r="CI1968">
        <v>1</v>
      </c>
      <c r="CJ1968">
        <v>1</v>
      </c>
      <c r="CK1968">
        <v>21</v>
      </c>
      <c r="CL1968" t="s">
        <v>89</v>
      </c>
    </row>
    <row r="1969" spans="1:90">
      <c r="A1969" t="s">
        <v>72</v>
      </c>
      <c r="B1969" t="s">
        <v>73</v>
      </c>
      <c r="C1969" t="s">
        <v>74</v>
      </c>
      <c r="E1969" t="str">
        <f>"FES1162723620"</f>
        <v>FES1162723620</v>
      </c>
      <c r="F1969" s="3">
        <v>43787</v>
      </c>
      <c r="G1969">
        <v>202005</v>
      </c>
      <c r="H1969" t="s">
        <v>75</v>
      </c>
      <c r="I1969" t="s">
        <v>76</v>
      </c>
      <c r="J1969" t="s">
        <v>77</v>
      </c>
      <c r="K1969" t="s">
        <v>78</v>
      </c>
      <c r="L1969" t="s">
        <v>90</v>
      </c>
      <c r="M1969" t="s">
        <v>91</v>
      </c>
      <c r="N1969" t="s">
        <v>1003</v>
      </c>
      <c r="O1969" t="s">
        <v>82</v>
      </c>
      <c r="P1969" t="str">
        <f>"2170717581                    "</f>
        <v xml:space="preserve">2170717581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8.58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 s="4">
        <v>50.45</v>
      </c>
      <c r="BM1969" s="4">
        <v>7.57</v>
      </c>
      <c r="BN1969" s="4">
        <v>58.02</v>
      </c>
      <c r="BO1969" s="4">
        <v>58.02</v>
      </c>
      <c r="BQ1969" t="s">
        <v>187</v>
      </c>
      <c r="BR1969" t="s">
        <v>84</v>
      </c>
      <c r="BS1969" s="3">
        <v>43788</v>
      </c>
      <c r="BT1969" s="5">
        <v>0.42986111111111108</v>
      </c>
      <c r="BU1969" t="s">
        <v>2271</v>
      </c>
      <c r="BV1969" t="s">
        <v>86</v>
      </c>
      <c r="BY1969">
        <v>1200</v>
      </c>
      <c r="CA1969" t="s">
        <v>2292</v>
      </c>
      <c r="CC1969" t="s">
        <v>91</v>
      </c>
      <c r="CD1969">
        <v>7500</v>
      </c>
      <c r="CE1969" t="s">
        <v>147</v>
      </c>
      <c r="CF1969" s="3">
        <v>43789</v>
      </c>
      <c r="CI1969">
        <v>1</v>
      </c>
      <c r="CJ1969">
        <v>1</v>
      </c>
      <c r="CK1969">
        <v>21</v>
      </c>
      <c r="CL1969" t="s">
        <v>89</v>
      </c>
    </row>
    <row r="1970" spans="1:90">
      <c r="A1970" t="s">
        <v>72</v>
      </c>
      <c r="B1970" t="s">
        <v>73</v>
      </c>
      <c r="C1970" t="s">
        <v>74</v>
      </c>
      <c r="E1970" t="str">
        <f>"FES1162723661"</f>
        <v>FES1162723661</v>
      </c>
      <c r="F1970" s="3">
        <v>43787</v>
      </c>
      <c r="G1970">
        <v>202005</v>
      </c>
      <c r="H1970" t="s">
        <v>75</v>
      </c>
      <c r="I1970" t="s">
        <v>76</v>
      </c>
      <c r="J1970" t="s">
        <v>77</v>
      </c>
      <c r="K1970" t="s">
        <v>78</v>
      </c>
      <c r="L1970" t="s">
        <v>90</v>
      </c>
      <c r="M1970" t="s">
        <v>91</v>
      </c>
      <c r="N1970" t="s">
        <v>2125</v>
      </c>
      <c r="O1970" t="s">
        <v>82</v>
      </c>
      <c r="P1970" t="str">
        <f>"2170171694                    "</f>
        <v xml:space="preserve">2170171694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8.58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 s="4">
        <v>50.45</v>
      </c>
      <c r="BM1970" s="4">
        <v>7.57</v>
      </c>
      <c r="BN1970" s="4">
        <v>58.02</v>
      </c>
      <c r="BO1970" s="4">
        <v>58.02</v>
      </c>
      <c r="BQ1970" t="s">
        <v>2293</v>
      </c>
      <c r="BR1970" t="s">
        <v>84</v>
      </c>
      <c r="BS1970" s="3">
        <v>43788</v>
      </c>
      <c r="BT1970" s="5">
        <v>0.3125</v>
      </c>
      <c r="BU1970" t="s">
        <v>2294</v>
      </c>
      <c r="BV1970" t="s">
        <v>86</v>
      </c>
      <c r="BY1970">
        <v>1200</v>
      </c>
      <c r="CA1970" t="s">
        <v>515</v>
      </c>
      <c r="CC1970" t="s">
        <v>91</v>
      </c>
      <c r="CD1970">
        <v>7500</v>
      </c>
      <c r="CE1970" t="s">
        <v>147</v>
      </c>
      <c r="CF1970" s="3">
        <v>43789</v>
      </c>
      <c r="CI1970">
        <v>1</v>
      </c>
      <c r="CJ1970">
        <v>1</v>
      </c>
      <c r="CK1970">
        <v>21</v>
      </c>
      <c r="CL1970" t="s">
        <v>89</v>
      </c>
    </row>
    <row r="1971" spans="1:90">
      <c r="A1971" t="s">
        <v>72</v>
      </c>
      <c r="B1971" t="s">
        <v>73</v>
      </c>
      <c r="C1971" t="s">
        <v>74</v>
      </c>
      <c r="E1971" t="str">
        <f>"FES1162723529"</f>
        <v>FES1162723529</v>
      </c>
      <c r="F1971" s="3">
        <v>43787</v>
      </c>
      <c r="G1971">
        <v>202005</v>
      </c>
      <c r="H1971" t="s">
        <v>75</v>
      </c>
      <c r="I1971" t="s">
        <v>76</v>
      </c>
      <c r="J1971" t="s">
        <v>77</v>
      </c>
      <c r="K1971" t="s">
        <v>78</v>
      </c>
      <c r="L1971" t="s">
        <v>349</v>
      </c>
      <c r="M1971" t="s">
        <v>350</v>
      </c>
      <c r="N1971" t="s">
        <v>351</v>
      </c>
      <c r="O1971" t="s">
        <v>82</v>
      </c>
      <c r="P1971" t="str">
        <f>"2170717476                    "</f>
        <v xml:space="preserve">2170717476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8.58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0.8</v>
      </c>
      <c r="BJ1971">
        <v>0.9</v>
      </c>
      <c r="BK1971">
        <v>1</v>
      </c>
      <c r="BL1971" s="4">
        <v>50.45</v>
      </c>
      <c r="BM1971" s="4">
        <v>7.57</v>
      </c>
      <c r="BN1971" s="4">
        <v>58.02</v>
      </c>
      <c r="BO1971" s="4">
        <v>58.02</v>
      </c>
      <c r="BQ1971" t="s">
        <v>109</v>
      </c>
      <c r="BR1971" t="s">
        <v>84</v>
      </c>
      <c r="BS1971" s="3">
        <v>43788</v>
      </c>
      <c r="BT1971" s="5">
        <v>0.40625</v>
      </c>
      <c r="BU1971" t="s">
        <v>1347</v>
      </c>
      <c r="BV1971" t="s">
        <v>86</v>
      </c>
      <c r="BY1971">
        <v>4614.78</v>
      </c>
      <c r="CC1971" t="s">
        <v>350</v>
      </c>
      <c r="CD1971">
        <v>6536</v>
      </c>
      <c r="CE1971" t="s">
        <v>88</v>
      </c>
      <c r="CF1971" s="3">
        <v>43790</v>
      </c>
      <c r="CI1971">
        <v>1</v>
      </c>
      <c r="CJ1971">
        <v>1</v>
      </c>
      <c r="CK1971">
        <v>21</v>
      </c>
      <c r="CL1971" t="s">
        <v>89</v>
      </c>
    </row>
    <row r="1972" spans="1:90">
      <c r="A1972" t="s">
        <v>72</v>
      </c>
      <c r="B1972" t="s">
        <v>73</v>
      </c>
      <c r="C1972" t="s">
        <v>74</v>
      </c>
      <c r="E1972" t="str">
        <f>"FES1162723488"</f>
        <v>FES1162723488</v>
      </c>
      <c r="F1972" s="3">
        <v>43787</v>
      </c>
      <c r="G1972">
        <v>202005</v>
      </c>
      <c r="H1972" t="s">
        <v>75</v>
      </c>
      <c r="I1972" t="s">
        <v>76</v>
      </c>
      <c r="J1972" t="s">
        <v>77</v>
      </c>
      <c r="K1972" t="s">
        <v>78</v>
      </c>
      <c r="L1972" t="s">
        <v>405</v>
      </c>
      <c r="M1972" t="s">
        <v>406</v>
      </c>
      <c r="N1972" t="s">
        <v>871</v>
      </c>
      <c r="O1972" t="s">
        <v>82</v>
      </c>
      <c r="P1972" t="str">
        <f>"2170717438                    "</f>
        <v xml:space="preserve">2170717438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12.07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0.7</v>
      </c>
      <c r="BJ1972">
        <v>1.1000000000000001</v>
      </c>
      <c r="BK1972">
        <v>1.5</v>
      </c>
      <c r="BL1972" s="4">
        <v>70.95</v>
      </c>
      <c r="BM1972" s="4">
        <v>10.64</v>
      </c>
      <c r="BN1972" s="4">
        <v>81.59</v>
      </c>
      <c r="BO1972" s="4">
        <v>81.59</v>
      </c>
      <c r="BQ1972" t="s">
        <v>121</v>
      </c>
      <c r="BR1972" t="s">
        <v>84</v>
      </c>
      <c r="BS1972" s="3">
        <v>43788</v>
      </c>
      <c r="BT1972" s="5">
        <v>0.39027777777777778</v>
      </c>
      <c r="BU1972" t="s">
        <v>2295</v>
      </c>
      <c r="BV1972" t="s">
        <v>86</v>
      </c>
      <c r="BY1972">
        <v>5395.49</v>
      </c>
      <c r="CA1972" t="s">
        <v>409</v>
      </c>
      <c r="CC1972" t="s">
        <v>406</v>
      </c>
      <c r="CD1972">
        <v>250</v>
      </c>
      <c r="CE1972" t="s">
        <v>88</v>
      </c>
      <c r="CF1972" s="3">
        <v>43790</v>
      </c>
      <c r="CI1972">
        <v>1</v>
      </c>
      <c r="CJ1972">
        <v>1</v>
      </c>
      <c r="CK1972">
        <v>24</v>
      </c>
      <c r="CL1972" t="s">
        <v>89</v>
      </c>
    </row>
    <row r="1973" spans="1:90">
      <c r="A1973" t="s">
        <v>72</v>
      </c>
      <c r="B1973" t="s">
        <v>73</v>
      </c>
      <c r="C1973" t="s">
        <v>74</v>
      </c>
      <c r="E1973" t="str">
        <f>"FES1162723507"</f>
        <v>FES1162723507</v>
      </c>
      <c r="F1973" s="3">
        <v>43787</v>
      </c>
      <c r="G1973">
        <v>202005</v>
      </c>
      <c r="H1973" t="s">
        <v>75</v>
      </c>
      <c r="I1973" t="s">
        <v>76</v>
      </c>
      <c r="J1973" t="s">
        <v>77</v>
      </c>
      <c r="K1973" t="s">
        <v>78</v>
      </c>
      <c r="L1973" t="s">
        <v>79</v>
      </c>
      <c r="M1973" t="s">
        <v>80</v>
      </c>
      <c r="N1973" t="s">
        <v>456</v>
      </c>
      <c r="O1973" t="s">
        <v>82</v>
      </c>
      <c r="P1973" t="str">
        <f>"2170713602                    "</f>
        <v xml:space="preserve">2170713602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8.58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0.5</v>
      </c>
      <c r="BJ1973">
        <v>0.9</v>
      </c>
      <c r="BK1973">
        <v>1</v>
      </c>
      <c r="BL1973" s="4">
        <v>50.45</v>
      </c>
      <c r="BM1973" s="4">
        <v>7.57</v>
      </c>
      <c r="BN1973" s="4">
        <v>58.02</v>
      </c>
      <c r="BO1973" s="4">
        <v>58.02</v>
      </c>
      <c r="BQ1973" t="s">
        <v>109</v>
      </c>
      <c r="BR1973" t="s">
        <v>84</v>
      </c>
      <c r="BS1973" s="3">
        <v>43788</v>
      </c>
      <c r="BT1973" s="5">
        <v>0.33333333333333331</v>
      </c>
      <c r="BU1973" t="s">
        <v>2235</v>
      </c>
      <c r="BV1973" t="s">
        <v>86</v>
      </c>
      <c r="BY1973">
        <v>4600.2299999999996</v>
      </c>
      <c r="CA1973" t="s">
        <v>87</v>
      </c>
      <c r="CC1973" t="s">
        <v>80</v>
      </c>
      <c r="CD1973">
        <v>6230</v>
      </c>
      <c r="CE1973" t="s">
        <v>88</v>
      </c>
      <c r="CF1973" s="3">
        <v>43789</v>
      </c>
      <c r="CI1973">
        <v>1</v>
      </c>
      <c r="CJ1973">
        <v>1</v>
      </c>
      <c r="CK1973">
        <v>21</v>
      </c>
      <c r="CL1973" t="s">
        <v>89</v>
      </c>
    </row>
    <row r="1974" spans="1:90">
      <c r="A1974" t="s">
        <v>72</v>
      </c>
      <c r="B1974" t="s">
        <v>73</v>
      </c>
      <c r="C1974" t="s">
        <v>74</v>
      </c>
      <c r="E1974" t="str">
        <f>"FES1162723456"</f>
        <v>FES1162723456</v>
      </c>
      <c r="F1974" s="3">
        <v>43787</v>
      </c>
      <c r="G1974">
        <v>202005</v>
      </c>
      <c r="H1974" t="s">
        <v>75</v>
      </c>
      <c r="I1974" t="s">
        <v>76</v>
      </c>
      <c r="J1974" t="s">
        <v>77</v>
      </c>
      <c r="K1974" t="s">
        <v>78</v>
      </c>
      <c r="L1974" t="s">
        <v>101</v>
      </c>
      <c r="M1974" t="s">
        <v>102</v>
      </c>
      <c r="N1974" t="s">
        <v>330</v>
      </c>
      <c r="O1974" t="s">
        <v>82</v>
      </c>
      <c r="P1974" t="str">
        <f>"2170717244                    "</f>
        <v xml:space="preserve">2170717244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10.73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2.2999999999999998</v>
      </c>
      <c r="BJ1974">
        <v>1.1000000000000001</v>
      </c>
      <c r="BK1974">
        <v>2.5</v>
      </c>
      <c r="BL1974" s="4">
        <v>63.06</v>
      </c>
      <c r="BM1974" s="4">
        <v>9.4600000000000009</v>
      </c>
      <c r="BN1974" s="4">
        <v>72.52</v>
      </c>
      <c r="BO1974" s="4">
        <v>72.52</v>
      </c>
      <c r="BQ1974" t="s">
        <v>109</v>
      </c>
      <c r="BR1974" t="s">
        <v>84</v>
      </c>
      <c r="BS1974" s="3">
        <v>43788</v>
      </c>
      <c r="BT1974" s="5">
        <v>0.3979166666666667</v>
      </c>
      <c r="BU1974" t="s">
        <v>2296</v>
      </c>
      <c r="BV1974" t="s">
        <v>86</v>
      </c>
      <c r="BY1974">
        <v>5354.32</v>
      </c>
      <c r="CC1974" t="s">
        <v>102</v>
      </c>
      <c r="CD1974">
        <v>200</v>
      </c>
      <c r="CE1974" t="s">
        <v>88</v>
      </c>
      <c r="CF1974" s="3">
        <v>43790</v>
      </c>
      <c r="CI1974">
        <v>1</v>
      </c>
      <c r="CJ1974">
        <v>1</v>
      </c>
      <c r="CK1974">
        <v>21</v>
      </c>
      <c r="CL1974" t="s">
        <v>89</v>
      </c>
    </row>
    <row r="1975" spans="1:90">
      <c r="A1975" t="s">
        <v>72</v>
      </c>
      <c r="B1975" t="s">
        <v>73</v>
      </c>
      <c r="C1975" t="s">
        <v>74</v>
      </c>
      <c r="E1975" t="str">
        <f>"FES1162723655"</f>
        <v>FES1162723655</v>
      </c>
      <c r="F1975" s="3">
        <v>43787</v>
      </c>
      <c r="G1975">
        <v>202005</v>
      </c>
      <c r="H1975" t="s">
        <v>75</v>
      </c>
      <c r="I1975" t="s">
        <v>76</v>
      </c>
      <c r="J1975" t="s">
        <v>77</v>
      </c>
      <c r="K1975" t="s">
        <v>78</v>
      </c>
      <c r="L1975" t="s">
        <v>106</v>
      </c>
      <c r="M1975" t="s">
        <v>107</v>
      </c>
      <c r="N1975" t="s">
        <v>386</v>
      </c>
      <c r="O1975" t="s">
        <v>82</v>
      </c>
      <c r="P1975" t="str">
        <f>"2170717612                    "</f>
        <v xml:space="preserve">2170717612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10.73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0.5</v>
      </c>
      <c r="BJ1975">
        <v>2.5</v>
      </c>
      <c r="BK1975">
        <v>2.5</v>
      </c>
      <c r="BL1975" s="4">
        <v>63.06</v>
      </c>
      <c r="BM1975" s="4">
        <v>9.4600000000000009</v>
      </c>
      <c r="BN1975" s="4">
        <v>72.52</v>
      </c>
      <c r="BO1975" s="4">
        <v>72.52</v>
      </c>
      <c r="BQ1975" t="s">
        <v>121</v>
      </c>
      <c r="BR1975" t="s">
        <v>84</v>
      </c>
      <c r="BS1975" s="3">
        <v>43788</v>
      </c>
      <c r="BT1975" s="5">
        <v>0.40277777777777773</v>
      </c>
      <c r="BU1975" t="s">
        <v>388</v>
      </c>
      <c r="BV1975" t="s">
        <v>86</v>
      </c>
      <c r="BY1975">
        <v>12468.1</v>
      </c>
      <c r="CA1975" t="s">
        <v>111</v>
      </c>
      <c r="CC1975" t="s">
        <v>107</v>
      </c>
      <c r="CD1975">
        <v>6001</v>
      </c>
      <c r="CE1975" t="s">
        <v>88</v>
      </c>
      <c r="CF1975" s="3">
        <v>43789</v>
      </c>
      <c r="CI1975">
        <v>1</v>
      </c>
      <c r="CJ1975">
        <v>1</v>
      </c>
      <c r="CK1975">
        <v>21</v>
      </c>
      <c r="CL1975" t="s">
        <v>89</v>
      </c>
    </row>
    <row r="1976" spans="1:90">
      <c r="A1976" t="s">
        <v>72</v>
      </c>
      <c r="B1976" t="s">
        <v>73</v>
      </c>
      <c r="C1976" t="s">
        <v>74</v>
      </c>
      <c r="E1976" t="str">
        <f>"FES1162723673"</f>
        <v>FES1162723673</v>
      </c>
      <c r="F1976" s="3">
        <v>43787</v>
      </c>
      <c r="G1976">
        <v>202005</v>
      </c>
      <c r="H1976" t="s">
        <v>75</v>
      </c>
      <c r="I1976" t="s">
        <v>76</v>
      </c>
      <c r="J1976" t="s">
        <v>77</v>
      </c>
      <c r="K1976" t="s">
        <v>78</v>
      </c>
      <c r="L1976" t="s">
        <v>90</v>
      </c>
      <c r="M1976" t="s">
        <v>91</v>
      </c>
      <c r="N1976" t="s">
        <v>2297</v>
      </c>
      <c r="O1976" t="s">
        <v>82</v>
      </c>
      <c r="P1976" t="str">
        <f>"2170717630                    "</f>
        <v xml:space="preserve">2170717630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8.58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 s="4">
        <v>50.45</v>
      </c>
      <c r="BM1976" s="4">
        <v>7.57</v>
      </c>
      <c r="BN1976" s="4">
        <v>58.02</v>
      </c>
      <c r="BO1976" s="4">
        <v>58.02</v>
      </c>
      <c r="BQ1976" t="s">
        <v>2298</v>
      </c>
      <c r="BR1976" t="s">
        <v>84</v>
      </c>
      <c r="BS1976" s="3">
        <v>43788</v>
      </c>
      <c r="BT1976" s="5">
        <v>0.31944444444444448</v>
      </c>
      <c r="BU1976" t="s">
        <v>2299</v>
      </c>
      <c r="BV1976" t="s">
        <v>86</v>
      </c>
      <c r="BY1976">
        <v>1200</v>
      </c>
      <c r="CA1976" t="s">
        <v>1309</v>
      </c>
      <c r="CC1976" t="s">
        <v>91</v>
      </c>
      <c r="CD1976">
        <v>7530</v>
      </c>
      <c r="CE1976" t="s">
        <v>147</v>
      </c>
      <c r="CF1976" s="3">
        <v>43789</v>
      </c>
      <c r="CI1976">
        <v>1</v>
      </c>
      <c r="CJ1976">
        <v>1</v>
      </c>
      <c r="CK1976">
        <v>21</v>
      </c>
      <c r="CL1976" t="s">
        <v>89</v>
      </c>
    </row>
    <row r="1977" spans="1:90">
      <c r="A1977" t="s">
        <v>72</v>
      </c>
      <c r="B1977" t="s">
        <v>73</v>
      </c>
      <c r="C1977" t="s">
        <v>74</v>
      </c>
      <c r="E1977" t="str">
        <f>"FES1162723499"</f>
        <v>FES1162723499</v>
      </c>
      <c r="F1977" s="3">
        <v>43787</v>
      </c>
      <c r="G1977">
        <v>202005</v>
      </c>
      <c r="H1977" t="s">
        <v>75</v>
      </c>
      <c r="I1977" t="s">
        <v>76</v>
      </c>
      <c r="J1977" t="s">
        <v>77</v>
      </c>
      <c r="K1977" t="s">
        <v>78</v>
      </c>
      <c r="L1977" t="s">
        <v>90</v>
      </c>
      <c r="M1977" t="s">
        <v>91</v>
      </c>
      <c r="N1977" t="s">
        <v>576</v>
      </c>
      <c r="O1977" t="s">
        <v>82</v>
      </c>
      <c r="P1977" t="str">
        <f>"2170717447                    "</f>
        <v xml:space="preserve">2170717447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15.02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3.1</v>
      </c>
      <c r="BJ1977">
        <v>3.4</v>
      </c>
      <c r="BK1977">
        <v>3.5</v>
      </c>
      <c r="BL1977" s="4">
        <v>88.27</v>
      </c>
      <c r="BM1977" s="4">
        <v>13.24</v>
      </c>
      <c r="BN1977" s="4">
        <v>101.51</v>
      </c>
      <c r="BO1977" s="4">
        <v>101.51</v>
      </c>
      <c r="BQ1977" t="s">
        <v>109</v>
      </c>
      <c r="BR1977" t="s">
        <v>84</v>
      </c>
      <c r="BS1977" s="3">
        <v>43788</v>
      </c>
      <c r="BT1977" s="5">
        <v>0.33402777777777781</v>
      </c>
      <c r="BU1977" t="s">
        <v>2081</v>
      </c>
      <c r="BV1977" t="s">
        <v>86</v>
      </c>
      <c r="BY1977">
        <v>17234.490000000002</v>
      </c>
      <c r="CA1977" t="s">
        <v>213</v>
      </c>
      <c r="CC1977" t="s">
        <v>91</v>
      </c>
      <c r="CD1977">
        <v>7441</v>
      </c>
      <c r="CE1977" t="s">
        <v>88</v>
      </c>
      <c r="CF1977" s="3">
        <v>43789</v>
      </c>
      <c r="CI1977">
        <v>1</v>
      </c>
      <c r="CJ1977">
        <v>1</v>
      </c>
      <c r="CK1977">
        <v>21</v>
      </c>
      <c r="CL1977" t="s">
        <v>89</v>
      </c>
    </row>
    <row r="1978" spans="1:90">
      <c r="A1978" t="s">
        <v>72</v>
      </c>
      <c r="B1978" t="s">
        <v>73</v>
      </c>
      <c r="C1978" t="s">
        <v>74</v>
      </c>
      <c r="E1978" t="str">
        <f>"FES1162723431"</f>
        <v>FES1162723431</v>
      </c>
      <c r="F1978" s="3">
        <v>43787</v>
      </c>
      <c r="G1978">
        <v>202005</v>
      </c>
      <c r="H1978" t="s">
        <v>75</v>
      </c>
      <c r="I1978" t="s">
        <v>76</v>
      </c>
      <c r="J1978" t="s">
        <v>77</v>
      </c>
      <c r="K1978" t="s">
        <v>78</v>
      </c>
      <c r="L1978" t="s">
        <v>691</v>
      </c>
      <c r="M1978" t="s">
        <v>692</v>
      </c>
      <c r="N1978" t="s">
        <v>2300</v>
      </c>
      <c r="O1978" t="s">
        <v>82</v>
      </c>
      <c r="P1978" t="str">
        <f>"2170717380                    "</f>
        <v xml:space="preserve">2170717380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7.51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2.2999999999999998</v>
      </c>
      <c r="BJ1978">
        <v>1.5</v>
      </c>
      <c r="BK1978">
        <v>2.5</v>
      </c>
      <c r="BL1978" s="4">
        <v>44.14</v>
      </c>
      <c r="BM1978" s="4">
        <v>6.62</v>
      </c>
      <c r="BN1978" s="4">
        <v>50.76</v>
      </c>
      <c r="BO1978" s="4">
        <v>50.76</v>
      </c>
      <c r="BQ1978" t="s">
        <v>109</v>
      </c>
      <c r="BR1978" t="s">
        <v>84</v>
      </c>
      <c r="BS1978" s="3">
        <v>43788</v>
      </c>
      <c r="BT1978" s="5">
        <v>0.375</v>
      </c>
      <c r="BU1978" t="s">
        <v>694</v>
      </c>
      <c r="BV1978" t="s">
        <v>86</v>
      </c>
      <c r="BY1978">
        <v>7650.86</v>
      </c>
      <c r="CC1978" t="s">
        <v>692</v>
      </c>
      <c r="CD1978">
        <v>1510</v>
      </c>
      <c r="CE1978" t="s">
        <v>88</v>
      </c>
      <c r="CI1978">
        <v>1</v>
      </c>
      <c r="CJ1978">
        <v>1</v>
      </c>
      <c r="CK1978">
        <v>22</v>
      </c>
      <c r="CL1978" t="s">
        <v>89</v>
      </c>
    </row>
    <row r="1979" spans="1:90">
      <c r="A1979" t="s">
        <v>72</v>
      </c>
      <c r="B1979" t="s">
        <v>73</v>
      </c>
      <c r="C1979" t="s">
        <v>74</v>
      </c>
      <c r="E1979" t="str">
        <f>"FES1162723556"</f>
        <v>FES1162723556</v>
      </c>
      <c r="F1979" s="3">
        <v>43787</v>
      </c>
      <c r="G1979">
        <v>202005</v>
      </c>
      <c r="H1979" t="s">
        <v>75</v>
      </c>
      <c r="I1979" t="s">
        <v>76</v>
      </c>
      <c r="J1979" t="s">
        <v>77</v>
      </c>
      <c r="K1979" t="s">
        <v>78</v>
      </c>
      <c r="L1979" t="s">
        <v>270</v>
      </c>
      <c r="M1979" t="s">
        <v>271</v>
      </c>
      <c r="N1979" t="s">
        <v>779</v>
      </c>
      <c r="O1979" t="s">
        <v>82</v>
      </c>
      <c r="P1979" t="str">
        <f>"2170717505                    "</f>
        <v xml:space="preserve">2170717505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8.58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 s="4">
        <v>50.45</v>
      </c>
      <c r="BM1979" s="4">
        <v>7.57</v>
      </c>
      <c r="BN1979" s="4">
        <v>58.02</v>
      </c>
      <c r="BO1979" s="4">
        <v>58.02</v>
      </c>
      <c r="BQ1979" t="s">
        <v>2301</v>
      </c>
      <c r="BR1979" t="s">
        <v>84</v>
      </c>
      <c r="BS1979" s="3">
        <v>43788</v>
      </c>
      <c r="BT1979" s="5">
        <v>0.43402777777777773</v>
      </c>
      <c r="BU1979" t="s">
        <v>418</v>
      </c>
      <c r="BV1979" t="s">
        <v>86</v>
      </c>
      <c r="BY1979">
        <v>1200</v>
      </c>
      <c r="CA1979" t="s">
        <v>773</v>
      </c>
      <c r="CC1979" t="s">
        <v>271</v>
      </c>
      <c r="CD1979">
        <v>6220</v>
      </c>
      <c r="CE1979" t="s">
        <v>147</v>
      </c>
      <c r="CF1979" s="3">
        <v>43789</v>
      </c>
      <c r="CI1979">
        <v>1</v>
      </c>
      <c r="CJ1979">
        <v>1</v>
      </c>
      <c r="CK1979">
        <v>21</v>
      </c>
      <c r="CL1979" t="s">
        <v>89</v>
      </c>
    </row>
    <row r="1980" spans="1:90">
      <c r="A1980" t="s">
        <v>72</v>
      </c>
      <c r="B1980" t="s">
        <v>73</v>
      </c>
      <c r="C1980" t="s">
        <v>74</v>
      </c>
      <c r="E1980" t="str">
        <f>"FES1162723530"</f>
        <v>FES1162723530</v>
      </c>
      <c r="F1980" s="3">
        <v>43787</v>
      </c>
      <c r="G1980">
        <v>202005</v>
      </c>
      <c r="H1980" t="s">
        <v>75</v>
      </c>
      <c r="I1980" t="s">
        <v>76</v>
      </c>
      <c r="J1980" t="s">
        <v>77</v>
      </c>
      <c r="K1980" t="s">
        <v>78</v>
      </c>
      <c r="L1980" t="s">
        <v>176</v>
      </c>
      <c r="M1980" t="s">
        <v>177</v>
      </c>
      <c r="N1980" t="s">
        <v>1199</v>
      </c>
      <c r="O1980" t="s">
        <v>82</v>
      </c>
      <c r="P1980" t="str">
        <f>"2170717479                    "</f>
        <v xml:space="preserve">2170717479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8.58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 s="4">
        <v>50.45</v>
      </c>
      <c r="BM1980" s="4">
        <v>7.57</v>
      </c>
      <c r="BN1980" s="4">
        <v>58.02</v>
      </c>
      <c r="BO1980" s="4">
        <v>58.02</v>
      </c>
      <c r="BQ1980" t="s">
        <v>109</v>
      </c>
      <c r="BR1980" t="s">
        <v>84</v>
      </c>
      <c r="BS1980" s="3">
        <v>43788</v>
      </c>
      <c r="BT1980" s="5">
        <v>0.39861111111111108</v>
      </c>
      <c r="BU1980" t="s">
        <v>2302</v>
      </c>
      <c r="BV1980" t="s">
        <v>86</v>
      </c>
      <c r="BY1980">
        <v>1200</v>
      </c>
      <c r="CA1980" t="s">
        <v>224</v>
      </c>
      <c r="CC1980" t="s">
        <v>177</v>
      </c>
      <c r="CD1980">
        <v>3610</v>
      </c>
      <c r="CE1980" t="s">
        <v>147</v>
      </c>
      <c r="CF1980" s="3">
        <v>43789</v>
      </c>
      <c r="CI1980">
        <v>1</v>
      </c>
      <c r="CJ1980">
        <v>1</v>
      </c>
      <c r="CK1980">
        <v>21</v>
      </c>
      <c r="CL1980" t="s">
        <v>89</v>
      </c>
    </row>
    <row r="1981" spans="1:90">
      <c r="A1981" t="s">
        <v>72</v>
      </c>
      <c r="B1981" t="s">
        <v>73</v>
      </c>
      <c r="C1981" t="s">
        <v>74</v>
      </c>
      <c r="E1981" t="str">
        <f>"FES1162723534"</f>
        <v>FES1162723534</v>
      </c>
      <c r="F1981" s="3">
        <v>43787</v>
      </c>
      <c r="G1981">
        <v>202005</v>
      </c>
      <c r="H1981" t="s">
        <v>75</v>
      </c>
      <c r="I1981" t="s">
        <v>76</v>
      </c>
      <c r="J1981" t="s">
        <v>77</v>
      </c>
      <c r="K1981" t="s">
        <v>78</v>
      </c>
      <c r="L1981" t="s">
        <v>112</v>
      </c>
      <c r="M1981" t="s">
        <v>113</v>
      </c>
      <c r="N1981" t="s">
        <v>1083</v>
      </c>
      <c r="O1981" t="s">
        <v>82</v>
      </c>
      <c r="P1981" t="str">
        <f>"2170717483                    "</f>
        <v xml:space="preserve">2170717483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8.58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 s="4">
        <v>50.45</v>
      </c>
      <c r="BM1981" s="4">
        <v>7.57</v>
      </c>
      <c r="BN1981" s="4">
        <v>58.02</v>
      </c>
      <c r="BO1981" s="4">
        <v>58.02</v>
      </c>
      <c r="BQ1981" t="s">
        <v>121</v>
      </c>
      <c r="BR1981" t="s">
        <v>84</v>
      </c>
      <c r="BS1981" s="3">
        <v>43788</v>
      </c>
      <c r="BT1981" s="5">
        <v>0.4375</v>
      </c>
      <c r="BU1981" t="s">
        <v>2303</v>
      </c>
      <c r="BV1981" t="s">
        <v>86</v>
      </c>
      <c r="BY1981">
        <v>1200</v>
      </c>
      <c r="CC1981" t="s">
        <v>113</v>
      </c>
      <c r="CD1981">
        <v>4001</v>
      </c>
      <c r="CE1981" t="s">
        <v>147</v>
      </c>
      <c r="CF1981" s="3">
        <v>43789</v>
      </c>
      <c r="CI1981">
        <v>1</v>
      </c>
      <c r="CJ1981">
        <v>1</v>
      </c>
      <c r="CK1981">
        <v>21</v>
      </c>
      <c r="CL1981" t="s">
        <v>89</v>
      </c>
    </row>
    <row r="1982" spans="1:90">
      <c r="A1982" t="s">
        <v>72</v>
      </c>
      <c r="B1982" t="s">
        <v>73</v>
      </c>
      <c r="C1982" t="s">
        <v>74</v>
      </c>
      <c r="E1982" t="str">
        <f>"FES1162723450"</f>
        <v>FES1162723450</v>
      </c>
      <c r="F1982" s="3">
        <v>43787</v>
      </c>
      <c r="G1982">
        <v>202005</v>
      </c>
      <c r="H1982" t="s">
        <v>75</v>
      </c>
      <c r="I1982" t="s">
        <v>76</v>
      </c>
      <c r="J1982" t="s">
        <v>77</v>
      </c>
      <c r="K1982" t="s">
        <v>78</v>
      </c>
      <c r="L1982" t="s">
        <v>112</v>
      </c>
      <c r="M1982" t="s">
        <v>113</v>
      </c>
      <c r="N1982" t="s">
        <v>1083</v>
      </c>
      <c r="O1982" t="s">
        <v>82</v>
      </c>
      <c r="P1982" t="str">
        <f>"2170716639                    "</f>
        <v xml:space="preserve">2170716639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8.58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 s="4">
        <v>50.45</v>
      </c>
      <c r="BM1982" s="4">
        <v>7.57</v>
      </c>
      <c r="BN1982" s="4">
        <v>58.02</v>
      </c>
      <c r="BO1982" s="4">
        <v>58.02</v>
      </c>
      <c r="BQ1982" t="s">
        <v>121</v>
      </c>
      <c r="BR1982" t="s">
        <v>84</v>
      </c>
      <c r="BS1982" s="3">
        <v>43788</v>
      </c>
      <c r="BT1982" s="5">
        <v>0.4375</v>
      </c>
      <c r="BU1982" t="s">
        <v>2304</v>
      </c>
      <c r="BV1982" t="s">
        <v>86</v>
      </c>
      <c r="BY1982">
        <v>1200</v>
      </c>
      <c r="CA1982" t="s">
        <v>123</v>
      </c>
      <c r="CC1982" t="s">
        <v>113</v>
      </c>
      <c r="CD1982">
        <v>4001</v>
      </c>
      <c r="CE1982" t="s">
        <v>147</v>
      </c>
      <c r="CF1982" s="3">
        <v>43789</v>
      </c>
      <c r="CI1982">
        <v>1</v>
      </c>
      <c r="CJ1982">
        <v>1</v>
      </c>
      <c r="CK1982">
        <v>21</v>
      </c>
      <c r="CL1982" t="s">
        <v>89</v>
      </c>
    </row>
    <row r="1983" spans="1:90">
      <c r="A1983" t="s">
        <v>72</v>
      </c>
      <c r="B1983" t="s">
        <v>73</v>
      </c>
      <c r="C1983" t="s">
        <v>74</v>
      </c>
      <c r="E1983" t="str">
        <f>"FES1162723643"</f>
        <v>FES1162723643</v>
      </c>
      <c r="F1983" s="3">
        <v>43787</v>
      </c>
      <c r="G1983">
        <v>202005</v>
      </c>
      <c r="H1983" t="s">
        <v>75</v>
      </c>
      <c r="I1983" t="s">
        <v>76</v>
      </c>
      <c r="J1983" t="s">
        <v>77</v>
      </c>
      <c r="K1983" t="s">
        <v>78</v>
      </c>
      <c r="L1983" t="s">
        <v>133</v>
      </c>
      <c r="M1983" t="s">
        <v>134</v>
      </c>
      <c r="N1983" t="s">
        <v>135</v>
      </c>
      <c r="O1983" t="s">
        <v>82</v>
      </c>
      <c r="P1983" t="str">
        <f>"2170717597                    "</f>
        <v xml:space="preserve">2170717597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8.58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 s="4">
        <v>50.45</v>
      </c>
      <c r="BM1983" s="4">
        <v>7.57</v>
      </c>
      <c r="BN1983" s="4">
        <v>58.02</v>
      </c>
      <c r="BO1983" s="4">
        <v>58.02</v>
      </c>
      <c r="BQ1983" t="s">
        <v>109</v>
      </c>
      <c r="BR1983" t="s">
        <v>84</v>
      </c>
      <c r="BS1983" s="3">
        <v>43788</v>
      </c>
      <c r="BT1983" s="5">
        <v>0.375</v>
      </c>
      <c r="BU1983" t="s">
        <v>2305</v>
      </c>
      <c r="BV1983" t="s">
        <v>86</v>
      </c>
      <c r="BY1983">
        <v>1200</v>
      </c>
      <c r="CA1983" t="s">
        <v>279</v>
      </c>
      <c r="CC1983" t="s">
        <v>134</v>
      </c>
      <c r="CD1983">
        <v>5201</v>
      </c>
      <c r="CE1983" t="s">
        <v>147</v>
      </c>
      <c r="CF1983" s="3">
        <v>43791</v>
      </c>
      <c r="CI1983">
        <v>1</v>
      </c>
      <c r="CJ1983">
        <v>1</v>
      </c>
      <c r="CK1983">
        <v>21</v>
      </c>
      <c r="CL1983" t="s">
        <v>89</v>
      </c>
    </row>
    <row r="1984" spans="1:90">
      <c r="A1984" t="s">
        <v>72</v>
      </c>
      <c r="B1984" t="s">
        <v>73</v>
      </c>
      <c r="C1984" t="s">
        <v>74</v>
      </c>
      <c r="E1984" t="str">
        <f>"FES1162723654"</f>
        <v>FES1162723654</v>
      </c>
      <c r="F1984" s="3">
        <v>43787</v>
      </c>
      <c r="G1984">
        <v>202005</v>
      </c>
      <c r="H1984" t="s">
        <v>75</v>
      </c>
      <c r="I1984" t="s">
        <v>76</v>
      </c>
      <c r="J1984" t="s">
        <v>77</v>
      </c>
      <c r="K1984" t="s">
        <v>78</v>
      </c>
      <c r="L1984" t="s">
        <v>106</v>
      </c>
      <c r="M1984" t="s">
        <v>107</v>
      </c>
      <c r="N1984" t="s">
        <v>153</v>
      </c>
      <c r="O1984" t="s">
        <v>82</v>
      </c>
      <c r="P1984" t="str">
        <f>"2170717611 3                  "</f>
        <v xml:space="preserve">2170717611 3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8.58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 s="4">
        <v>50.45</v>
      </c>
      <c r="BM1984" s="4">
        <v>7.57</v>
      </c>
      <c r="BN1984" s="4">
        <v>58.02</v>
      </c>
      <c r="BO1984" s="4">
        <v>58.02</v>
      </c>
      <c r="BQ1984" t="s">
        <v>121</v>
      </c>
      <c r="BR1984" t="s">
        <v>84</v>
      </c>
      <c r="BS1984" s="3">
        <v>43788</v>
      </c>
      <c r="BT1984" s="5">
        <v>0.39861111111111108</v>
      </c>
      <c r="BU1984" t="s">
        <v>2306</v>
      </c>
      <c r="BV1984" t="s">
        <v>86</v>
      </c>
      <c r="BY1984">
        <v>1200</v>
      </c>
      <c r="CA1984" t="s">
        <v>111</v>
      </c>
      <c r="CC1984" t="s">
        <v>107</v>
      </c>
      <c r="CD1984">
        <v>6001</v>
      </c>
      <c r="CE1984" t="s">
        <v>147</v>
      </c>
      <c r="CF1984" s="3">
        <v>43789</v>
      </c>
      <c r="CI1984">
        <v>1</v>
      </c>
      <c r="CJ1984">
        <v>1</v>
      </c>
      <c r="CK1984">
        <v>21</v>
      </c>
      <c r="CL1984" t="s">
        <v>89</v>
      </c>
    </row>
    <row r="1985" spans="1:90">
      <c r="A1985" t="s">
        <v>72</v>
      </c>
      <c r="B1985" t="s">
        <v>73</v>
      </c>
      <c r="C1985" t="s">
        <v>74</v>
      </c>
      <c r="E1985" t="str">
        <f>"FES1162723638"</f>
        <v>FES1162723638</v>
      </c>
      <c r="F1985" s="3">
        <v>43787</v>
      </c>
      <c r="G1985">
        <v>202005</v>
      </c>
      <c r="H1985" t="s">
        <v>75</v>
      </c>
      <c r="I1985" t="s">
        <v>76</v>
      </c>
      <c r="J1985" t="s">
        <v>77</v>
      </c>
      <c r="K1985" t="s">
        <v>78</v>
      </c>
      <c r="L1985" t="s">
        <v>95</v>
      </c>
      <c r="M1985" t="s">
        <v>96</v>
      </c>
      <c r="N1985" t="s">
        <v>2307</v>
      </c>
      <c r="O1985" t="s">
        <v>82</v>
      </c>
      <c r="P1985" t="str">
        <f>"2170717593                    "</f>
        <v xml:space="preserve">2170717593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6.71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 s="4">
        <v>39.42</v>
      </c>
      <c r="BM1985" s="4">
        <v>5.91</v>
      </c>
      <c r="BN1985" s="4">
        <v>45.33</v>
      </c>
      <c r="BO1985" s="4">
        <v>45.33</v>
      </c>
      <c r="BQ1985" t="s">
        <v>2308</v>
      </c>
      <c r="BR1985" t="s">
        <v>84</v>
      </c>
      <c r="BS1985" s="3">
        <v>43788</v>
      </c>
      <c r="BT1985" s="5">
        <v>0.41319444444444442</v>
      </c>
      <c r="BU1985" t="s">
        <v>2309</v>
      </c>
      <c r="BV1985" t="s">
        <v>86</v>
      </c>
      <c r="BY1985">
        <v>1200</v>
      </c>
      <c r="CC1985" t="s">
        <v>96</v>
      </c>
      <c r="CD1985">
        <v>1451</v>
      </c>
      <c r="CE1985" t="s">
        <v>147</v>
      </c>
      <c r="CF1985" s="3">
        <v>43789</v>
      </c>
      <c r="CI1985">
        <v>1</v>
      </c>
      <c r="CJ1985">
        <v>1</v>
      </c>
      <c r="CK1985">
        <v>22</v>
      </c>
      <c r="CL1985" t="s">
        <v>89</v>
      </c>
    </row>
    <row r="1986" spans="1:90">
      <c r="A1986" t="s">
        <v>72</v>
      </c>
      <c r="B1986" t="s">
        <v>73</v>
      </c>
      <c r="C1986" t="s">
        <v>74</v>
      </c>
      <c r="E1986" t="str">
        <f>"FES1162723656"</f>
        <v>FES1162723656</v>
      </c>
      <c r="F1986" s="3">
        <v>43787</v>
      </c>
      <c r="G1986">
        <v>202005</v>
      </c>
      <c r="H1986" t="s">
        <v>75</v>
      </c>
      <c r="I1986" t="s">
        <v>76</v>
      </c>
      <c r="J1986" t="s">
        <v>77</v>
      </c>
      <c r="K1986" t="s">
        <v>78</v>
      </c>
      <c r="L1986" t="s">
        <v>202</v>
      </c>
      <c r="M1986" t="s">
        <v>203</v>
      </c>
      <c r="N1986" t="s">
        <v>2039</v>
      </c>
      <c r="O1986" t="s">
        <v>82</v>
      </c>
      <c r="P1986" t="str">
        <f>"2170714859                    "</f>
        <v xml:space="preserve">2170714859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6.71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 s="4">
        <v>39.42</v>
      </c>
      <c r="BM1986" s="4">
        <v>5.91</v>
      </c>
      <c r="BN1986" s="4">
        <v>45.33</v>
      </c>
      <c r="BO1986" s="4">
        <v>45.33</v>
      </c>
      <c r="BQ1986" t="s">
        <v>121</v>
      </c>
      <c r="BR1986" t="s">
        <v>84</v>
      </c>
      <c r="BS1986" s="3">
        <v>43788</v>
      </c>
      <c r="BT1986" s="5">
        <v>0.33680555555555558</v>
      </c>
      <c r="BU1986" t="s">
        <v>2310</v>
      </c>
      <c r="BV1986" t="s">
        <v>86</v>
      </c>
      <c r="BY1986">
        <v>1200</v>
      </c>
      <c r="CA1986" t="s">
        <v>1181</v>
      </c>
      <c r="CC1986" t="s">
        <v>203</v>
      </c>
      <c r="CD1986">
        <v>1401</v>
      </c>
      <c r="CE1986" t="s">
        <v>147</v>
      </c>
      <c r="CF1986" s="3">
        <v>43789</v>
      </c>
      <c r="CI1986">
        <v>1</v>
      </c>
      <c r="CJ1986">
        <v>1</v>
      </c>
      <c r="CK1986">
        <v>22</v>
      </c>
      <c r="CL1986" t="s">
        <v>89</v>
      </c>
    </row>
    <row r="1987" spans="1:90">
      <c r="A1987" t="s">
        <v>72</v>
      </c>
      <c r="B1987" t="s">
        <v>73</v>
      </c>
      <c r="C1987" t="s">
        <v>74</v>
      </c>
      <c r="E1987" t="str">
        <f>"FES1162723668"</f>
        <v>FES1162723668</v>
      </c>
      <c r="F1987" s="3">
        <v>43787</v>
      </c>
      <c r="G1987">
        <v>202005</v>
      </c>
      <c r="H1987" t="s">
        <v>75</v>
      </c>
      <c r="I1987" t="s">
        <v>76</v>
      </c>
      <c r="J1987" t="s">
        <v>77</v>
      </c>
      <c r="K1987" t="s">
        <v>78</v>
      </c>
      <c r="L1987" t="s">
        <v>214</v>
      </c>
      <c r="M1987" t="s">
        <v>214</v>
      </c>
      <c r="N1987" t="s">
        <v>215</v>
      </c>
      <c r="O1987" t="s">
        <v>82</v>
      </c>
      <c r="P1987" t="str">
        <f>"2170717620                    "</f>
        <v xml:space="preserve">2170717620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16.63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1.1000000000000001</v>
      </c>
      <c r="BJ1987">
        <v>1.6</v>
      </c>
      <c r="BK1987">
        <v>2</v>
      </c>
      <c r="BL1987" s="4">
        <v>97.75</v>
      </c>
      <c r="BM1987" s="4">
        <v>14.66</v>
      </c>
      <c r="BN1987" s="4">
        <v>112.41</v>
      </c>
      <c r="BO1987" s="4">
        <v>112.41</v>
      </c>
      <c r="BQ1987" t="s">
        <v>109</v>
      </c>
      <c r="BR1987" t="s">
        <v>84</v>
      </c>
      <c r="BS1987" s="3">
        <v>43788</v>
      </c>
      <c r="BT1987" s="5">
        <v>0.46527777777777773</v>
      </c>
      <c r="BU1987" t="s">
        <v>216</v>
      </c>
      <c r="BV1987" t="s">
        <v>86</v>
      </c>
      <c r="BY1987">
        <v>7956.29</v>
      </c>
      <c r="CA1987" t="s">
        <v>217</v>
      </c>
      <c r="CC1987" t="s">
        <v>214</v>
      </c>
      <c r="CD1987">
        <v>7646</v>
      </c>
      <c r="CE1987" t="s">
        <v>88</v>
      </c>
      <c r="CF1987" s="3">
        <v>43789</v>
      </c>
      <c r="CI1987">
        <v>1</v>
      </c>
      <c r="CJ1987">
        <v>1</v>
      </c>
      <c r="CK1987">
        <v>23</v>
      </c>
      <c r="CL1987" t="s">
        <v>89</v>
      </c>
    </row>
    <row r="1988" spans="1:90">
      <c r="A1988" t="s">
        <v>72</v>
      </c>
      <c r="B1988" t="s">
        <v>73</v>
      </c>
      <c r="C1988" t="s">
        <v>74</v>
      </c>
      <c r="E1988" t="str">
        <f>"FES1162723684"</f>
        <v>FES1162723684</v>
      </c>
      <c r="F1988" s="3">
        <v>43787</v>
      </c>
      <c r="G1988">
        <v>202005</v>
      </c>
      <c r="H1988" t="s">
        <v>75</v>
      </c>
      <c r="I1988" t="s">
        <v>76</v>
      </c>
      <c r="J1988" t="s">
        <v>77</v>
      </c>
      <c r="K1988" t="s">
        <v>78</v>
      </c>
      <c r="L1988" t="s">
        <v>106</v>
      </c>
      <c r="M1988" t="s">
        <v>107</v>
      </c>
      <c r="N1988" t="s">
        <v>308</v>
      </c>
      <c r="O1988" t="s">
        <v>82</v>
      </c>
      <c r="P1988" t="str">
        <f>"2170717639                    "</f>
        <v xml:space="preserve">2170717639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8.58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 s="4">
        <v>50.45</v>
      </c>
      <c r="BM1988" s="4">
        <v>7.57</v>
      </c>
      <c r="BN1988" s="4">
        <v>58.02</v>
      </c>
      <c r="BO1988" s="4">
        <v>58.02</v>
      </c>
      <c r="BQ1988" t="s">
        <v>121</v>
      </c>
      <c r="BR1988" t="s">
        <v>84</v>
      </c>
      <c r="BS1988" s="3">
        <v>43788</v>
      </c>
      <c r="BT1988" s="5">
        <v>0.40972222222222227</v>
      </c>
      <c r="BU1988" t="s">
        <v>2311</v>
      </c>
      <c r="BV1988" t="s">
        <v>86</v>
      </c>
      <c r="BY1988">
        <v>1200</v>
      </c>
      <c r="CA1988" t="s">
        <v>111</v>
      </c>
      <c r="CC1988" t="s">
        <v>107</v>
      </c>
      <c r="CD1988">
        <v>6001</v>
      </c>
      <c r="CE1988" t="s">
        <v>147</v>
      </c>
      <c r="CF1988" s="3">
        <v>43789</v>
      </c>
      <c r="CI1988">
        <v>1</v>
      </c>
      <c r="CJ1988">
        <v>1</v>
      </c>
      <c r="CK1988">
        <v>21</v>
      </c>
      <c r="CL1988" t="s">
        <v>89</v>
      </c>
    </row>
    <row r="1989" spans="1:90">
      <c r="A1989" t="s">
        <v>72</v>
      </c>
      <c r="B1989" t="s">
        <v>73</v>
      </c>
      <c r="C1989" t="s">
        <v>74</v>
      </c>
      <c r="E1989" t="str">
        <f>"FES1162723647"</f>
        <v>FES1162723647</v>
      </c>
      <c r="F1989" s="3">
        <v>43787</v>
      </c>
      <c r="G1989">
        <v>202005</v>
      </c>
      <c r="H1989" t="s">
        <v>75</v>
      </c>
      <c r="I1989" t="s">
        <v>76</v>
      </c>
      <c r="J1989" t="s">
        <v>77</v>
      </c>
      <c r="K1989" t="s">
        <v>78</v>
      </c>
      <c r="L1989" t="s">
        <v>106</v>
      </c>
      <c r="M1989" t="s">
        <v>107</v>
      </c>
      <c r="N1989" t="s">
        <v>771</v>
      </c>
      <c r="O1989" t="s">
        <v>82</v>
      </c>
      <c r="P1989" t="str">
        <f>"217071601                     "</f>
        <v xml:space="preserve">217071601 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8.58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 s="4">
        <v>50.45</v>
      </c>
      <c r="BM1989" s="4">
        <v>7.57</v>
      </c>
      <c r="BN1989" s="4">
        <v>58.02</v>
      </c>
      <c r="BO1989" s="4">
        <v>58.02</v>
      </c>
      <c r="BQ1989" t="s">
        <v>109</v>
      </c>
      <c r="BR1989" t="s">
        <v>84</v>
      </c>
      <c r="BS1989" s="3">
        <v>43788</v>
      </c>
      <c r="BT1989" s="5">
        <v>0.41250000000000003</v>
      </c>
      <c r="BU1989" t="s">
        <v>2312</v>
      </c>
      <c r="BV1989" t="s">
        <v>86</v>
      </c>
      <c r="BY1989">
        <v>1200</v>
      </c>
      <c r="CA1989" t="s">
        <v>773</v>
      </c>
      <c r="CC1989" t="s">
        <v>107</v>
      </c>
      <c r="CD1989">
        <v>6012</v>
      </c>
      <c r="CE1989" t="s">
        <v>147</v>
      </c>
      <c r="CF1989" s="3">
        <v>43789</v>
      </c>
      <c r="CI1989">
        <v>1</v>
      </c>
      <c r="CJ1989">
        <v>1</v>
      </c>
      <c r="CK1989">
        <v>21</v>
      </c>
      <c r="CL1989" t="s">
        <v>89</v>
      </c>
    </row>
    <row r="1990" spans="1:90">
      <c r="A1990" t="s">
        <v>72</v>
      </c>
      <c r="B1990" t="s">
        <v>73</v>
      </c>
      <c r="C1990" t="s">
        <v>74</v>
      </c>
      <c r="E1990" t="str">
        <f>"FES1162723490"</f>
        <v>FES1162723490</v>
      </c>
      <c r="F1990" s="3">
        <v>43787</v>
      </c>
      <c r="G1990">
        <v>202005</v>
      </c>
      <c r="H1990" t="s">
        <v>75</v>
      </c>
      <c r="I1990" t="s">
        <v>76</v>
      </c>
      <c r="J1990" t="s">
        <v>77</v>
      </c>
      <c r="K1990" t="s">
        <v>78</v>
      </c>
      <c r="L1990" t="s">
        <v>522</v>
      </c>
      <c r="M1990" t="s">
        <v>523</v>
      </c>
      <c r="N1990" t="s">
        <v>1535</v>
      </c>
      <c r="O1990" t="s">
        <v>82</v>
      </c>
      <c r="P1990" t="str">
        <f>"21707145830                   "</f>
        <v xml:space="preserve">21707145830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16.63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1.2</v>
      </c>
      <c r="BK1990">
        <v>1.5</v>
      </c>
      <c r="BL1990" s="4">
        <v>97.75</v>
      </c>
      <c r="BM1990" s="4">
        <v>14.66</v>
      </c>
      <c r="BN1990" s="4">
        <v>112.41</v>
      </c>
      <c r="BO1990" s="4">
        <v>112.41</v>
      </c>
      <c r="BQ1990" t="s">
        <v>1536</v>
      </c>
      <c r="BR1990" t="s">
        <v>84</v>
      </c>
      <c r="BS1990" s="3">
        <v>43788</v>
      </c>
      <c r="BT1990" s="5">
        <v>0.35069444444444442</v>
      </c>
      <c r="BU1990" t="s">
        <v>1545</v>
      </c>
      <c r="BV1990" t="s">
        <v>86</v>
      </c>
      <c r="BY1990">
        <v>6071.6</v>
      </c>
      <c r="CA1990" t="s">
        <v>526</v>
      </c>
      <c r="CC1990" t="s">
        <v>523</v>
      </c>
      <c r="CD1990">
        <v>1911</v>
      </c>
      <c r="CE1990" t="s">
        <v>88</v>
      </c>
      <c r="CF1990" s="3">
        <v>43789</v>
      </c>
      <c r="CI1990">
        <v>1</v>
      </c>
      <c r="CJ1990">
        <v>1</v>
      </c>
      <c r="CK1990">
        <v>23</v>
      </c>
      <c r="CL1990" t="s">
        <v>89</v>
      </c>
    </row>
    <row r="1991" spans="1:90">
      <c r="A1991" t="s">
        <v>72</v>
      </c>
      <c r="B1991" t="s">
        <v>73</v>
      </c>
      <c r="C1991" t="s">
        <v>74</v>
      </c>
      <c r="E1991" t="str">
        <f>"FES1162723587"</f>
        <v>FES1162723587</v>
      </c>
      <c r="F1991" s="3">
        <v>43787</v>
      </c>
      <c r="G1991">
        <v>202005</v>
      </c>
      <c r="H1991" t="s">
        <v>75</v>
      </c>
      <c r="I1991" t="s">
        <v>76</v>
      </c>
      <c r="J1991" t="s">
        <v>77</v>
      </c>
      <c r="K1991" t="s">
        <v>78</v>
      </c>
      <c r="L1991" t="s">
        <v>124</v>
      </c>
      <c r="M1991" t="s">
        <v>125</v>
      </c>
      <c r="N1991" t="s">
        <v>2275</v>
      </c>
      <c r="O1991" t="s">
        <v>82</v>
      </c>
      <c r="P1991" t="str">
        <f>"2170717541                    "</f>
        <v xml:space="preserve">2170717541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8.31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2.8</v>
      </c>
      <c r="BJ1991">
        <v>1.2</v>
      </c>
      <c r="BK1991">
        <v>3</v>
      </c>
      <c r="BL1991" s="4">
        <v>48.86</v>
      </c>
      <c r="BM1991" s="4">
        <v>7.33</v>
      </c>
      <c r="BN1991" s="4">
        <v>56.19</v>
      </c>
      <c r="BO1991" s="4">
        <v>56.19</v>
      </c>
      <c r="BQ1991" t="s">
        <v>109</v>
      </c>
      <c r="BR1991" t="s">
        <v>84</v>
      </c>
      <c r="BS1991" s="3">
        <v>43788</v>
      </c>
      <c r="BT1991" s="5">
        <v>0.4375</v>
      </c>
      <c r="BU1991" t="s">
        <v>1659</v>
      </c>
      <c r="BV1991" t="s">
        <v>86</v>
      </c>
      <c r="BY1991">
        <v>6108.78</v>
      </c>
      <c r="CC1991" t="s">
        <v>125</v>
      </c>
      <c r="CD1991">
        <v>2013</v>
      </c>
      <c r="CE1991" t="s">
        <v>88</v>
      </c>
      <c r="CF1991" s="3">
        <v>43789</v>
      </c>
      <c r="CI1991">
        <v>1</v>
      </c>
      <c r="CJ1991">
        <v>1</v>
      </c>
      <c r="CK1991">
        <v>22</v>
      </c>
      <c r="CL1991" t="s">
        <v>89</v>
      </c>
    </row>
    <row r="1992" spans="1:90">
      <c r="A1992" t="s">
        <v>72</v>
      </c>
      <c r="B1992" t="s">
        <v>73</v>
      </c>
      <c r="C1992" t="s">
        <v>74</v>
      </c>
      <c r="E1992" t="str">
        <f>"FES1162723608"</f>
        <v>FES1162723608</v>
      </c>
      <c r="F1992" s="3">
        <v>43787</v>
      </c>
      <c r="G1992">
        <v>202005</v>
      </c>
      <c r="H1992" t="s">
        <v>75</v>
      </c>
      <c r="I1992" t="s">
        <v>76</v>
      </c>
      <c r="J1992" t="s">
        <v>77</v>
      </c>
      <c r="K1992" t="s">
        <v>78</v>
      </c>
      <c r="L1992" t="s">
        <v>101</v>
      </c>
      <c r="M1992" t="s">
        <v>102</v>
      </c>
      <c r="N1992" t="s">
        <v>2313</v>
      </c>
      <c r="O1992" t="s">
        <v>82</v>
      </c>
      <c r="P1992" t="str">
        <f>"2170717559                    "</f>
        <v xml:space="preserve">2170717559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8.58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 s="4">
        <v>50.45</v>
      </c>
      <c r="BM1992" s="4">
        <v>7.57</v>
      </c>
      <c r="BN1992" s="4">
        <v>58.02</v>
      </c>
      <c r="BO1992" s="4">
        <v>58.02</v>
      </c>
      <c r="BQ1992" t="s">
        <v>2314</v>
      </c>
      <c r="BR1992" t="s">
        <v>84</v>
      </c>
      <c r="BS1992" s="3">
        <v>43788</v>
      </c>
      <c r="BT1992" s="5">
        <v>0.34027777777777773</v>
      </c>
      <c r="BU1992" t="s">
        <v>2315</v>
      </c>
      <c r="BV1992" t="s">
        <v>86</v>
      </c>
      <c r="BY1992">
        <v>1200</v>
      </c>
      <c r="CC1992" t="s">
        <v>102</v>
      </c>
      <c r="CD1992">
        <v>184</v>
      </c>
      <c r="CE1992" t="s">
        <v>147</v>
      </c>
      <c r="CF1992" s="3">
        <v>43789</v>
      </c>
      <c r="CI1992">
        <v>1</v>
      </c>
      <c r="CJ1992">
        <v>1</v>
      </c>
      <c r="CK1992">
        <v>21</v>
      </c>
      <c r="CL1992" t="s">
        <v>89</v>
      </c>
    </row>
    <row r="1993" spans="1:90">
      <c r="A1993" t="s">
        <v>72</v>
      </c>
      <c r="B1993" t="s">
        <v>73</v>
      </c>
      <c r="C1993" t="s">
        <v>74</v>
      </c>
      <c r="E1993" t="str">
        <f>"FES1162723623"</f>
        <v>FES1162723623</v>
      </c>
      <c r="F1993" s="3">
        <v>43787</v>
      </c>
      <c r="G1993">
        <v>202005</v>
      </c>
      <c r="H1993" t="s">
        <v>75</v>
      </c>
      <c r="I1993" t="s">
        <v>76</v>
      </c>
      <c r="J1993" t="s">
        <v>77</v>
      </c>
      <c r="K1993" t="s">
        <v>78</v>
      </c>
      <c r="L1993" t="s">
        <v>339</v>
      </c>
      <c r="M1993" t="s">
        <v>340</v>
      </c>
      <c r="N1993" t="s">
        <v>2316</v>
      </c>
      <c r="O1993" t="s">
        <v>82</v>
      </c>
      <c r="P1993" t="str">
        <f>"2170717418                    "</f>
        <v xml:space="preserve">2170717418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12.87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2.7</v>
      </c>
      <c r="BJ1993">
        <v>1.8</v>
      </c>
      <c r="BK1993">
        <v>3</v>
      </c>
      <c r="BL1993" s="4">
        <v>75.66</v>
      </c>
      <c r="BM1993" s="4">
        <v>11.35</v>
      </c>
      <c r="BN1993" s="4">
        <v>87.01</v>
      </c>
      <c r="BO1993" s="4">
        <v>87.01</v>
      </c>
      <c r="BQ1993" t="s">
        <v>161</v>
      </c>
      <c r="BR1993" t="s">
        <v>84</v>
      </c>
      <c r="BS1993" s="3">
        <v>43788</v>
      </c>
      <c r="BT1993" s="5">
        <v>0.35069444444444442</v>
      </c>
      <c r="BU1993" t="s">
        <v>2317</v>
      </c>
      <c r="BV1993" t="s">
        <v>86</v>
      </c>
      <c r="BY1993">
        <v>9233.2800000000007</v>
      </c>
      <c r="CA1993" t="s">
        <v>343</v>
      </c>
      <c r="CC1993" t="s">
        <v>340</v>
      </c>
      <c r="CD1993">
        <v>157</v>
      </c>
      <c r="CE1993" t="s">
        <v>88</v>
      </c>
      <c r="CF1993" s="3">
        <v>43790</v>
      </c>
      <c r="CI1993">
        <v>1</v>
      </c>
      <c r="CJ1993">
        <v>1</v>
      </c>
      <c r="CK1993">
        <v>21</v>
      </c>
      <c r="CL1993" t="s">
        <v>89</v>
      </c>
    </row>
    <row r="1994" spans="1:90">
      <c r="A1994" t="s">
        <v>72</v>
      </c>
      <c r="B1994" t="s">
        <v>73</v>
      </c>
      <c r="C1994" t="s">
        <v>74</v>
      </c>
      <c r="E1994" t="str">
        <f>"FES1162723646"</f>
        <v>FES1162723646</v>
      </c>
      <c r="F1994" s="3">
        <v>43787</v>
      </c>
      <c r="G1994">
        <v>202005</v>
      </c>
      <c r="H1994" t="s">
        <v>75</v>
      </c>
      <c r="I1994" t="s">
        <v>76</v>
      </c>
      <c r="J1994" t="s">
        <v>77</v>
      </c>
      <c r="K1994" t="s">
        <v>78</v>
      </c>
      <c r="L1994" t="s">
        <v>90</v>
      </c>
      <c r="M1994" t="s">
        <v>91</v>
      </c>
      <c r="N1994" t="s">
        <v>290</v>
      </c>
      <c r="O1994" t="s">
        <v>82</v>
      </c>
      <c r="P1994" t="str">
        <f>"2170717600                    "</f>
        <v xml:space="preserve">2170717600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8.58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 s="4">
        <v>50.45</v>
      </c>
      <c r="BM1994" s="4">
        <v>7.57</v>
      </c>
      <c r="BN1994" s="4">
        <v>58.02</v>
      </c>
      <c r="BO1994" s="4">
        <v>58.02</v>
      </c>
      <c r="BQ1994" t="s">
        <v>109</v>
      </c>
      <c r="BR1994" t="s">
        <v>84</v>
      </c>
      <c r="BS1994" s="3">
        <v>43788</v>
      </c>
      <c r="BT1994" s="5">
        <v>0.30902777777777779</v>
      </c>
      <c r="BU1994" t="s">
        <v>2281</v>
      </c>
      <c r="BV1994" t="s">
        <v>86</v>
      </c>
      <c r="BY1994">
        <v>1200</v>
      </c>
      <c r="CA1994" t="s">
        <v>140</v>
      </c>
      <c r="CC1994" t="s">
        <v>91</v>
      </c>
      <c r="CD1994">
        <v>7530</v>
      </c>
      <c r="CE1994" t="s">
        <v>147</v>
      </c>
      <c r="CF1994" s="3">
        <v>43789</v>
      </c>
      <c r="CI1994">
        <v>1</v>
      </c>
      <c r="CJ1994">
        <v>1</v>
      </c>
      <c r="CK1994">
        <v>21</v>
      </c>
      <c r="CL1994" t="s">
        <v>89</v>
      </c>
    </row>
    <row r="1995" spans="1:90">
      <c r="A1995" t="s">
        <v>72</v>
      </c>
      <c r="B1995" t="s">
        <v>73</v>
      </c>
      <c r="C1995" t="s">
        <v>74</v>
      </c>
      <c r="E1995" t="str">
        <f>"FES1162723559"</f>
        <v>FES1162723559</v>
      </c>
      <c r="F1995" s="3">
        <v>43787</v>
      </c>
      <c r="G1995">
        <v>202005</v>
      </c>
      <c r="H1995" t="s">
        <v>75</v>
      </c>
      <c r="I1995" t="s">
        <v>76</v>
      </c>
      <c r="J1995" t="s">
        <v>77</v>
      </c>
      <c r="K1995" t="s">
        <v>78</v>
      </c>
      <c r="L1995" t="s">
        <v>75</v>
      </c>
      <c r="M1995" t="s">
        <v>76</v>
      </c>
      <c r="N1995" t="s">
        <v>366</v>
      </c>
      <c r="O1995" t="s">
        <v>82</v>
      </c>
      <c r="P1995" t="str">
        <f>"217071514                     "</f>
        <v xml:space="preserve">217071514 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6.71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 s="4">
        <v>39.42</v>
      </c>
      <c r="BM1995" s="4">
        <v>5.91</v>
      </c>
      <c r="BN1995" s="4">
        <v>45.33</v>
      </c>
      <c r="BO1995" s="4">
        <v>45.33</v>
      </c>
      <c r="BR1995" t="s">
        <v>84</v>
      </c>
      <c r="BS1995" s="3">
        <v>43788</v>
      </c>
      <c r="BT1995" s="5">
        <v>0.38194444444444442</v>
      </c>
      <c r="BU1995" t="s">
        <v>367</v>
      </c>
      <c r="BV1995" t="s">
        <v>86</v>
      </c>
      <c r="BY1995">
        <v>1200</v>
      </c>
      <c r="CA1995" t="s">
        <v>368</v>
      </c>
      <c r="CC1995" t="s">
        <v>76</v>
      </c>
      <c r="CD1995">
        <v>1624</v>
      </c>
      <c r="CE1995" t="s">
        <v>147</v>
      </c>
      <c r="CF1995" s="3">
        <v>43790</v>
      </c>
      <c r="CI1995">
        <v>1</v>
      </c>
      <c r="CJ1995">
        <v>1</v>
      </c>
      <c r="CK1995">
        <v>22</v>
      </c>
      <c r="CL1995" t="s">
        <v>89</v>
      </c>
    </row>
    <row r="1996" spans="1:90">
      <c r="A1996" t="s">
        <v>72</v>
      </c>
      <c r="B1996" t="s">
        <v>73</v>
      </c>
      <c r="C1996" t="s">
        <v>74</v>
      </c>
      <c r="E1996" t="str">
        <f>"FES1162723174"</f>
        <v>FES1162723174</v>
      </c>
      <c r="F1996" s="3">
        <v>43787</v>
      </c>
      <c r="G1996">
        <v>202005</v>
      </c>
      <c r="H1996" t="s">
        <v>75</v>
      </c>
      <c r="I1996" t="s">
        <v>76</v>
      </c>
      <c r="J1996" t="s">
        <v>77</v>
      </c>
      <c r="K1996" t="s">
        <v>78</v>
      </c>
      <c r="L1996" t="s">
        <v>90</v>
      </c>
      <c r="M1996" t="s">
        <v>91</v>
      </c>
      <c r="N1996" t="s">
        <v>2125</v>
      </c>
      <c r="O1996" t="s">
        <v>82</v>
      </c>
      <c r="P1996" t="str">
        <f>"2170716904                    "</f>
        <v xml:space="preserve">2170716904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8.58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 s="4">
        <v>50.45</v>
      </c>
      <c r="BM1996" s="4">
        <v>7.57</v>
      </c>
      <c r="BN1996" s="4">
        <v>58.02</v>
      </c>
      <c r="BO1996" s="4">
        <v>58.02</v>
      </c>
      <c r="BQ1996" t="s">
        <v>2293</v>
      </c>
      <c r="BR1996" t="s">
        <v>84</v>
      </c>
      <c r="BS1996" s="3">
        <v>43788</v>
      </c>
      <c r="BT1996" s="5">
        <v>0.3125</v>
      </c>
      <c r="BU1996" t="s">
        <v>2294</v>
      </c>
      <c r="BV1996" t="s">
        <v>86</v>
      </c>
      <c r="BY1996">
        <v>1200</v>
      </c>
      <c r="CA1996" t="s">
        <v>515</v>
      </c>
      <c r="CC1996" t="s">
        <v>91</v>
      </c>
      <c r="CD1996">
        <v>7500</v>
      </c>
      <c r="CE1996" t="s">
        <v>147</v>
      </c>
      <c r="CF1996" s="3">
        <v>43789</v>
      </c>
      <c r="CI1996">
        <v>1</v>
      </c>
      <c r="CJ1996">
        <v>1</v>
      </c>
      <c r="CK1996">
        <v>21</v>
      </c>
      <c r="CL1996" t="s">
        <v>89</v>
      </c>
    </row>
    <row r="1997" spans="1:90">
      <c r="A1997" t="s">
        <v>72</v>
      </c>
      <c r="B1997" t="s">
        <v>73</v>
      </c>
      <c r="C1997" t="s">
        <v>74</v>
      </c>
      <c r="E1997" t="str">
        <f>"FES1162723455"</f>
        <v>FES1162723455</v>
      </c>
      <c r="F1997" s="3">
        <v>43787</v>
      </c>
      <c r="G1997">
        <v>202005</v>
      </c>
      <c r="H1997" t="s">
        <v>75</v>
      </c>
      <c r="I1997" t="s">
        <v>76</v>
      </c>
      <c r="J1997" t="s">
        <v>77</v>
      </c>
      <c r="K1997" t="s">
        <v>78</v>
      </c>
      <c r="L1997" t="s">
        <v>118</v>
      </c>
      <c r="M1997" t="s">
        <v>119</v>
      </c>
      <c r="N1997" t="s">
        <v>885</v>
      </c>
      <c r="O1997" t="s">
        <v>82</v>
      </c>
      <c r="P1997" t="str">
        <f>"21707177219                   "</f>
        <v xml:space="preserve">21707177219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45.04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10.4</v>
      </c>
      <c r="BJ1997">
        <v>3.9</v>
      </c>
      <c r="BK1997">
        <v>10.5</v>
      </c>
      <c r="BL1997" s="4">
        <v>264.73</v>
      </c>
      <c r="BM1997" s="4">
        <v>39.71</v>
      </c>
      <c r="BN1997" s="4">
        <v>304.44</v>
      </c>
      <c r="BO1997" s="4">
        <v>304.44</v>
      </c>
      <c r="BQ1997" t="s">
        <v>109</v>
      </c>
      <c r="BR1997" t="s">
        <v>84</v>
      </c>
      <c r="BS1997" s="3">
        <v>43788</v>
      </c>
      <c r="BT1997" s="5">
        <v>0.41319444444444442</v>
      </c>
      <c r="BU1997" t="s">
        <v>886</v>
      </c>
      <c r="BV1997" t="s">
        <v>86</v>
      </c>
      <c r="BY1997">
        <v>19423.04</v>
      </c>
      <c r="CA1997" t="s">
        <v>435</v>
      </c>
      <c r="CC1997" t="s">
        <v>119</v>
      </c>
      <c r="CD1997">
        <v>3212</v>
      </c>
      <c r="CE1997" t="s">
        <v>88</v>
      </c>
      <c r="CF1997" s="3">
        <v>43789</v>
      </c>
      <c r="CI1997">
        <v>1</v>
      </c>
      <c r="CJ1997">
        <v>1</v>
      </c>
      <c r="CK1997">
        <v>21</v>
      </c>
      <c r="CL1997" t="s">
        <v>89</v>
      </c>
    </row>
    <row r="1998" spans="1:90">
      <c r="A1998" t="s">
        <v>72</v>
      </c>
      <c r="B1998" t="s">
        <v>73</v>
      </c>
      <c r="C1998" t="s">
        <v>74</v>
      </c>
      <c r="E1998" t="str">
        <f>"FES1162723501"</f>
        <v>FES1162723501</v>
      </c>
      <c r="F1998" s="3">
        <v>43787</v>
      </c>
      <c r="G1998">
        <v>202005</v>
      </c>
      <c r="H1998" t="s">
        <v>75</v>
      </c>
      <c r="I1998" t="s">
        <v>76</v>
      </c>
      <c r="J1998" t="s">
        <v>77</v>
      </c>
      <c r="K1998" t="s">
        <v>78</v>
      </c>
      <c r="L1998" t="s">
        <v>90</v>
      </c>
      <c r="M1998" t="s">
        <v>91</v>
      </c>
      <c r="N1998" t="s">
        <v>1825</v>
      </c>
      <c r="O1998" t="s">
        <v>82</v>
      </c>
      <c r="P1998" t="str">
        <f>"2170717449                    "</f>
        <v xml:space="preserve">2170717449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10.73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1.4</v>
      </c>
      <c r="BJ1998">
        <v>2.1</v>
      </c>
      <c r="BK1998">
        <v>2.5</v>
      </c>
      <c r="BL1998" s="4">
        <v>63.06</v>
      </c>
      <c r="BM1998" s="4">
        <v>9.4600000000000009</v>
      </c>
      <c r="BN1998" s="4">
        <v>72.52</v>
      </c>
      <c r="BO1998" s="4">
        <v>72.52</v>
      </c>
      <c r="BQ1998" t="s">
        <v>121</v>
      </c>
      <c r="BR1998" t="s">
        <v>84</v>
      </c>
      <c r="BS1998" s="3">
        <v>43788</v>
      </c>
      <c r="BT1998" s="5">
        <v>0.41736111111111113</v>
      </c>
      <c r="BU1998" t="s">
        <v>1826</v>
      </c>
      <c r="BV1998" t="s">
        <v>86</v>
      </c>
      <c r="BY1998">
        <v>10356.620000000001</v>
      </c>
      <c r="CA1998" t="s">
        <v>323</v>
      </c>
      <c r="CC1998" t="s">
        <v>91</v>
      </c>
      <c r="CD1998">
        <v>7460</v>
      </c>
      <c r="CE1998" t="s">
        <v>88</v>
      </c>
      <c r="CF1998" s="3">
        <v>43789</v>
      </c>
      <c r="CI1998">
        <v>1</v>
      </c>
      <c r="CJ1998">
        <v>1</v>
      </c>
      <c r="CK1998">
        <v>21</v>
      </c>
      <c r="CL1998" t="s">
        <v>89</v>
      </c>
    </row>
    <row r="1999" spans="1:90">
      <c r="A1999" t="s">
        <v>72</v>
      </c>
      <c r="B1999" t="s">
        <v>73</v>
      </c>
      <c r="C1999" t="s">
        <v>74</v>
      </c>
      <c r="E1999" t="str">
        <f>"FES1162723517"</f>
        <v>FES1162723517</v>
      </c>
      <c r="F1999" s="3">
        <v>43787</v>
      </c>
      <c r="G1999">
        <v>202005</v>
      </c>
      <c r="H1999" t="s">
        <v>75</v>
      </c>
      <c r="I1999" t="s">
        <v>76</v>
      </c>
      <c r="J1999" t="s">
        <v>77</v>
      </c>
      <c r="K1999" t="s">
        <v>78</v>
      </c>
      <c r="L1999" t="s">
        <v>106</v>
      </c>
      <c r="M1999" t="s">
        <v>107</v>
      </c>
      <c r="N1999" t="s">
        <v>108</v>
      </c>
      <c r="O1999" t="s">
        <v>82</v>
      </c>
      <c r="P1999" t="str">
        <f>"2170717456                    "</f>
        <v xml:space="preserve">2170717456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12.87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2.7</v>
      </c>
      <c r="BJ1999">
        <v>1.5</v>
      </c>
      <c r="BK1999">
        <v>3</v>
      </c>
      <c r="BL1999" s="4">
        <v>75.66</v>
      </c>
      <c r="BM1999" s="4">
        <v>11.35</v>
      </c>
      <c r="BN1999" s="4">
        <v>87.01</v>
      </c>
      <c r="BO1999" s="4">
        <v>87.01</v>
      </c>
      <c r="BQ1999" t="s">
        <v>109</v>
      </c>
      <c r="BR1999" t="s">
        <v>84</v>
      </c>
      <c r="BS1999" s="3">
        <v>43788</v>
      </c>
      <c r="BT1999" s="5">
        <v>0.36805555555555558</v>
      </c>
      <c r="BU1999" t="s">
        <v>110</v>
      </c>
      <c r="BV1999" t="s">
        <v>86</v>
      </c>
      <c r="BY1999">
        <v>7336.58</v>
      </c>
      <c r="CA1999" t="s">
        <v>111</v>
      </c>
      <c r="CC1999" t="s">
        <v>107</v>
      </c>
      <c r="CD1999">
        <v>6001</v>
      </c>
      <c r="CE1999" t="s">
        <v>88</v>
      </c>
      <c r="CF1999" s="3">
        <v>43789</v>
      </c>
      <c r="CI1999">
        <v>1</v>
      </c>
      <c r="CJ1999">
        <v>1</v>
      </c>
      <c r="CK1999">
        <v>21</v>
      </c>
      <c r="CL1999" t="s">
        <v>89</v>
      </c>
    </row>
    <row r="2000" spans="1:90">
      <c r="A2000" t="s">
        <v>72</v>
      </c>
      <c r="B2000" t="s">
        <v>73</v>
      </c>
      <c r="C2000" t="s">
        <v>74</v>
      </c>
      <c r="E2000" t="str">
        <f>"FES1162723521"</f>
        <v>FES1162723521</v>
      </c>
      <c r="F2000" s="3">
        <v>43787</v>
      </c>
      <c r="G2000">
        <v>202005</v>
      </c>
      <c r="H2000" t="s">
        <v>75</v>
      </c>
      <c r="I2000" t="s">
        <v>76</v>
      </c>
      <c r="J2000" t="s">
        <v>77</v>
      </c>
      <c r="K2000" t="s">
        <v>78</v>
      </c>
      <c r="L2000" t="s">
        <v>90</v>
      </c>
      <c r="M2000" t="s">
        <v>91</v>
      </c>
      <c r="N2000" t="s">
        <v>823</v>
      </c>
      <c r="O2000" t="s">
        <v>82</v>
      </c>
      <c r="P2000" t="str">
        <f>"2170717465                    "</f>
        <v xml:space="preserve">2170717465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23.59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5.3</v>
      </c>
      <c r="BJ2000">
        <v>1.7</v>
      </c>
      <c r="BK2000">
        <v>5.5</v>
      </c>
      <c r="BL2000" s="4">
        <v>138.68</v>
      </c>
      <c r="BM2000" s="4">
        <v>20.8</v>
      </c>
      <c r="BN2000" s="4">
        <v>159.47999999999999</v>
      </c>
      <c r="BO2000" s="4">
        <v>159.47999999999999</v>
      </c>
      <c r="BQ2000" t="s">
        <v>142</v>
      </c>
      <c r="BR2000" t="s">
        <v>84</v>
      </c>
      <c r="BS2000" s="3">
        <v>43788</v>
      </c>
      <c r="BT2000" s="5">
        <v>0.38541666666666669</v>
      </c>
      <c r="BU2000" t="s">
        <v>1688</v>
      </c>
      <c r="BV2000" t="s">
        <v>86</v>
      </c>
      <c r="BY2000">
        <v>8388.74</v>
      </c>
      <c r="CA2000" t="s">
        <v>1238</v>
      </c>
      <c r="CC2000" t="s">
        <v>91</v>
      </c>
      <c r="CD2000">
        <v>7441</v>
      </c>
      <c r="CE2000" t="s">
        <v>88</v>
      </c>
      <c r="CF2000" s="3">
        <v>43789</v>
      </c>
      <c r="CI2000">
        <v>1</v>
      </c>
      <c r="CJ2000">
        <v>1</v>
      </c>
      <c r="CK2000">
        <v>21</v>
      </c>
      <c r="CL2000" t="s">
        <v>89</v>
      </c>
    </row>
    <row r="2001" spans="1:90">
      <c r="A2001" t="s">
        <v>72</v>
      </c>
      <c r="B2001" t="s">
        <v>73</v>
      </c>
      <c r="C2001" t="s">
        <v>74</v>
      </c>
      <c r="E2001" t="str">
        <f>"FES1162723519"</f>
        <v>FES1162723519</v>
      </c>
      <c r="F2001" s="3">
        <v>43787</v>
      </c>
      <c r="G2001">
        <v>202005</v>
      </c>
      <c r="H2001" t="s">
        <v>75</v>
      </c>
      <c r="I2001" t="s">
        <v>76</v>
      </c>
      <c r="J2001" t="s">
        <v>77</v>
      </c>
      <c r="K2001" t="s">
        <v>78</v>
      </c>
      <c r="L2001" t="s">
        <v>75</v>
      </c>
      <c r="M2001" t="s">
        <v>76</v>
      </c>
      <c r="N2001" t="s">
        <v>236</v>
      </c>
      <c r="O2001" t="s">
        <v>82</v>
      </c>
      <c r="P2001" t="str">
        <f>"2170717461                    "</f>
        <v xml:space="preserve">2170717461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9.1199999999999992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3.4</v>
      </c>
      <c r="BJ2001">
        <v>1.7</v>
      </c>
      <c r="BK2001">
        <v>3.5</v>
      </c>
      <c r="BL2001" s="4">
        <v>53.59</v>
      </c>
      <c r="BM2001" s="4">
        <v>8.0399999999999991</v>
      </c>
      <c r="BN2001" s="4">
        <v>61.63</v>
      </c>
      <c r="BO2001" s="4">
        <v>61.63</v>
      </c>
      <c r="BQ2001" t="s">
        <v>109</v>
      </c>
      <c r="BR2001" t="s">
        <v>84</v>
      </c>
      <c r="BS2001" s="3">
        <v>43788</v>
      </c>
      <c r="BT2001" s="5">
        <v>0.3263888888888889</v>
      </c>
      <c r="BU2001" t="s">
        <v>2318</v>
      </c>
      <c r="BV2001" t="s">
        <v>86</v>
      </c>
      <c r="BY2001">
        <v>8435.66</v>
      </c>
      <c r="CA2001" t="s">
        <v>238</v>
      </c>
      <c r="CC2001" t="s">
        <v>76</v>
      </c>
      <c r="CD2001">
        <v>1665</v>
      </c>
      <c r="CE2001" t="s">
        <v>88</v>
      </c>
      <c r="CI2001">
        <v>1</v>
      </c>
      <c r="CJ2001">
        <v>1</v>
      </c>
      <c r="CK2001">
        <v>22</v>
      </c>
      <c r="CL2001" t="s">
        <v>89</v>
      </c>
    </row>
    <row r="2002" spans="1:90">
      <c r="A2002" t="s">
        <v>72</v>
      </c>
      <c r="B2002" t="s">
        <v>73</v>
      </c>
      <c r="C2002" t="s">
        <v>74</v>
      </c>
      <c r="E2002" t="str">
        <f>"FES1162723531"</f>
        <v>FES1162723531</v>
      </c>
      <c r="F2002" s="3">
        <v>43787</v>
      </c>
      <c r="G2002">
        <v>202005</v>
      </c>
      <c r="H2002" t="s">
        <v>75</v>
      </c>
      <c r="I2002" t="s">
        <v>76</v>
      </c>
      <c r="J2002" t="s">
        <v>77</v>
      </c>
      <c r="K2002" t="s">
        <v>78</v>
      </c>
      <c r="L2002" t="s">
        <v>75</v>
      </c>
      <c r="M2002" t="s">
        <v>76</v>
      </c>
      <c r="N2002" t="s">
        <v>989</v>
      </c>
      <c r="O2002" t="s">
        <v>82</v>
      </c>
      <c r="P2002" t="str">
        <f>"2170717480                    "</f>
        <v xml:space="preserve">2170717480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9.92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3.9</v>
      </c>
      <c r="BJ2002">
        <v>1.7</v>
      </c>
      <c r="BK2002">
        <v>4</v>
      </c>
      <c r="BL2002" s="4">
        <v>58.31</v>
      </c>
      <c r="BM2002" s="4">
        <v>8.75</v>
      </c>
      <c r="BN2002" s="4">
        <v>67.06</v>
      </c>
      <c r="BO2002" s="4">
        <v>67.06</v>
      </c>
      <c r="BQ2002" t="s">
        <v>121</v>
      </c>
      <c r="BR2002" t="s">
        <v>84</v>
      </c>
      <c r="BS2002" s="3">
        <v>43788</v>
      </c>
      <c r="BT2002" s="5">
        <v>0.33333333333333331</v>
      </c>
      <c r="BU2002" t="s">
        <v>2162</v>
      </c>
      <c r="BV2002" t="s">
        <v>86</v>
      </c>
      <c r="BY2002">
        <v>8321.77</v>
      </c>
      <c r="CA2002" t="s">
        <v>368</v>
      </c>
      <c r="CC2002" t="s">
        <v>76</v>
      </c>
      <c r="CD2002">
        <v>1600</v>
      </c>
      <c r="CE2002" t="s">
        <v>88</v>
      </c>
      <c r="CF2002" s="3">
        <v>43790</v>
      </c>
      <c r="CI2002">
        <v>1</v>
      </c>
      <c r="CJ2002">
        <v>1</v>
      </c>
      <c r="CK2002">
        <v>22</v>
      </c>
      <c r="CL2002" t="s">
        <v>89</v>
      </c>
    </row>
    <row r="2003" spans="1:90">
      <c r="A2003" t="s">
        <v>72</v>
      </c>
      <c r="B2003" t="s">
        <v>73</v>
      </c>
      <c r="C2003" t="s">
        <v>74</v>
      </c>
      <c r="E2003" t="str">
        <f>"FES1162723508"</f>
        <v>FES1162723508</v>
      </c>
      <c r="F2003" s="3">
        <v>43787</v>
      </c>
      <c r="G2003">
        <v>202005</v>
      </c>
      <c r="H2003" t="s">
        <v>75</v>
      </c>
      <c r="I2003" t="s">
        <v>76</v>
      </c>
      <c r="J2003" t="s">
        <v>77</v>
      </c>
      <c r="K2003" t="s">
        <v>78</v>
      </c>
      <c r="L2003" t="s">
        <v>101</v>
      </c>
      <c r="M2003" t="s">
        <v>102</v>
      </c>
      <c r="N2003" t="s">
        <v>234</v>
      </c>
      <c r="O2003" t="s">
        <v>82</v>
      </c>
      <c r="P2003" t="str">
        <f>"2170714761                    "</f>
        <v xml:space="preserve">2170714761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12.87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2.7</v>
      </c>
      <c r="BJ2003">
        <v>1.4</v>
      </c>
      <c r="BK2003">
        <v>3</v>
      </c>
      <c r="BL2003" s="4">
        <v>75.66</v>
      </c>
      <c r="BM2003" s="4">
        <v>11.35</v>
      </c>
      <c r="BN2003" s="4">
        <v>87.01</v>
      </c>
      <c r="BO2003" s="4">
        <v>87.01</v>
      </c>
      <c r="BQ2003" t="s">
        <v>109</v>
      </c>
      <c r="BR2003" t="s">
        <v>84</v>
      </c>
      <c r="BS2003" s="3">
        <v>43788</v>
      </c>
      <c r="BT2003" s="5">
        <v>0.38194444444444442</v>
      </c>
      <c r="BU2003" t="s">
        <v>2319</v>
      </c>
      <c r="BV2003" t="s">
        <v>86</v>
      </c>
      <c r="BY2003">
        <v>7096.32</v>
      </c>
      <c r="CC2003" t="s">
        <v>102</v>
      </c>
      <c r="CD2003">
        <v>200</v>
      </c>
      <c r="CE2003" t="s">
        <v>88</v>
      </c>
      <c r="CF2003" s="3">
        <v>43790</v>
      </c>
      <c r="CI2003">
        <v>1</v>
      </c>
      <c r="CJ2003">
        <v>1</v>
      </c>
      <c r="CK2003">
        <v>21</v>
      </c>
      <c r="CL2003" t="s">
        <v>89</v>
      </c>
    </row>
    <row r="2004" spans="1:90">
      <c r="A2004" t="s">
        <v>72</v>
      </c>
      <c r="B2004" t="s">
        <v>73</v>
      </c>
      <c r="C2004" t="s">
        <v>74</v>
      </c>
      <c r="E2004" t="str">
        <f>"FES1162723524"</f>
        <v>FES1162723524</v>
      </c>
      <c r="F2004" s="3">
        <v>43787</v>
      </c>
      <c r="G2004">
        <v>202005</v>
      </c>
      <c r="H2004" t="s">
        <v>75</v>
      </c>
      <c r="I2004" t="s">
        <v>76</v>
      </c>
      <c r="J2004" t="s">
        <v>77</v>
      </c>
      <c r="K2004" t="s">
        <v>78</v>
      </c>
      <c r="L2004" t="s">
        <v>75</v>
      </c>
      <c r="M2004" t="s">
        <v>76</v>
      </c>
      <c r="N2004" t="s">
        <v>199</v>
      </c>
      <c r="O2004" t="s">
        <v>82</v>
      </c>
      <c r="P2004" t="str">
        <f>"2170717471                    "</f>
        <v xml:space="preserve">2170717471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9.1199999999999992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3.3</v>
      </c>
      <c r="BJ2004">
        <v>0.7</v>
      </c>
      <c r="BK2004">
        <v>3.5</v>
      </c>
      <c r="BL2004" s="4">
        <v>53.59</v>
      </c>
      <c r="BM2004" s="4">
        <v>8.0399999999999991</v>
      </c>
      <c r="BN2004" s="4">
        <v>61.63</v>
      </c>
      <c r="BO2004" s="4">
        <v>61.63</v>
      </c>
      <c r="BQ2004" t="s">
        <v>200</v>
      </c>
      <c r="BR2004" t="s">
        <v>84</v>
      </c>
      <c r="BS2004" s="3">
        <v>43788</v>
      </c>
      <c r="BT2004" s="5">
        <v>0.34375</v>
      </c>
      <c r="BU2004" t="s">
        <v>1072</v>
      </c>
      <c r="BV2004" t="s">
        <v>86</v>
      </c>
      <c r="BY2004">
        <v>3608.06</v>
      </c>
      <c r="CA2004" t="s">
        <v>368</v>
      </c>
      <c r="CC2004" t="s">
        <v>76</v>
      </c>
      <c r="CD2004">
        <v>1600</v>
      </c>
      <c r="CE2004" t="s">
        <v>88</v>
      </c>
      <c r="CF2004" s="3">
        <v>43790</v>
      </c>
      <c r="CI2004">
        <v>1</v>
      </c>
      <c r="CJ2004">
        <v>1</v>
      </c>
      <c r="CK2004">
        <v>22</v>
      </c>
      <c r="CL2004" t="s">
        <v>89</v>
      </c>
    </row>
    <row r="2005" spans="1:90">
      <c r="A2005" t="s">
        <v>72</v>
      </c>
      <c r="B2005" t="s">
        <v>73</v>
      </c>
      <c r="C2005" t="s">
        <v>74</v>
      </c>
      <c r="E2005" t="str">
        <f>"FES1162723618"</f>
        <v>FES1162723618</v>
      </c>
      <c r="F2005" s="3">
        <v>43787</v>
      </c>
      <c r="G2005">
        <v>202005</v>
      </c>
      <c r="H2005" t="s">
        <v>75</v>
      </c>
      <c r="I2005" t="s">
        <v>76</v>
      </c>
      <c r="J2005" t="s">
        <v>77</v>
      </c>
      <c r="K2005" t="s">
        <v>78</v>
      </c>
      <c r="L2005" t="s">
        <v>566</v>
      </c>
      <c r="M2005" t="s">
        <v>567</v>
      </c>
      <c r="N2005" t="s">
        <v>568</v>
      </c>
      <c r="O2005" t="s">
        <v>82</v>
      </c>
      <c r="P2005" t="str">
        <f>"2170717579                    "</f>
        <v xml:space="preserve">2170717579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12.07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0.6</v>
      </c>
      <c r="BJ2005">
        <v>0.8</v>
      </c>
      <c r="BK2005">
        <v>1</v>
      </c>
      <c r="BL2005" s="4">
        <v>70.95</v>
      </c>
      <c r="BM2005" s="4">
        <v>10.64</v>
      </c>
      <c r="BN2005" s="4">
        <v>81.59</v>
      </c>
      <c r="BO2005" s="4">
        <v>81.59</v>
      </c>
      <c r="BQ2005" t="s">
        <v>121</v>
      </c>
      <c r="BR2005" t="s">
        <v>84</v>
      </c>
      <c r="BS2005" s="3">
        <v>43788</v>
      </c>
      <c r="BT2005" s="5">
        <v>0.28472222222222221</v>
      </c>
      <c r="BU2005" t="s">
        <v>2320</v>
      </c>
      <c r="BV2005" t="s">
        <v>86</v>
      </c>
      <c r="BY2005">
        <v>3871.44</v>
      </c>
      <c r="CA2005" t="s">
        <v>2007</v>
      </c>
      <c r="CC2005" t="s">
        <v>567</v>
      </c>
      <c r="CD2005">
        <v>2410</v>
      </c>
      <c r="CE2005" t="s">
        <v>88</v>
      </c>
      <c r="CF2005" s="3">
        <v>43790</v>
      </c>
      <c r="CI2005">
        <v>1</v>
      </c>
      <c r="CJ2005">
        <v>1</v>
      </c>
      <c r="CK2005">
        <v>24</v>
      </c>
      <c r="CL2005" t="s">
        <v>89</v>
      </c>
    </row>
    <row r="2006" spans="1:90">
      <c r="A2006" t="s">
        <v>72</v>
      </c>
      <c r="B2006" t="s">
        <v>73</v>
      </c>
      <c r="C2006" t="s">
        <v>74</v>
      </c>
      <c r="E2006" t="str">
        <f>"FES1162723505"</f>
        <v>FES1162723505</v>
      </c>
      <c r="F2006" s="3">
        <v>43787</v>
      </c>
      <c r="G2006">
        <v>202005</v>
      </c>
      <c r="H2006" t="s">
        <v>75</v>
      </c>
      <c r="I2006" t="s">
        <v>76</v>
      </c>
      <c r="J2006" t="s">
        <v>77</v>
      </c>
      <c r="K2006" t="s">
        <v>78</v>
      </c>
      <c r="L2006" t="s">
        <v>251</v>
      </c>
      <c r="M2006" t="s">
        <v>252</v>
      </c>
      <c r="N2006" t="s">
        <v>997</v>
      </c>
      <c r="O2006" t="s">
        <v>82</v>
      </c>
      <c r="P2006" t="str">
        <f>"2170715671                    "</f>
        <v xml:space="preserve">2170715671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10.73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2.2000000000000002</v>
      </c>
      <c r="BJ2006">
        <v>1</v>
      </c>
      <c r="BK2006">
        <v>2.5</v>
      </c>
      <c r="BL2006" s="4">
        <v>63.06</v>
      </c>
      <c r="BM2006" s="4">
        <v>9.4600000000000009</v>
      </c>
      <c r="BN2006" s="4">
        <v>72.52</v>
      </c>
      <c r="BO2006" s="4">
        <v>72.52</v>
      </c>
      <c r="BQ2006" t="s">
        <v>121</v>
      </c>
      <c r="BR2006" t="s">
        <v>84</v>
      </c>
      <c r="BS2006" s="3">
        <v>43788</v>
      </c>
      <c r="BT2006" s="5">
        <v>0.40208333333333335</v>
      </c>
      <c r="BU2006" t="s">
        <v>2321</v>
      </c>
      <c r="BV2006" t="s">
        <v>86</v>
      </c>
      <c r="BY2006">
        <v>4845.7299999999996</v>
      </c>
      <c r="CA2006" t="s">
        <v>448</v>
      </c>
      <c r="CC2006" t="s">
        <v>252</v>
      </c>
      <c r="CD2006">
        <v>4113</v>
      </c>
      <c r="CE2006" t="s">
        <v>88</v>
      </c>
      <c r="CF2006" s="3">
        <v>43789</v>
      </c>
      <c r="CI2006">
        <v>1</v>
      </c>
      <c r="CJ2006">
        <v>1</v>
      </c>
      <c r="CK2006">
        <v>21</v>
      </c>
      <c r="CL2006" t="s">
        <v>89</v>
      </c>
    </row>
    <row r="2007" spans="1:90">
      <c r="A2007" t="s">
        <v>72</v>
      </c>
      <c r="B2007" t="s">
        <v>73</v>
      </c>
      <c r="C2007" t="s">
        <v>74</v>
      </c>
      <c r="E2007" t="str">
        <f>"FES1162723514"</f>
        <v>FES1162723514</v>
      </c>
      <c r="F2007" s="3">
        <v>43787</v>
      </c>
      <c r="G2007">
        <v>202005</v>
      </c>
      <c r="H2007" t="s">
        <v>75</v>
      </c>
      <c r="I2007" t="s">
        <v>76</v>
      </c>
      <c r="J2007" t="s">
        <v>77</v>
      </c>
      <c r="K2007" t="s">
        <v>78</v>
      </c>
      <c r="L2007" t="s">
        <v>296</v>
      </c>
      <c r="M2007" t="s">
        <v>297</v>
      </c>
      <c r="N2007" t="s">
        <v>672</v>
      </c>
      <c r="O2007" t="s">
        <v>82</v>
      </c>
      <c r="P2007" t="str">
        <f>"2170717379                    "</f>
        <v xml:space="preserve">2170717379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16.63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 s="4">
        <v>97.75</v>
      </c>
      <c r="BM2007" s="4">
        <v>14.66</v>
      </c>
      <c r="BN2007" s="4">
        <v>112.41</v>
      </c>
      <c r="BO2007" s="4">
        <v>112.41</v>
      </c>
      <c r="BQ2007" t="s">
        <v>142</v>
      </c>
      <c r="BR2007" t="s">
        <v>84</v>
      </c>
      <c r="BS2007" s="3">
        <v>43789</v>
      </c>
      <c r="BT2007" s="5">
        <v>0.36458333333333331</v>
      </c>
      <c r="BU2007" t="s">
        <v>673</v>
      </c>
      <c r="BV2007" t="s">
        <v>86</v>
      </c>
      <c r="BY2007">
        <v>1200</v>
      </c>
      <c r="CA2007" t="s">
        <v>300</v>
      </c>
      <c r="CC2007" t="s">
        <v>297</v>
      </c>
      <c r="CD2007">
        <v>6850</v>
      </c>
      <c r="CE2007" t="s">
        <v>147</v>
      </c>
      <c r="CF2007" s="3">
        <v>43790</v>
      </c>
      <c r="CI2007">
        <v>3</v>
      </c>
      <c r="CJ2007">
        <v>2</v>
      </c>
      <c r="CK2007">
        <v>23</v>
      </c>
      <c r="CL2007" t="s">
        <v>89</v>
      </c>
    </row>
    <row r="2008" spans="1:90">
      <c r="A2008" t="s">
        <v>72</v>
      </c>
      <c r="B2008" t="s">
        <v>73</v>
      </c>
      <c r="C2008" t="s">
        <v>74</v>
      </c>
      <c r="E2008" t="str">
        <f>"FES1162723616"</f>
        <v>FES1162723616</v>
      </c>
      <c r="F2008" s="3">
        <v>43787</v>
      </c>
      <c r="G2008">
        <v>202005</v>
      </c>
      <c r="H2008" t="s">
        <v>75</v>
      </c>
      <c r="I2008" t="s">
        <v>76</v>
      </c>
      <c r="J2008" t="s">
        <v>77</v>
      </c>
      <c r="K2008" t="s">
        <v>78</v>
      </c>
      <c r="L2008" t="s">
        <v>90</v>
      </c>
      <c r="M2008" t="s">
        <v>91</v>
      </c>
      <c r="N2008" t="s">
        <v>576</v>
      </c>
      <c r="O2008" t="s">
        <v>82</v>
      </c>
      <c r="P2008" t="str">
        <f>"2170715367                    "</f>
        <v xml:space="preserve">2170715367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8.58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 s="4">
        <v>50.45</v>
      </c>
      <c r="BM2008" s="4">
        <v>7.57</v>
      </c>
      <c r="BN2008" s="4">
        <v>58.02</v>
      </c>
      <c r="BO2008" s="4">
        <v>58.02</v>
      </c>
      <c r="BQ2008" t="s">
        <v>109</v>
      </c>
      <c r="BR2008" t="s">
        <v>84</v>
      </c>
      <c r="BS2008" s="3">
        <v>43788</v>
      </c>
      <c r="BT2008" s="5">
        <v>0.33402777777777781</v>
      </c>
      <c r="BU2008" t="s">
        <v>2081</v>
      </c>
      <c r="BV2008" t="s">
        <v>86</v>
      </c>
      <c r="BY2008">
        <v>1200</v>
      </c>
      <c r="CA2008" t="s">
        <v>213</v>
      </c>
      <c r="CC2008" t="s">
        <v>91</v>
      </c>
      <c r="CD2008">
        <v>7441</v>
      </c>
      <c r="CE2008" t="s">
        <v>147</v>
      </c>
      <c r="CF2008" s="3">
        <v>43789</v>
      </c>
      <c r="CI2008">
        <v>1</v>
      </c>
      <c r="CJ2008">
        <v>1</v>
      </c>
      <c r="CK2008">
        <v>21</v>
      </c>
      <c r="CL2008" t="s">
        <v>89</v>
      </c>
    </row>
    <row r="2009" spans="1:90">
      <c r="A2009" t="s">
        <v>72</v>
      </c>
      <c r="B2009" t="s">
        <v>73</v>
      </c>
      <c r="C2009" t="s">
        <v>74</v>
      </c>
      <c r="E2009" t="str">
        <f>"FES1162723545"</f>
        <v>FES1162723545</v>
      </c>
      <c r="F2009" s="3">
        <v>43787</v>
      </c>
      <c r="G2009">
        <v>202005</v>
      </c>
      <c r="H2009" t="s">
        <v>75</v>
      </c>
      <c r="I2009" t="s">
        <v>76</v>
      </c>
      <c r="J2009" t="s">
        <v>77</v>
      </c>
      <c r="K2009" t="s">
        <v>78</v>
      </c>
      <c r="L2009" t="s">
        <v>2322</v>
      </c>
      <c r="M2009" t="s">
        <v>2323</v>
      </c>
      <c r="N2009" t="s">
        <v>2324</v>
      </c>
      <c r="O2009" t="s">
        <v>82</v>
      </c>
      <c r="P2009" t="str">
        <f>"2170717499                    "</f>
        <v xml:space="preserve">2170717499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16.63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 s="4">
        <v>97.75</v>
      </c>
      <c r="BM2009" s="4">
        <v>14.66</v>
      </c>
      <c r="BN2009" s="4">
        <v>112.41</v>
      </c>
      <c r="BO2009" s="4">
        <v>112.41</v>
      </c>
      <c r="BR2009" t="s">
        <v>84</v>
      </c>
      <c r="BS2009" s="3">
        <v>43788</v>
      </c>
      <c r="BT2009" s="5">
        <v>0.58333333333333337</v>
      </c>
      <c r="BU2009" t="s">
        <v>2325</v>
      </c>
      <c r="BV2009" t="s">
        <v>86</v>
      </c>
      <c r="BY2009">
        <v>1200</v>
      </c>
      <c r="CC2009" t="s">
        <v>2323</v>
      </c>
      <c r="CD2009">
        <v>5319</v>
      </c>
      <c r="CE2009" t="s">
        <v>147</v>
      </c>
      <c r="CF2009" s="3">
        <v>43791</v>
      </c>
      <c r="CI2009">
        <v>4</v>
      </c>
      <c r="CJ2009">
        <v>1</v>
      </c>
      <c r="CK2009">
        <v>23</v>
      </c>
      <c r="CL2009" t="s">
        <v>89</v>
      </c>
    </row>
    <row r="2010" spans="1:90">
      <c r="A2010" t="s">
        <v>72</v>
      </c>
      <c r="B2010" t="s">
        <v>73</v>
      </c>
      <c r="C2010" t="s">
        <v>74</v>
      </c>
      <c r="E2010" t="str">
        <f>"FES1162723502"</f>
        <v>FES1162723502</v>
      </c>
      <c r="F2010" s="3">
        <v>43787</v>
      </c>
      <c r="G2010">
        <v>202005</v>
      </c>
      <c r="H2010" t="s">
        <v>75</v>
      </c>
      <c r="I2010" t="s">
        <v>76</v>
      </c>
      <c r="J2010" t="s">
        <v>77</v>
      </c>
      <c r="K2010" t="s">
        <v>78</v>
      </c>
      <c r="L2010" t="s">
        <v>90</v>
      </c>
      <c r="M2010" t="s">
        <v>91</v>
      </c>
      <c r="N2010" t="s">
        <v>1825</v>
      </c>
      <c r="O2010" t="s">
        <v>82</v>
      </c>
      <c r="P2010" t="str">
        <f>"2170707450                    "</f>
        <v xml:space="preserve">2170707450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8.58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 s="4">
        <v>50.45</v>
      </c>
      <c r="BM2010" s="4">
        <v>7.57</v>
      </c>
      <c r="BN2010" s="4">
        <v>58.02</v>
      </c>
      <c r="BO2010" s="4">
        <v>58.02</v>
      </c>
      <c r="BQ2010" t="s">
        <v>121</v>
      </c>
      <c r="BR2010" t="s">
        <v>84</v>
      </c>
      <c r="BS2010" s="3">
        <v>43788</v>
      </c>
      <c r="BT2010" s="5">
        <v>0.41736111111111113</v>
      </c>
      <c r="BU2010" t="s">
        <v>2326</v>
      </c>
      <c r="BV2010" t="s">
        <v>86</v>
      </c>
      <c r="BY2010">
        <v>1200</v>
      </c>
      <c r="CA2010" t="s">
        <v>323</v>
      </c>
      <c r="CC2010" t="s">
        <v>91</v>
      </c>
      <c r="CD2010">
        <v>7460</v>
      </c>
      <c r="CE2010" t="s">
        <v>147</v>
      </c>
      <c r="CF2010" s="3">
        <v>43789</v>
      </c>
      <c r="CI2010">
        <v>1</v>
      </c>
      <c r="CJ2010">
        <v>1</v>
      </c>
      <c r="CK2010">
        <v>21</v>
      </c>
      <c r="CL2010" t="s">
        <v>89</v>
      </c>
    </row>
    <row r="2011" spans="1:90">
      <c r="A2011" t="s">
        <v>72</v>
      </c>
      <c r="B2011" t="s">
        <v>73</v>
      </c>
      <c r="C2011" t="s">
        <v>74</v>
      </c>
      <c r="E2011" t="str">
        <f>"FES1162723512"</f>
        <v>FES1162723512</v>
      </c>
      <c r="F2011" s="3">
        <v>43787</v>
      </c>
      <c r="G2011">
        <v>202005</v>
      </c>
      <c r="H2011" t="s">
        <v>75</v>
      </c>
      <c r="I2011" t="s">
        <v>76</v>
      </c>
      <c r="J2011" t="s">
        <v>77</v>
      </c>
      <c r="K2011" t="s">
        <v>78</v>
      </c>
      <c r="L2011" t="s">
        <v>176</v>
      </c>
      <c r="M2011" t="s">
        <v>177</v>
      </c>
      <c r="N2011" t="s">
        <v>419</v>
      </c>
      <c r="O2011" t="s">
        <v>82</v>
      </c>
      <c r="P2011" t="str">
        <f>"2170716658                    "</f>
        <v xml:space="preserve">2170716658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8.58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 s="4">
        <v>50.45</v>
      </c>
      <c r="BM2011" s="4">
        <v>7.57</v>
      </c>
      <c r="BN2011" s="4">
        <v>58.02</v>
      </c>
      <c r="BO2011" s="4">
        <v>58.02</v>
      </c>
      <c r="BQ2011" t="s">
        <v>109</v>
      </c>
      <c r="BR2011" t="s">
        <v>84</v>
      </c>
      <c r="BS2011" s="3">
        <v>43788</v>
      </c>
      <c r="BT2011" s="5">
        <v>0.40347222222222223</v>
      </c>
      <c r="BU2011" t="s">
        <v>2327</v>
      </c>
      <c r="BV2011" t="s">
        <v>86</v>
      </c>
      <c r="BY2011">
        <v>1200</v>
      </c>
      <c r="CA2011" t="s">
        <v>224</v>
      </c>
      <c r="CC2011" t="s">
        <v>177</v>
      </c>
      <c r="CD2011">
        <v>3620</v>
      </c>
      <c r="CE2011" t="s">
        <v>147</v>
      </c>
      <c r="CF2011" s="3">
        <v>43789</v>
      </c>
      <c r="CI2011">
        <v>1</v>
      </c>
      <c r="CJ2011">
        <v>1</v>
      </c>
      <c r="CK2011">
        <v>21</v>
      </c>
      <c r="CL2011" t="s">
        <v>89</v>
      </c>
    </row>
    <row r="2012" spans="1:90">
      <c r="A2012" t="s">
        <v>72</v>
      </c>
      <c r="B2012" t="s">
        <v>73</v>
      </c>
      <c r="C2012" t="s">
        <v>74</v>
      </c>
      <c r="E2012" t="str">
        <f>"FES1162723573"</f>
        <v>FES1162723573</v>
      </c>
      <c r="F2012" s="3">
        <v>43787</v>
      </c>
      <c r="G2012">
        <v>202005</v>
      </c>
      <c r="H2012" t="s">
        <v>75</v>
      </c>
      <c r="I2012" t="s">
        <v>76</v>
      </c>
      <c r="J2012" t="s">
        <v>77</v>
      </c>
      <c r="K2012" t="s">
        <v>78</v>
      </c>
      <c r="L2012" t="s">
        <v>106</v>
      </c>
      <c r="M2012" t="s">
        <v>107</v>
      </c>
      <c r="N2012" t="s">
        <v>386</v>
      </c>
      <c r="O2012" t="s">
        <v>82</v>
      </c>
      <c r="P2012" t="str">
        <f>"2170717527                    "</f>
        <v xml:space="preserve">2170717527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8.58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 s="4">
        <v>50.45</v>
      </c>
      <c r="BM2012" s="4">
        <v>7.57</v>
      </c>
      <c r="BN2012" s="4">
        <v>58.02</v>
      </c>
      <c r="BO2012" s="4">
        <v>58.02</v>
      </c>
      <c r="BQ2012" t="s">
        <v>387</v>
      </c>
      <c r="BR2012" t="s">
        <v>84</v>
      </c>
      <c r="BS2012" s="3">
        <v>43788</v>
      </c>
      <c r="BT2012" s="5">
        <v>0.40277777777777773</v>
      </c>
      <c r="BU2012" t="s">
        <v>388</v>
      </c>
      <c r="BV2012" t="s">
        <v>86</v>
      </c>
      <c r="BY2012">
        <v>1200</v>
      </c>
      <c r="CA2012" t="s">
        <v>111</v>
      </c>
      <c r="CC2012" t="s">
        <v>107</v>
      </c>
      <c r="CD2012">
        <v>6001</v>
      </c>
      <c r="CE2012" t="s">
        <v>147</v>
      </c>
      <c r="CF2012" s="3">
        <v>43789</v>
      </c>
      <c r="CI2012">
        <v>1</v>
      </c>
      <c r="CJ2012">
        <v>1</v>
      </c>
      <c r="CK2012">
        <v>21</v>
      </c>
      <c r="CL2012" t="s">
        <v>89</v>
      </c>
    </row>
    <row r="2013" spans="1:90">
      <c r="A2013" t="s">
        <v>72</v>
      </c>
      <c r="B2013" t="s">
        <v>73</v>
      </c>
      <c r="C2013" t="s">
        <v>74</v>
      </c>
      <c r="E2013" t="str">
        <f>"FES1162723563"</f>
        <v>FES1162723563</v>
      </c>
      <c r="F2013" s="3">
        <v>43787</v>
      </c>
      <c r="G2013">
        <v>202005</v>
      </c>
      <c r="H2013" t="s">
        <v>75</v>
      </c>
      <c r="I2013" t="s">
        <v>76</v>
      </c>
      <c r="J2013" t="s">
        <v>77</v>
      </c>
      <c r="K2013" t="s">
        <v>78</v>
      </c>
      <c r="L2013" t="s">
        <v>101</v>
      </c>
      <c r="M2013" t="s">
        <v>102</v>
      </c>
      <c r="N2013" t="s">
        <v>330</v>
      </c>
      <c r="O2013" t="s">
        <v>82</v>
      </c>
      <c r="P2013" t="str">
        <f>"2170717519                    "</f>
        <v xml:space="preserve">2170717519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8.58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 s="4">
        <v>50.45</v>
      </c>
      <c r="BM2013" s="4">
        <v>7.57</v>
      </c>
      <c r="BN2013" s="4">
        <v>58.02</v>
      </c>
      <c r="BO2013" s="4">
        <v>58.02</v>
      </c>
      <c r="BQ2013" t="s">
        <v>109</v>
      </c>
      <c r="BR2013" t="s">
        <v>84</v>
      </c>
      <c r="BS2013" s="3">
        <v>43788</v>
      </c>
      <c r="BT2013" s="5">
        <v>0.3979166666666667</v>
      </c>
      <c r="BU2013" t="s">
        <v>2296</v>
      </c>
      <c r="BV2013" t="s">
        <v>86</v>
      </c>
      <c r="BY2013">
        <v>1200</v>
      </c>
      <c r="CC2013" t="s">
        <v>102</v>
      </c>
      <c r="CD2013">
        <v>200</v>
      </c>
      <c r="CE2013" t="s">
        <v>147</v>
      </c>
      <c r="CF2013" s="3">
        <v>43790</v>
      </c>
      <c r="CI2013">
        <v>1</v>
      </c>
      <c r="CJ2013">
        <v>1</v>
      </c>
      <c r="CK2013">
        <v>21</v>
      </c>
      <c r="CL2013" t="s">
        <v>89</v>
      </c>
    </row>
    <row r="2014" spans="1:90">
      <c r="A2014" t="s">
        <v>72</v>
      </c>
      <c r="B2014" t="s">
        <v>73</v>
      </c>
      <c r="C2014" t="s">
        <v>74</v>
      </c>
      <c r="E2014" t="str">
        <f>"FES1162723506"</f>
        <v>FES1162723506</v>
      </c>
      <c r="F2014" s="3">
        <v>43787</v>
      </c>
      <c r="G2014">
        <v>202005</v>
      </c>
      <c r="H2014" t="s">
        <v>75</v>
      </c>
      <c r="I2014" t="s">
        <v>76</v>
      </c>
      <c r="J2014" t="s">
        <v>77</v>
      </c>
      <c r="K2014" t="s">
        <v>78</v>
      </c>
      <c r="L2014" t="s">
        <v>124</v>
      </c>
      <c r="M2014" t="s">
        <v>125</v>
      </c>
      <c r="N2014" t="s">
        <v>2328</v>
      </c>
      <c r="O2014" t="s">
        <v>82</v>
      </c>
      <c r="P2014" t="str">
        <f>"2170717283                    "</f>
        <v xml:space="preserve">2170717283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6.71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 s="4">
        <v>39.42</v>
      </c>
      <c r="BM2014" s="4">
        <v>5.91</v>
      </c>
      <c r="BN2014" s="4">
        <v>45.33</v>
      </c>
      <c r="BO2014" s="4">
        <v>45.33</v>
      </c>
      <c r="BQ2014" t="s">
        <v>109</v>
      </c>
      <c r="BR2014" t="s">
        <v>84</v>
      </c>
      <c r="BS2014" s="3">
        <v>43788</v>
      </c>
      <c r="BT2014" s="5">
        <v>0.32500000000000001</v>
      </c>
      <c r="BU2014" t="s">
        <v>2329</v>
      </c>
      <c r="BV2014" t="s">
        <v>86</v>
      </c>
      <c r="BY2014">
        <v>1200</v>
      </c>
      <c r="CC2014" t="s">
        <v>125</v>
      </c>
      <c r="CD2014">
        <v>2042</v>
      </c>
      <c r="CE2014" t="s">
        <v>147</v>
      </c>
      <c r="CI2014">
        <v>1</v>
      </c>
      <c r="CJ2014">
        <v>1</v>
      </c>
      <c r="CK2014">
        <v>22</v>
      </c>
      <c r="CL2014" t="s">
        <v>89</v>
      </c>
    </row>
    <row r="2015" spans="1:90">
      <c r="A2015" t="s">
        <v>72</v>
      </c>
      <c r="B2015" t="s">
        <v>73</v>
      </c>
      <c r="C2015" t="s">
        <v>74</v>
      </c>
      <c r="E2015" t="str">
        <f>"FES1162723500"</f>
        <v>FES1162723500</v>
      </c>
      <c r="F2015" s="3">
        <v>43787</v>
      </c>
      <c r="G2015">
        <v>202005</v>
      </c>
      <c r="H2015" t="s">
        <v>75</v>
      </c>
      <c r="I2015" t="s">
        <v>76</v>
      </c>
      <c r="J2015" t="s">
        <v>77</v>
      </c>
      <c r="K2015" t="s">
        <v>78</v>
      </c>
      <c r="L2015" t="s">
        <v>605</v>
      </c>
      <c r="M2015" t="s">
        <v>606</v>
      </c>
      <c r="N2015" t="s">
        <v>785</v>
      </c>
      <c r="O2015" t="s">
        <v>82</v>
      </c>
      <c r="P2015" t="str">
        <f>"2170717448                    "</f>
        <v xml:space="preserve">2170717448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12.07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 s="4">
        <v>70.95</v>
      </c>
      <c r="BM2015" s="4">
        <v>10.64</v>
      </c>
      <c r="BN2015" s="4">
        <v>81.59</v>
      </c>
      <c r="BO2015" s="4">
        <v>81.59</v>
      </c>
      <c r="BQ2015" t="s">
        <v>109</v>
      </c>
      <c r="BR2015" t="s">
        <v>84</v>
      </c>
      <c r="BS2015" s="3">
        <v>43788</v>
      </c>
      <c r="BT2015" s="5">
        <v>0.58333333333333337</v>
      </c>
      <c r="BU2015" t="s">
        <v>179</v>
      </c>
      <c r="BV2015" t="s">
        <v>86</v>
      </c>
      <c r="BY2015">
        <v>1200</v>
      </c>
      <c r="CC2015" t="s">
        <v>606</v>
      </c>
      <c r="CD2015">
        <v>407</v>
      </c>
      <c r="CE2015" t="s">
        <v>147</v>
      </c>
      <c r="CF2015" s="3">
        <v>43790</v>
      </c>
      <c r="CI2015">
        <v>1</v>
      </c>
      <c r="CJ2015">
        <v>1</v>
      </c>
      <c r="CK2015">
        <v>24</v>
      </c>
      <c r="CL2015" t="s">
        <v>89</v>
      </c>
    </row>
    <row r="2016" spans="1:90">
      <c r="A2016" t="s">
        <v>72</v>
      </c>
      <c r="B2016" t="s">
        <v>73</v>
      </c>
      <c r="C2016" t="s">
        <v>74</v>
      </c>
      <c r="E2016" t="str">
        <f>"FES1162723520"</f>
        <v>FES1162723520</v>
      </c>
      <c r="F2016" s="3">
        <v>43787</v>
      </c>
      <c r="G2016">
        <v>202005</v>
      </c>
      <c r="H2016" t="s">
        <v>75</v>
      </c>
      <c r="I2016" t="s">
        <v>76</v>
      </c>
      <c r="J2016" t="s">
        <v>77</v>
      </c>
      <c r="K2016" t="s">
        <v>78</v>
      </c>
      <c r="L2016" t="s">
        <v>75</v>
      </c>
      <c r="M2016" t="s">
        <v>76</v>
      </c>
      <c r="N2016" t="s">
        <v>1429</v>
      </c>
      <c r="O2016" t="s">
        <v>82</v>
      </c>
      <c r="P2016" t="str">
        <f>"2170717462                    "</f>
        <v xml:space="preserve">2170717462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6.71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 s="4">
        <v>39.42</v>
      </c>
      <c r="BM2016" s="4">
        <v>5.91</v>
      </c>
      <c r="BN2016" s="4">
        <v>45.33</v>
      </c>
      <c r="BO2016" s="4">
        <v>45.33</v>
      </c>
      <c r="BQ2016" t="s">
        <v>109</v>
      </c>
      <c r="BR2016" t="s">
        <v>84</v>
      </c>
      <c r="BS2016" s="3">
        <v>43788</v>
      </c>
      <c r="BT2016" s="5">
        <v>0.34513888888888888</v>
      </c>
      <c r="BU2016" t="s">
        <v>1430</v>
      </c>
      <c r="BV2016" t="s">
        <v>86</v>
      </c>
      <c r="BY2016">
        <v>1200</v>
      </c>
      <c r="CA2016" t="s">
        <v>238</v>
      </c>
      <c r="CC2016" t="s">
        <v>76</v>
      </c>
      <c r="CD2016">
        <v>1665</v>
      </c>
      <c r="CE2016" t="s">
        <v>147</v>
      </c>
      <c r="CI2016">
        <v>1</v>
      </c>
      <c r="CJ2016">
        <v>1</v>
      </c>
      <c r="CK2016">
        <v>22</v>
      </c>
      <c r="CL2016" t="s">
        <v>89</v>
      </c>
    </row>
    <row r="2017" spans="1:90">
      <c r="A2017" t="s">
        <v>72</v>
      </c>
      <c r="B2017" t="s">
        <v>73</v>
      </c>
      <c r="C2017" t="s">
        <v>74</v>
      </c>
      <c r="E2017" t="str">
        <f>"FES1162723522"</f>
        <v>FES1162723522</v>
      </c>
      <c r="F2017" s="3">
        <v>43787</v>
      </c>
      <c r="G2017">
        <v>202005</v>
      </c>
      <c r="H2017" t="s">
        <v>75</v>
      </c>
      <c r="I2017" t="s">
        <v>76</v>
      </c>
      <c r="J2017" t="s">
        <v>77</v>
      </c>
      <c r="K2017" t="s">
        <v>78</v>
      </c>
      <c r="L2017" t="s">
        <v>75</v>
      </c>
      <c r="M2017" t="s">
        <v>76</v>
      </c>
      <c r="N2017" t="s">
        <v>360</v>
      </c>
      <c r="O2017" t="s">
        <v>82</v>
      </c>
      <c r="P2017" t="str">
        <f>"217071467                     "</f>
        <v xml:space="preserve">217071467 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6.71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 s="4">
        <v>39.42</v>
      </c>
      <c r="BM2017" s="4">
        <v>5.91</v>
      </c>
      <c r="BN2017" s="4">
        <v>45.33</v>
      </c>
      <c r="BO2017" s="4">
        <v>45.33</v>
      </c>
      <c r="BQ2017" t="s">
        <v>109</v>
      </c>
      <c r="BR2017" t="s">
        <v>84</v>
      </c>
      <c r="BS2017" s="3">
        <v>43788</v>
      </c>
      <c r="BT2017" s="5">
        <v>0.33333333333333331</v>
      </c>
      <c r="BU2017" t="s">
        <v>2330</v>
      </c>
      <c r="BV2017" t="s">
        <v>86</v>
      </c>
      <c r="BY2017">
        <v>1200</v>
      </c>
      <c r="CA2017" t="s">
        <v>2331</v>
      </c>
      <c r="CC2017" t="s">
        <v>76</v>
      </c>
      <c r="CD2017">
        <v>1645</v>
      </c>
      <c r="CE2017" t="s">
        <v>147</v>
      </c>
      <c r="CF2017" s="3">
        <v>43789</v>
      </c>
      <c r="CI2017">
        <v>1</v>
      </c>
      <c r="CJ2017">
        <v>1</v>
      </c>
      <c r="CK2017">
        <v>22</v>
      </c>
      <c r="CL2017" t="s">
        <v>89</v>
      </c>
    </row>
    <row r="2018" spans="1:90">
      <c r="A2018" t="s">
        <v>72</v>
      </c>
      <c r="B2018" t="s">
        <v>73</v>
      </c>
      <c r="C2018" t="s">
        <v>74</v>
      </c>
      <c r="E2018" t="str">
        <f>"FES1162723511"</f>
        <v>FES1162723511</v>
      </c>
      <c r="F2018" s="3">
        <v>43787</v>
      </c>
      <c r="G2018">
        <v>202005</v>
      </c>
      <c r="H2018" t="s">
        <v>75</v>
      </c>
      <c r="I2018" t="s">
        <v>76</v>
      </c>
      <c r="J2018" t="s">
        <v>77</v>
      </c>
      <c r="K2018" t="s">
        <v>78</v>
      </c>
      <c r="L2018" t="s">
        <v>482</v>
      </c>
      <c r="M2018" t="s">
        <v>483</v>
      </c>
      <c r="N2018" t="s">
        <v>449</v>
      </c>
      <c r="O2018" t="s">
        <v>82</v>
      </c>
      <c r="P2018" t="str">
        <f>"2170715980                    "</f>
        <v xml:space="preserve">2170715980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6.71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 s="4">
        <v>39.42</v>
      </c>
      <c r="BM2018" s="4">
        <v>5.91</v>
      </c>
      <c r="BN2018" s="4">
        <v>45.33</v>
      </c>
      <c r="BO2018" s="4">
        <v>45.33</v>
      </c>
      <c r="BQ2018" t="s">
        <v>109</v>
      </c>
      <c r="BR2018" t="s">
        <v>84</v>
      </c>
      <c r="BS2018" s="3">
        <v>43788</v>
      </c>
      <c r="BT2018" s="5">
        <v>0.4375</v>
      </c>
      <c r="BU2018" t="s">
        <v>1111</v>
      </c>
      <c r="BV2018" t="s">
        <v>86</v>
      </c>
      <c r="BY2018">
        <v>1200</v>
      </c>
      <c r="CC2018" t="s">
        <v>483</v>
      </c>
      <c r="CD2018">
        <v>1459</v>
      </c>
      <c r="CE2018" t="s">
        <v>147</v>
      </c>
      <c r="CF2018" s="3">
        <v>43789</v>
      </c>
      <c r="CI2018">
        <v>1</v>
      </c>
      <c r="CJ2018">
        <v>1</v>
      </c>
      <c r="CK2018">
        <v>22</v>
      </c>
      <c r="CL2018" t="s">
        <v>89</v>
      </c>
    </row>
    <row r="2019" spans="1:90">
      <c r="A2019" t="s">
        <v>72</v>
      </c>
      <c r="B2019" t="s">
        <v>73</v>
      </c>
      <c r="C2019" t="s">
        <v>74</v>
      </c>
      <c r="E2019" t="str">
        <f>"FES1162723452"</f>
        <v>FES1162723452</v>
      </c>
      <c r="F2019" s="3">
        <v>43787</v>
      </c>
      <c r="G2019">
        <v>202005</v>
      </c>
      <c r="H2019" t="s">
        <v>75</v>
      </c>
      <c r="I2019" t="s">
        <v>76</v>
      </c>
      <c r="J2019" t="s">
        <v>77</v>
      </c>
      <c r="K2019" t="s">
        <v>78</v>
      </c>
      <c r="L2019" t="s">
        <v>112</v>
      </c>
      <c r="M2019" t="s">
        <v>113</v>
      </c>
      <c r="N2019" t="s">
        <v>887</v>
      </c>
      <c r="O2019" t="s">
        <v>82</v>
      </c>
      <c r="P2019" t="str">
        <f>"2170717162                    "</f>
        <v xml:space="preserve">2170717162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8.58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1.8</v>
      </c>
      <c r="BJ2019">
        <v>0.9</v>
      </c>
      <c r="BK2019">
        <v>2</v>
      </c>
      <c r="BL2019" s="4">
        <v>50.45</v>
      </c>
      <c r="BM2019" s="4">
        <v>7.57</v>
      </c>
      <c r="BN2019" s="4">
        <v>58.02</v>
      </c>
      <c r="BO2019" s="4">
        <v>58.02</v>
      </c>
      <c r="BQ2019" t="s">
        <v>121</v>
      </c>
      <c r="BR2019" t="s">
        <v>84</v>
      </c>
      <c r="BS2019" s="3">
        <v>43788</v>
      </c>
      <c r="BT2019" s="5">
        <v>0.32430555555555557</v>
      </c>
      <c r="BU2019" t="s">
        <v>2332</v>
      </c>
      <c r="BV2019" t="s">
        <v>86</v>
      </c>
      <c r="BY2019">
        <v>4492.46</v>
      </c>
      <c r="CA2019" t="s">
        <v>180</v>
      </c>
      <c r="CC2019" t="s">
        <v>113</v>
      </c>
      <c r="CD2019">
        <v>4001</v>
      </c>
      <c r="CE2019" t="s">
        <v>88</v>
      </c>
      <c r="CF2019" s="3">
        <v>43789</v>
      </c>
      <c r="CI2019">
        <v>1</v>
      </c>
      <c r="CJ2019">
        <v>1</v>
      </c>
      <c r="CK2019">
        <v>21</v>
      </c>
      <c r="CL2019" t="s">
        <v>89</v>
      </c>
    </row>
    <row r="2020" spans="1:90">
      <c r="A2020" t="s">
        <v>72</v>
      </c>
      <c r="B2020" t="s">
        <v>73</v>
      </c>
      <c r="C2020" t="s">
        <v>74</v>
      </c>
      <c r="E2020" t="str">
        <f>"FES1162723525"</f>
        <v>FES1162723525</v>
      </c>
      <c r="F2020" s="3">
        <v>43787</v>
      </c>
      <c r="G2020">
        <v>202005</v>
      </c>
      <c r="H2020" t="s">
        <v>75</v>
      </c>
      <c r="I2020" t="s">
        <v>76</v>
      </c>
      <c r="J2020" t="s">
        <v>77</v>
      </c>
      <c r="K2020" t="s">
        <v>78</v>
      </c>
      <c r="L2020" t="s">
        <v>112</v>
      </c>
      <c r="M2020" t="s">
        <v>113</v>
      </c>
      <c r="N2020" t="s">
        <v>449</v>
      </c>
      <c r="O2020" t="s">
        <v>82</v>
      </c>
      <c r="P2020" t="str">
        <f>"2170717472                    "</f>
        <v xml:space="preserve">2170717472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8.58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1.3</v>
      </c>
      <c r="BJ2020">
        <v>0.9</v>
      </c>
      <c r="BK2020">
        <v>1.5</v>
      </c>
      <c r="BL2020" s="4">
        <v>50.45</v>
      </c>
      <c r="BM2020" s="4">
        <v>7.57</v>
      </c>
      <c r="BN2020" s="4">
        <v>58.02</v>
      </c>
      <c r="BO2020" s="4">
        <v>58.02</v>
      </c>
      <c r="BQ2020" t="s">
        <v>121</v>
      </c>
      <c r="BR2020" t="s">
        <v>84</v>
      </c>
      <c r="BS2020" s="3">
        <v>43788</v>
      </c>
      <c r="BT2020" s="5">
        <v>0.3</v>
      </c>
      <c r="BU2020" t="s">
        <v>2283</v>
      </c>
      <c r="BV2020" t="s">
        <v>86</v>
      </c>
      <c r="BY2020">
        <v>4573.9399999999996</v>
      </c>
      <c r="CA2020" t="s">
        <v>426</v>
      </c>
      <c r="CC2020" t="s">
        <v>113</v>
      </c>
      <c r="CD2020">
        <v>4019</v>
      </c>
      <c r="CE2020" t="s">
        <v>88</v>
      </c>
      <c r="CF2020" s="3">
        <v>43789</v>
      </c>
      <c r="CI2020">
        <v>1</v>
      </c>
      <c r="CJ2020">
        <v>1</v>
      </c>
      <c r="CK2020">
        <v>21</v>
      </c>
      <c r="CL2020" t="s">
        <v>89</v>
      </c>
    </row>
    <row r="2021" spans="1:90">
      <c r="A2021" t="s">
        <v>72</v>
      </c>
      <c r="B2021" t="s">
        <v>73</v>
      </c>
      <c r="C2021" t="s">
        <v>74</v>
      </c>
      <c r="E2021" t="str">
        <f>"FES1162723527"</f>
        <v>FES1162723527</v>
      </c>
      <c r="F2021" s="3">
        <v>43787</v>
      </c>
      <c r="G2021">
        <v>202005</v>
      </c>
      <c r="H2021" t="s">
        <v>75</v>
      </c>
      <c r="I2021" t="s">
        <v>76</v>
      </c>
      <c r="J2021" t="s">
        <v>77</v>
      </c>
      <c r="K2021" t="s">
        <v>78</v>
      </c>
      <c r="L2021" t="s">
        <v>75</v>
      </c>
      <c r="M2021" t="s">
        <v>76</v>
      </c>
      <c r="N2021" t="s">
        <v>1416</v>
      </c>
      <c r="O2021" t="s">
        <v>82</v>
      </c>
      <c r="P2021" t="str">
        <f>"2170717474                    "</f>
        <v xml:space="preserve">2170717474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6.71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 s="4">
        <v>39.42</v>
      </c>
      <c r="BM2021" s="4">
        <v>5.91</v>
      </c>
      <c r="BN2021" s="4">
        <v>45.33</v>
      </c>
      <c r="BO2021" s="4">
        <v>45.33</v>
      </c>
      <c r="BQ2021" t="s">
        <v>1417</v>
      </c>
      <c r="BR2021" t="s">
        <v>84</v>
      </c>
      <c r="BS2021" s="3">
        <v>43788</v>
      </c>
      <c r="BT2021" s="5">
        <v>0.33680555555555558</v>
      </c>
      <c r="BU2021" t="s">
        <v>2333</v>
      </c>
      <c r="BV2021" t="s">
        <v>86</v>
      </c>
      <c r="BY2021">
        <v>1200</v>
      </c>
      <c r="CA2021" t="s">
        <v>2334</v>
      </c>
      <c r="CC2021" t="s">
        <v>76</v>
      </c>
      <c r="CD2021">
        <v>1601</v>
      </c>
      <c r="CE2021" t="s">
        <v>147</v>
      </c>
      <c r="CF2021" s="3">
        <v>43789</v>
      </c>
      <c r="CI2021">
        <v>1</v>
      </c>
      <c r="CJ2021">
        <v>1</v>
      </c>
      <c r="CK2021">
        <v>22</v>
      </c>
      <c r="CL2021" t="s">
        <v>89</v>
      </c>
    </row>
    <row r="2022" spans="1:90">
      <c r="A2022" t="s">
        <v>72</v>
      </c>
      <c r="B2022" t="s">
        <v>73</v>
      </c>
      <c r="C2022" t="s">
        <v>74</v>
      </c>
      <c r="E2022" t="str">
        <f>"FES1162723513"</f>
        <v>FES1162723513</v>
      </c>
      <c r="F2022" s="3">
        <v>43787</v>
      </c>
      <c r="G2022">
        <v>202005</v>
      </c>
      <c r="H2022" t="s">
        <v>75</v>
      </c>
      <c r="I2022" t="s">
        <v>76</v>
      </c>
      <c r="J2022" t="s">
        <v>77</v>
      </c>
      <c r="K2022" t="s">
        <v>78</v>
      </c>
      <c r="L2022" t="s">
        <v>482</v>
      </c>
      <c r="M2022" t="s">
        <v>483</v>
      </c>
      <c r="N2022" t="s">
        <v>594</v>
      </c>
      <c r="O2022" t="s">
        <v>82</v>
      </c>
      <c r="P2022" t="str">
        <f>"2170717054                    "</f>
        <v xml:space="preserve">2170717054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6.71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 s="4">
        <v>39.42</v>
      </c>
      <c r="BM2022" s="4">
        <v>5.91</v>
      </c>
      <c r="BN2022" s="4">
        <v>45.33</v>
      </c>
      <c r="BO2022" s="4">
        <v>45.33</v>
      </c>
      <c r="BQ2022" t="s">
        <v>109</v>
      </c>
      <c r="BR2022" t="s">
        <v>84</v>
      </c>
      <c r="BS2022" s="3">
        <v>43788</v>
      </c>
      <c r="BT2022" s="5">
        <v>0.4375</v>
      </c>
      <c r="BU2022" t="s">
        <v>1526</v>
      </c>
      <c r="BV2022" t="s">
        <v>86</v>
      </c>
      <c r="BY2022">
        <v>1200</v>
      </c>
      <c r="CC2022" t="s">
        <v>483</v>
      </c>
      <c r="CD2022">
        <v>1459</v>
      </c>
      <c r="CE2022" t="s">
        <v>147</v>
      </c>
      <c r="CF2022" s="3">
        <v>43789</v>
      </c>
      <c r="CI2022">
        <v>1</v>
      </c>
      <c r="CJ2022">
        <v>1</v>
      </c>
      <c r="CK2022">
        <v>22</v>
      </c>
      <c r="CL2022" t="s">
        <v>89</v>
      </c>
    </row>
    <row r="2023" spans="1:90">
      <c r="A2023" t="s">
        <v>72</v>
      </c>
      <c r="B2023" t="s">
        <v>73</v>
      </c>
      <c r="C2023" t="s">
        <v>74</v>
      </c>
      <c r="E2023" t="str">
        <f>"FES1162723543"</f>
        <v>FES1162723543</v>
      </c>
      <c r="F2023" s="3">
        <v>43787</v>
      </c>
      <c r="G2023">
        <v>202005</v>
      </c>
      <c r="H2023" t="s">
        <v>75</v>
      </c>
      <c r="I2023" t="s">
        <v>76</v>
      </c>
      <c r="J2023" t="s">
        <v>77</v>
      </c>
      <c r="K2023" t="s">
        <v>78</v>
      </c>
      <c r="L2023" t="s">
        <v>825</v>
      </c>
      <c r="M2023" t="s">
        <v>826</v>
      </c>
      <c r="N2023" t="s">
        <v>939</v>
      </c>
      <c r="O2023" t="s">
        <v>82</v>
      </c>
      <c r="P2023" t="str">
        <f>"2170717495                    "</f>
        <v xml:space="preserve">2170717495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12.07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 s="4">
        <v>70.95</v>
      </c>
      <c r="BM2023" s="4">
        <v>10.64</v>
      </c>
      <c r="BN2023" s="4">
        <v>81.59</v>
      </c>
      <c r="BO2023" s="4">
        <v>81.59</v>
      </c>
      <c r="BQ2023" t="s">
        <v>109</v>
      </c>
      <c r="BR2023" t="s">
        <v>84</v>
      </c>
      <c r="BS2023" s="3">
        <v>43788</v>
      </c>
      <c r="BT2023" s="5">
        <v>0.35069444444444442</v>
      </c>
      <c r="BU2023" t="s">
        <v>2335</v>
      </c>
      <c r="BV2023" t="s">
        <v>86</v>
      </c>
      <c r="BY2023">
        <v>1200</v>
      </c>
      <c r="CC2023" t="s">
        <v>826</v>
      </c>
      <c r="CD2023">
        <v>1759</v>
      </c>
      <c r="CE2023" t="s">
        <v>147</v>
      </c>
      <c r="CI2023">
        <v>1</v>
      </c>
      <c r="CJ2023">
        <v>1</v>
      </c>
      <c r="CK2023">
        <v>24</v>
      </c>
      <c r="CL2023" t="s">
        <v>89</v>
      </c>
    </row>
    <row r="2024" spans="1:90">
      <c r="A2024" t="s">
        <v>72</v>
      </c>
      <c r="B2024" t="s">
        <v>73</v>
      </c>
      <c r="C2024" t="s">
        <v>74</v>
      </c>
      <c r="E2024" t="str">
        <f>"FES1162723503"</f>
        <v>FES1162723503</v>
      </c>
      <c r="F2024" s="3">
        <v>43787</v>
      </c>
      <c r="G2024">
        <v>202005</v>
      </c>
      <c r="H2024" t="s">
        <v>75</v>
      </c>
      <c r="I2024" t="s">
        <v>76</v>
      </c>
      <c r="J2024" t="s">
        <v>77</v>
      </c>
      <c r="K2024" t="s">
        <v>78</v>
      </c>
      <c r="L2024" t="s">
        <v>202</v>
      </c>
      <c r="M2024" t="s">
        <v>203</v>
      </c>
      <c r="N2024" t="s">
        <v>2336</v>
      </c>
      <c r="O2024" t="s">
        <v>82</v>
      </c>
      <c r="P2024" t="str">
        <f>"2170717451                    "</f>
        <v xml:space="preserve">2170717451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6.71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 s="4">
        <v>39.42</v>
      </c>
      <c r="BM2024" s="4">
        <v>5.91</v>
      </c>
      <c r="BN2024" s="4">
        <v>45.33</v>
      </c>
      <c r="BO2024" s="4">
        <v>45.33</v>
      </c>
      <c r="BR2024" t="s">
        <v>84</v>
      </c>
      <c r="BS2024" s="3">
        <v>43788</v>
      </c>
      <c r="BT2024" s="5">
        <v>0.43472222222222223</v>
      </c>
      <c r="BU2024" t="s">
        <v>2337</v>
      </c>
      <c r="BV2024" t="s">
        <v>86</v>
      </c>
      <c r="BY2024">
        <v>1200</v>
      </c>
      <c r="CC2024" t="s">
        <v>203</v>
      </c>
      <c r="CD2024">
        <v>1428</v>
      </c>
      <c r="CE2024" t="s">
        <v>147</v>
      </c>
      <c r="CF2024" s="3">
        <v>43789</v>
      </c>
      <c r="CI2024">
        <v>1</v>
      </c>
      <c r="CJ2024">
        <v>1</v>
      </c>
      <c r="CK2024">
        <v>22</v>
      </c>
      <c r="CL2024" t="s">
        <v>89</v>
      </c>
    </row>
    <row r="2025" spans="1:90">
      <c r="A2025" t="s">
        <v>72</v>
      </c>
      <c r="B2025" t="s">
        <v>73</v>
      </c>
      <c r="C2025" t="s">
        <v>74</v>
      </c>
      <c r="E2025" t="str">
        <f>"FES1162723541"</f>
        <v>FES1162723541</v>
      </c>
      <c r="F2025" s="3">
        <v>43787</v>
      </c>
      <c r="G2025">
        <v>202005</v>
      </c>
      <c r="H2025" t="s">
        <v>75</v>
      </c>
      <c r="I2025" t="s">
        <v>76</v>
      </c>
      <c r="J2025" t="s">
        <v>77</v>
      </c>
      <c r="K2025" t="s">
        <v>78</v>
      </c>
      <c r="L2025" t="s">
        <v>118</v>
      </c>
      <c r="M2025" t="s">
        <v>119</v>
      </c>
      <c r="N2025" t="s">
        <v>248</v>
      </c>
      <c r="O2025" t="s">
        <v>82</v>
      </c>
      <c r="P2025" t="str">
        <f>"2170717493                    "</f>
        <v xml:space="preserve">2170717493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12.87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2.9</v>
      </c>
      <c r="BJ2025">
        <v>1.4</v>
      </c>
      <c r="BK2025">
        <v>3</v>
      </c>
      <c r="BL2025" s="4">
        <v>75.66</v>
      </c>
      <c r="BM2025" s="4">
        <v>11.35</v>
      </c>
      <c r="BN2025" s="4">
        <v>87.01</v>
      </c>
      <c r="BO2025" s="4">
        <v>87.01</v>
      </c>
      <c r="BQ2025" t="s">
        <v>121</v>
      </c>
      <c r="BR2025" t="s">
        <v>84</v>
      </c>
      <c r="BS2025" s="3">
        <v>43788</v>
      </c>
      <c r="BT2025" s="5">
        <v>0.36458333333333331</v>
      </c>
      <c r="BU2025" t="s">
        <v>2338</v>
      </c>
      <c r="BV2025" t="s">
        <v>86</v>
      </c>
      <c r="BY2025">
        <v>6831.09</v>
      </c>
      <c r="CA2025" t="s">
        <v>435</v>
      </c>
      <c r="CC2025" t="s">
        <v>119</v>
      </c>
      <c r="CD2025">
        <v>3212</v>
      </c>
      <c r="CE2025" t="s">
        <v>88</v>
      </c>
      <c r="CF2025" s="3">
        <v>43789</v>
      </c>
      <c r="CI2025">
        <v>1</v>
      </c>
      <c r="CJ2025">
        <v>1</v>
      </c>
      <c r="CK2025">
        <v>21</v>
      </c>
      <c r="CL2025" t="s">
        <v>89</v>
      </c>
    </row>
    <row r="2026" spans="1:90">
      <c r="A2026" t="s">
        <v>72</v>
      </c>
      <c r="B2026" t="s">
        <v>73</v>
      </c>
      <c r="C2026" t="s">
        <v>74</v>
      </c>
      <c r="E2026" t="str">
        <f>"FES1162723536"</f>
        <v>FES1162723536</v>
      </c>
      <c r="F2026" s="3">
        <v>43787</v>
      </c>
      <c r="G2026">
        <v>202005</v>
      </c>
      <c r="H2026" t="s">
        <v>75</v>
      </c>
      <c r="I2026" t="s">
        <v>76</v>
      </c>
      <c r="J2026" t="s">
        <v>77</v>
      </c>
      <c r="K2026" t="s">
        <v>78</v>
      </c>
      <c r="L2026" t="s">
        <v>1680</v>
      </c>
      <c r="M2026" t="s">
        <v>1681</v>
      </c>
      <c r="N2026" t="s">
        <v>2339</v>
      </c>
      <c r="O2026" t="s">
        <v>82</v>
      </c>
      <c r="P2026" t="str">
        <f>"2170717454                    "</f>
        <v xml:space="preserve">2170717454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20.39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2.4</v>
      </c>
      <c r="BK2026">
        <v>2.5</v>
      </c>
      <c r="BL2026" s="4">
        <v>119.83</v>
      </c>
      <c r="BM2026" s="4">
        <v>17.97</v>
      </c>
      <c r="BN2026" s="4">
        <v>137.80000000000001</v>
      </c>
      <c r="BO2026" s="4">
        <v>137.80000000000001</v>
      </c>
      <c r="BQ2026" t="s">
        <v>109</v>
      </c>
      <c r="BR2026" t="s">
        <v>84</v>
      </c>
      <c r="BS2026" s="3">
        <v>43788</v>
      </c>
      <c r="BT2026" s="5">
        <v>0.47222222222222227</v>
      </c>
      <c r="BU2026" t="s">
        <v>1682</v>
      </c>
      <c r="BV2026" t="s">
        <v>86</v>
      </c>
      <c r="BY2026">
        <v>12159.84</v>
      </c>
      <c r="CA2026" t="s">
        <v>1683</v>
      </c>
      <c r="CC2026" t="s">
        <v>1681</v>
      </c>
      <c r="CD2026">
        <v>4450</v>
      </c>
      <c r="CE2026" t="s">
        <v>88</v>
      </c>
      <c r="CF2026" s="3">
        <v>43789</v>
      </c>
      <c r="CI2026">
        <v>1</v>
      </c>
      <c r="CJ2026">
        <v>1</v>
      </c>
      <c r="CK2026">
        <v>23</v>
      </c>
      <c r="CL2026" t="s">
        <v>89</v>
      </c>
    </row>
    <row r="2027" spans="1:90">
      <c r="A2027" t="s">
        <v>72</v>
      </c>
      <c r="B2027" t="s">
        <v>73</v>
      </c>
      <c r="C2027" t="s">
        <v>74</v>
      </c>
      <c r="E2027" t="str">
        <f>"FES1162723579"</f>
        <v>FES1162723579</v>
      </c>
      <c r="F2027" s="3">
        <v>43787</v>
      </c>
      <c r="G2027">
        <v>202005</v>
      </c>
      <c r="H2027" t="s">
        <v>75</v>
      </c>
      <c r="I2027" t="s">
        <v>76</v>
      </c>
      <c r="J2027" t="s">
        <v>77</v>
      </c>
      <c r="K2027" t="s">
        <v>78</v>
      </c>
      <c r="L2027" t="s">
        <v>482</v>
      </c>
      <c r="M2027" t="s">
        <v>483</v>
      </c>
      <c r="N2027" t="s">
        <v>544</v>
      </c>
      <c r="O2027" t="s">
        <v>82</v>
      </c>
      <c r="P2027" t="str">
        <f>"217071536                     "</f>
        <v xml:space="preserve">217071536 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6.71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 s="4">
        <v>39.42</v>
      </c>
      <c r="BM2027" s="4">
        <v>5.91</v>
      </c>
      <c r="BN2027" s="4">
        <v>45.33</v>
      </c>
      <c r="BO2027" s="4">
        <v>45.33</v>
      </c>
      <c r="BQ2027" t="s">
        <v>545</v>
      </c>
      <c r="BR2027" t="s">
        <v>84</v>
      </c>
      <c r="BS2027" s="3">
        <v>43788</v>
      </c>
      <c r="BT2027" s="5">
        <v>0.41666666666666669</v>
      </c>
      <c r="BU2027" t="s">
        <v>1068</v>
      </c>
      <c r="BV2027" t="s">
        <v>86</v>
      </c>
      <c r="BY2027">
        <v>1200</v>
      </c>
      <c r="CA2027" t="s">
        <v>123</v>
      </c>
      <c r="CC2027" t="s">
        <v>483</v>
      </c>
      <c r="CD2027">
        <v>1459</v>
      </c>
      <c r="CE2027" t="s">
        <v>147</v>
      </c>
      <c r="CF2027" s="3">
        <v>43789</v>
      </c>
      <c r="CI2027">
        <v>1</v>
      </c>
      <c r="CJ2027">
        <v>1</v>
      </c>
      <c r="CK2027">
        <v>22</v>
      </c>
      <c r="CL2027" t="s">
        <v>89</v>
      </c>
    </row>
    <row r="2028" spans="1:90">
      <c r="A2028" t="s">
        <v>72</v>
      </c>
      <c r="B2028" t="s">
        <v>73</v>
      </c>
      <c r="C2028" t="s">
        <v>74</v>
      </c>
      <c r="E2028" t="str">
        <f>"FES1162723526"</f>
        <v>FES1162723526</v>
      </c>
      <c r="F2028" s="3">
        <v>43787</v>
      </c>
      <c r="G2028">
        <v>202005</v>
      </c>
      <c r="H2028" t="s">
        <v>75</v>
      </c>
      <c r="I2028" t="s">
        <v>76</v>
      </c>
      <c r="J2028" t="s">
        <v>77</v>
      </c>
      <c r="K2028" t="s">
        <v>78</v>
      </c>
      <c r="L2028" t="s">
        <v>75</v>
      </c>
      <c r="M2028" t="s">
        <v>76</v>
      </c>
      <c r="N2028" t="s">
        <v>199</v>
      </c>
      <c r="O2028" t="s">
        <v>82</v>
      </c>
      <c r="P2028" t="str">
        <f>"2170717473                    "</f>
        <v xml:space="preserve">2170717473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6.71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 s="4">
        <v>39.42</v>
      </c>
      <c r="BM2028" s="4">
        <v>5.91</v>
      </c>
      <c r="BN2028" s="4">
        <v>45.33</v>
      </c>
      <c r="BO2028" s="4">
        <v>45.33</v>
      </c>
      <c r="BQ2028" t="s">
        <v>200</v>
      </c>
      <c r="BR2028" t="s">
        <v>84</v>
      </c>
      <c r="BS2028" s="3">
        <v>43788</v>
      </c>
      <c r="BT2028" s="5">
        <v>0.32430555555555557</v>
      </c>
      <c r="BU2028" t="s">
        <v>1072</v>
      </c>
      <c r="BV2028" t="s">
        <v>86</v>
      </c>
      <c r="BY2028">
        <v>1200</v>
      </c>
      <c r="CA2028" t="s">
        <v>368</v>
      </c>
      <c r="CC2028" t="s">
        <v>76</v>
      </c>
      <c r="CD2028">
        <v>1600</v>
      </c>
      <c r="CE2028" t="s">
        <v>147</v>
      </c>
      <c r="CF2028" s="3">
        <v>43790</v>
      </c>
      <c r="CI2028">
        <v>1</v>
      </c>
      <c r="CJ2028">
        <v>1</v>
      </c>
      <c r="CK2028">
        <v>22</v>
      </c>
      <c r="CL2028" t="s">
        <v>89</v>
      </c>
    </row>
    <row r="2029" spans="1:90">
      <c r="A2029" t="s">
        <v>72</v>
      </c>
      <c r="B2029" t="s">
        <v>73</v>
      </c>
      <c r="C2029" t="s">
        <v>74</v>
      </c>
      <c r="E2029" t="str">
        <f>"FES1162723549"</f>
        <v>FES1162723549</v>
      </c>
      <c r="F2029" s="3">
        <v>43787</v>
      </c>
      <c r="G2029">
        <v>202005</v>
      </c>
      <c r="H2029" t="s">
        <v>75</v>
      </c>
      <c r="I2029" t="s">
        <v>76</v>
      </c>
      <c r="J2029" t="s">
        <v>77</v>
      </c>
      <c r="K2029" t="s">
        <v>78</v>
      </c>
      <c r="L2029" t="s">
        <v>202</v>
      </c>
      <c r="M2029" t="s">
        <v>203</v>
      </c>
      <c r="N2029" t="s">
        <v>2340</v>
      </c>
      <c r="O2029" t="s">
        <v>82</v>
      </c>
      <c r="P2029" t="str">
        <f>"2170717506                    "</f>
        <v xml:space="preserve">2170717506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6.71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 s="4">
        <v>39.42</v>
      </c>
      <c r="BM2029" s="4">
        <v>5.91</v>
      </c>
      <c r="BN2029" s="4">
        <v>45.33</v>
      </c>
      <c r="BO2029" s="4">
        <v>45.33</v>
      </c>
      <c r="BQ2029" t="s">
        <v>187</v>
      </c>
      <c r="BR2029" t="s">
        <v>84</v>
      </c>
      <c r="BS2029" s="3">
        <v>43788</v>
      </c>
      <c r="BT2029" s="5">
        <v>0.33680555555555558</v>
      </c>
      <c r="BU2029" t="s">
        <v>231</v>
      </c>
      <c r="BV2029" t="s">
        <v>86</v>
      </c>
      <c r="BY2029">
        <v>1200</v>
      </c>
      <c r="CC2029" t="s">
        <v>203</v>
      </c>
      <c r="CD2029">
        <v>1406</v>
      </c>
      <c r="CE2029" t="s">
        <v>147</v>
      </c>
      <c r="CF2029" s="3">
        <v>43789</v>
      </c>
      <c r="CI2029">
        <v>1</v>
      </c>
      <c r="CJ2029">
        <v>1</v>
      </c>
      <c r="CK2029">
        <v>22</v>
      </c>
      <c r="CL2029" t="s">
        <v>89</v>
      </c>
    </row>
    <row r="2030" spans="1:90">
      <c r="A2030" t="s">
        <v>72</v>
      </c>
      <c r="B2030" t="s">
        <v>73</v>
      </c>
      <c r="C2030" t="s">
        <v>74</v>
      </c>
      <c r="E2030" t="str">
        <f>"FES1162723532"</f>
        <v>FES1162723532</v>
      </c>
      <c r="F2030" s="3">
        <v>43787</v>
      </c>
      <c r="G2030">
        <v>202005</v>
      </c>
      <c r="H2030" t="s">
        <v>75</v>
      </c>
      <c r="I2030" t="s">
        <v>76</v>
      </c>
      <c r="J2030" t="s">
        <v>77</v>
      </c>
      <c r="K2030" t="s">
        <v>78</v>
      </c>
      <c r="L2030" t="s">
        <v>75</v>
      </c>
      <c r="M2030" t="s">
        <v>76</v>
      </c>
      <c r="N2030" t="s">
        <v>2341</v>
      </c>
      <c r="O2030" t="s">
        <v>82</v>
      </c>
      <c r="P2030" t="str">
        <f>"2170717457                    "</f>
        <v xml:space="preserve">2170717457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6.71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 s="4">
        <v>39.42</v>
      </c>
      <c r="BM2030" s="4">
        <v>5.91</v>
      </c>
      <c r="BN2030" s="4">
        <v>45.33</v>
      </c>
      <c r="BO2030" s="4">
        <v>45.33</v>
      </c>
      <c r="BR2030" t="s">
        <v>84</v>
      </c>
      <c r="BS2030" s="3">
        <v>43791</v>
      </c>
      <c r="BT2030" s="5">
        <v>0.4375</v>
      </c>
      <c r="BU2030" t="s">
        <v>2342</v>
      </c>
      <c r="BV2030" t="s">
        <v>89</v>
      </c>
      <c r="BW2030" t="s">
        <v>319</v>
      </c>
      <c r="BX2030" t="s">
        <v>761</v>
      </c>
      <c r="BY2030">
        <v>1200</v>
      </c>
      <c r="CC2030" t="s">
        <v>76</v>
      </c>
      <c r="CD2030">
        <v>1682</v>
      </c>
      <c r="CE2030" t="s">
        <v>147</v>
      </c>
      <c r="CF2030" s="3">
        <v>43794</v>
      </c>
      <c r="CI2030">
        <v>1</v>
      </c>
      <c r="CJ2030">
        <v>4</v>
      </c>
      <c r="CK2030">
        <v>22</v>
      </c>
      <c r="CL2030" t="s">
        <v>89</v>
      </c>
    </row>
    <row r="2031" spans="1:90">
      <c r="A2031" t="s">
        <v>72</v>
      </c>
      <c r="B2031" t="s">
        <v>73</v>
      </c>
      <c r="C2031" t="s">
        <v>74</v>
      </c>
      <c r="E2031" t="str">
        <f>"FES1162723516"</f>
        <v>FES1162723516</v>
      </c>
      <c r="F2031" s="3">
        <v>43787</v>
      </c>
      <c r="G2031">
        <v>202005</v>
      </c>
      <c r="H2031" t="s">
        <v>75</v>
      </c>
      <c r="I2031" t="s">
        <v>76</v>
      </c>
      <c r="J2031" t="s">
        <v>77</v>
      </c>
      <c r="K2031" t="s">
        <v>78</v>
      </c>
      <c r="L2031" t="s">
        <v>124</v>
      </c>
      <c r="M2031" t="s">
        <v>125</v>
      </c>
      <c r="N2031" t="s">
        <v>218</v>
      </c>
      <c r="O2031" t="s">
        <v>82</v>
      </c>
      <c r="P2031" t="str">
        <f>"217071453                     "</f>
        <v xml:space="preserve">217071453 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6.71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 s="4">
        <v>39.42</v>
      </c>
      <c r="BM2031" s="4">
        <v>5.91</v>
      </c>
      <c r="BN2031" s="4">
        <v>45.33</v>
      </c>
      <c r="BO2031" s="4">
        <v>45.33</v>
      </c>
      <c r="BQ2031" t="s">
        <v>121</v>
      </c>
      <c r="BR2031" t="s">
        <v>84</v>
      </c>
      <c r="BS2031" s="3">
        <v>43788</v>
      </c>
      <c r="BT2031" s="5">
        <v>0.38194444444444442</v>
      </c>
      <c r="BU2031" t="s">
        <v>2343</v>
      </c>
      <c r="BV2031" t="s">
        <v>86</v>
      </c>
      <c r="BY2031">
        <v>1200</v>
      </c>
      <c r="CC2031" t="s">
        <v>125</v>
      </c>
      <c r="CD2031">
        <v>2094</v>
      </c>
      <c r="CE2031" t="s">
        <v>147</v>
      </c>
      <c r="CF2031" s="3">
        <v>43789</v>
      </c>
      <c r="CI2031">
        <v>1</v>
      </c>
      <c r="CJ2031">
        <v>1</v>
      </c>
      <c r="CK2031">
        <v>22</v>
      </c>
      <c r="CL2031" t="s">
        <v>89</v>
      </c>
    </row>
    <row r="2032" spans="1:90">
      <c r="A2032" t="s">
        <v>72</v>
      </c>
      <c r="B2032" t="s">
        <v>73</v>
      </c>
      <c r="C2032" t="s">
        <v>74</v>
      </c>
      <c r="E2032" t="str">
        <f>"FES1162723558"</f>
        <v>FES1162723558</v>
      </c>
      <c r="F2032" s="3">
        <v>43787</v>
      </c>
      <c r="G2032">
        <v>202005</v>
      </c>
      <c r="H2032" t="s">
        <v>75</v>
      </c>
      <c r="I2032" t="s">
        <v>76</v>
      </c>
      <c r="J2032" t="s">
        <v>77</v>
      </c>
      <c r="K2032" t="s">
        <v>78</v>
      </c>
      <c r="L2032" t="s">
        <v>95</v>
      </c>
      <c r="M2032" t="s">
        <v>96</v>
      </c>
      <c r="N2032" t="s">
        <v>330</v>
      </c>
      <c r="O2032" t="s">
        <v>82</v>
      </c>
      <c r="P2032" t="str">
        <f>"2170717513                    "</f>
        <v xml:space="preserve">2170717513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6.71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 s="4">
        <v>39.42</v>
      </c>
      <c r="BM2032" s="4">
        <v>5.91</v>
      </c>
      <c r="BN2032" s="4">
        <v>45.33</v>
      </c>
      <c r="BO2032" s="4">
        <v>45.33</v>
      </c>
      <c r="BQ2032" t="s">
        <v>109</v>
      </c>
      <c r="BR2032" t="s">
        <v>84</v>
      </c>
      <c r="BS2032" s="3">
        <v>43791</v>
      </c>
      <c r="BT2032" s="5">
        <v>0.41666666666666669</v>
      </c>
      <c r="BU2032" t="s">
        <v>2344</v>
      </c>
      <c r="BV2032" t="s">
        <v>89</v>
      </c>
      <c r="BW2032" t="s">
        <v>319</v>
      </c>
      <c r="BX2032" t="s">
        <v>2345</v>
      </c>
      <c r="BY2032">
        <v>1200</v>
      </c>
      <c r="CA2032" t="s">
        <v>2165</v>
      </c>
      <c r="CC2032" t="s">
        <v>96</v>
      </c>
      <c r="CD2032">
        <v>1451</v>
      </c>
      <c r="CE2032" t="s">
        <v>147</v>
      </c>
      <c r="CF2032" s="3">
        <v>43794</v>
      </c>
      <c r="CI2032">
        <v>1</v>
      </c>
      <c r="CJ2032">
        <v>4</v>
      </c>
      <c r="CK2032">
        <v>22</v>
      </c>
      <c r="CL2032" t="s">
        <v>89</v>
      </c>
    </row>
    <row r="2033" spans="1:90">
      <c r="A2033" t="s">
        <v>72</v>
      </c>
      <c r="B2033" t="s">
        <v>73</v>
      </c>
      <c r="C2033" t="s">
        <v>74</v>
      </c>
      <c r="E2033" t="str">
        <f>"FES1162723515"</f>
        <v>FES1162723515</v>
      </c>
      <c r="F2033" s="3">
        <v>43787</v>
      </c>
      <c r="G2033">
        <v>202005</v>
      </c>
      <c r="H2033" t="s">
        <v>75</v>
      </c>
      <c r="I2033" t="s">
        <v>76</v>
      </c>
      <c r="J2033" t="s">
        <v>77</v>
      </c>
      <c r="K2033" t="s">
        <v>78</v>
      </c>
      <c r="L2033" t="s">
        <v>118</v>
      </c>
      <c r="M2033" t="s">
        <v>119</v>
      </c>
      <c r="N2033" t="s">
        <v>1123</v>
      </c>
      <c r="O2033" t="s">
        <v>82</v>
      </c>
      <c r="P2033" t="str">
        <f>"2170717422                    "</f>
        <v xml:space="preserve">2170717422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15.02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2.1</v>
      </c>
      <c r="BJ2033">
        <v>3.3</v>
      </c>
      <c r="BK2033">
        <v>3.5</v>
      </c>
      <c r="BL2033" s="4">
        <v>88.27</v>
      </c>
      <c r="BM2033" s="4">
        <v>13.24</v>
      </c>
      <c r="BN2033" s="4">
        <v>101.51</v>
      </c>
      <c r="BO2033" s="4">
        <v>101.51</v>
      </c>
      <c r="BQ2033" t="s">
        <v>121</v>
      </c>
      <c r="BR2033" t="s">
        <v>84</v>
      </c>
      <c r="BS2033" s="3">
        <v>43788</v>
      </c>
      <c r="BT2033" s="5">
        <v>0.39652777777777781</v>
      </c>
      <c r="BU2033" t="s">
        <v>2129</v>
      </c>
      <c r="BV2033" t="s">
        <v>86</v>
      </c>
      <c r="BY2033">
        <v>16254.52</v>
      </c>
      <c r="CA2033" t="s">
        <v>171</v>
      </c>
      <c r="CC2033" t="s">
        <v>119</v>
      </c>
      <c r="CD2033">
        <v>3201</v>
      </c>
      <c r="CE2033" t="s">
        <v>88</v>
      </c>
      <c r="CF2033" s="3">
        <v>43789</v>
      </c>
      <c r="CI2033">
        <v>1</v>
      </c>
      <c r="CJ2033">
        <v>1</v>
      </c>
      <c r="CK2033">
        <v>21</v>
      </c>
      <c r="CL2033" t="s">
        <v>89</v>
      </c>
    </row>
    <row r="2034" spans="1:90">
      <c r="A2034" t="s">
        <v>72</v>
      </c>
      <c r="B2034" t="s">
        <v>73</v>
      </c>
      <c r="C2034" t="s">
        <v>74</v>
      </c>
      <c r="E2034" t="str">
        <f>"FES1162723586"</f>
        <v>FES1162723586</v>
      </c>
      <c r="F2034" s="3">
        <v>43787</v>
      </c>
      <c r="G2034">
        <v>202005</v>
      </c>
      <c r="H2034" t="s">
        <v>75</v>
      </c>
      <c r="I2034" t="s">
        <v>76</v>
      </c>
      <c r="J2034" t="s">
        <v>77</v>
      </c>
      <c r="K2034" t="s">
        <v>78</v>
      </c>
      <c r="L2034" t="s">
        <v>522</v>
      </c>
      <c r="M2034" t="s">
        <v>523</v>
      </c>
      <c r="N2034" t="s">
        <v>1535</v>
      </c>
      <c r="O2034" t="s">
        <v>82</v>
      </c>
      <c r="P2034" t="str">
        <f>"217071540                     "</f>
        <v xml:space="preserve">217071540 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16.63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 s="4">
        <v>97.75</v>
      </c>
      <c r="BM2034" s="4">
        <v>14.66</v>
      </c>
      <c r="BN2034" s="4">
        <v>112.41</v>
      </c>
      <c r="BO2034" s="4">
        <v>112.41</v>
      </c>
      <c r="BQ2034" t="s">
        <v>1536</v>
      </c>
      <c r="BR2034" t="s">
        <v>84</v>
      </c>
      <c r="BS2034" s="3">
        <v>43788</v>
      </c>
      <c r="BT2034" s="5">
        <v>0.35069444444444442</v>
      </c>
      <c r="BU2034" t="s">
        <v>1545</v>
      </c>
      <c r="BV2034" t="s">
        <v>86</v>
      </c>
      <c r="BY2034">
        <v>1200</v>
      </c>
      <c r="CA2034" t="s">
        <v>526</v>
      </c>
      <c r="CC2034" t="s">
        <v>523</v>
      </c>
      <c r="CD2034">
        <v>1911</v>
      </c>
      <c r="CE2034" t="s">
        <v>147</v>
      </c>
      <c r="CF2034" s="3">
        <v>43789</v>
      </c>
      <c r="CI2034">
        <v>1</v>
      </c>
      <c r="CJ2034">
        <v>1</v>
      </c>
      <c r="CK2034">
        <v>23</v>
      </c>
      <c r="CL2034" t="s">
        <v>89</v>
      </c>
    </row>
    <row r="2035" spans="1:90">
      <c r="A2035" t="s">
        <v>72</v>
      </c>
      <c r="B2035" t="s">
        <v>73</v>
      </c>
      <c r="C2035" t="s">
        <v>74</v>
      </c>
      <c r="E2035" t="str">
        <f>"FES1162723454"</f>
        <v>FES1162723454</v>
      </c>
      <c r="F2035" s="3">
        <v>43787</v>
      </c>
      <c r="G2035">
        <v>202005</v>
      </c>
      <c r="H2035" t="s">
        <v>75</v>
      </c>
      <c r="I2035" t="s">
        <v>76</v>
      </c>
      <c r="J2035" t="s">
        <v>77</v>
      </c>
      <c r="K2035" t="s">
        <v>78</v>
      </c>
      <c r="L2035" t="s">
        <v>106</v>
      </c>
      <c r="M2035" t="s">
        <v>107</v>
      </c>
      <c r="N2035" t="s">
        <v>128</v>
      </c>
      <c r="O2035" t="s">
        <v>82</v>
      </c>
      <c r="P2035" t="str">
        <f>"2170717193                    "</f>
        <v xml:space="preserve">2170717193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21.45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4.7</v>
      </c>
      <c r="BJ2035">
        <v>2.6</v>
      </c>
      <c r="BK2035">
        <v>5</v>
      </c>
      <c r="BL2035" s="4">
        <v>126.08</v>
      </c>
      <c r="BM2035" s="4">
        <v>18.91</v>
      </c>
      <c r="BN2035" s="4">
        <v>144.99</v>
      </c>
      <c r="BO2035" s="4">
        <v>144.99</v>
      </c>
      <c r="BQ2035" t="s">
        <v>121</v>
      </c>
      <c r="BR2035" t="s">
        <v>84</v>
      </c>
      <c r="BS2035" s="3">
        <v>43788</v>
      </c>
      <c r="BT2035" s="5">
        <v>0.34027777777777773</v>
      </c>
      <c r="BU2035" t="s">
        <v>714</v>
      </c>
      <c r="BV2035" t="s">
        <v>86</v>
      </c>
      <c r="BY2035">
        <v>12873.07</v>
      </c>
      <c r="CA2035" t="s">
        <v>87</v>
      </c>
      <c r="CC2035" t="s">
        <v>107</v>
      </c>
      <c r="CD2035">
        <v>6001</v>
      </c>
      <c r="CE2035" t="s">
        <v>88</v>
      </c>
      <c r="CF2035" s="3">
        <v>43789</v>
      </c>
      <c r="CI2035">
        <v>1</v>
      </c>
      <c r="CJ2035">
        <v>1</v>
      </c>
      <c r="CK2035">
        <v>21</v>
      </c>
      <c r="CL2035" t="s">
        <v>89</v>
      </c>
    </row>
    <row r="2036" spans="1:90">
      <c r="A2036" t="s">
        <v>72</v>
      </c>
      <c r="B2036" t="s">
        <v>73</v>
      </c>
      <c r="C2036" t="s">
        <v>74</v>
      </c>
      <c r="E2036" t="str">
        <f>"FES1162723582"</f>
        <v>FES1162723582</v>
      </c>
      <c r="F2036" s="3">
        <v>43787</v>
      </c>
      <c r="G2036">
        <v>202005</v>
      </c>
      <c r="H2036" t="s">
        <v>75</v>
      </c>
      <c r="I2036" t="s">
        <v>76</v>
      </c>
      <c r="J2036" t="s">
        <v>77</v>
      </c>
      <c r="K2036" t="s">
        <v>78</v>
      </c>
      <c r="L2036" t="s">
        <v>106</v>
      </c>
      <c r="M2036" t="s">
        <v>107</v>
      </c>
      <c r="N2036" t="s">
        <v>1401</v>
      </c>
      <c r="O2036" t="s">
        <v>82</v>
      </c>
      <c r="P2036" t="str">
        <f>"2170715977                    "</f>
        <v xml:space="preserve">2170715977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38.6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3.9</v>
      </c>
      <c r="BJ2036">
        <v>8.9</v>
      </c>
      <c r="BK2036">
        <v>9</v>
      </c>
      <c r="BL2036" s="4">
        <v>226.91</v>
      </c>
      <c r="BM2036" s="4">
        <v>34.04</v>
      </c>
      <c r="BN2036" s="4">
        <v>260.95</v>
      </c>
      <c r="BO2036" s="4">
        <v>260.95</v>
      </c>
      <c r="BQ2036" t="s">
        <v>109</v>
      </c>
      <c r="BR2036" t="s">
        <v>84</v>
      </c>
      <c r="BS2036" s="3">
        <v>43788</v>
      </c>
      <c r="BT2036" s="5">
        <v>0.42638888888888887</v>
      </c>
      <c r="BU2036" t="s">
        <v>1402</v>
      </c>
      <c r="BV2036" t="s">
        <v>86</v>
      </c>
      <c r="BY2036">
        <v>44540.79</v>
      </c>
      <c r="CA2036" t="s">
        <v>87</v>
      </c>
      <c r="CC2036" t="s">
        <v>107</v>
      </c>
      <c r="CD2036">
        <v>6001</v>
      </c>
      <c r="CE2036" t="s">
        <v>88</v>
      </c>
      <c r="CF2036" s="3">
        <v>43789</v>
      </c>
      <c r="CI2036">
        <v>1</v>
      </c>
      <c r="CJ2036">
        <v>1</v>
      </c>
      <c r="CK2036">
        <v>21</v>
      </c>
      <c r="CL2036" t="s">
        <v>89</v>
      </c>
    </row>
    <row r="2037" spans="1:90">
      <c r="A2037" t="s">
        <v>72</v>
      </c>
      <c r="B2037" t="s">
        <v>73</v>
      </c>
      <c r="C2037" t="s">
        <v>74</v>
      </c>
      <c r="E2037" t="str">
        <f>"FES1162723574"</f>
        <v>FES1162723574</v>
      </c>
      <c r="F2037" s="3">
        <v>43787</v>
      </c>
      <c r="G2037">
        <v>202005</v>
      </c>
      <c r="H2037" t="s">
        <v>75</v>
      </c>
      <c r="I2037" t="s">
        <v>76</v>
      </c>
      <c r="J2037" t="s">
        <v>77</v>
      </c>
      <c r="K2037" t="s">
        <v>78</v>
      </c>
      <c r="L2037" t="s">
        <v>681</v>
      </c>
      <c r="M2037" t="s">
        <v>682</v>
      </c>
      <c r="N2037" t="s">
        <v>1282</v>
      </c>
      <c r="O2037" t="s">
        <v>82</v>
      </c>
      <c r="P2037" t="str">
        <f>"2170717528                    "</f>
        <v xml:space="preserve">2170717528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12.07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 s="4">
        <v>70.95</v>
      </c>
      <c r="BM2037" s="4">
        <v>10.64</v>
      </c>
      <c r="BN2037" s="4">
        <v>81.59</v>
      </c>
      <c r="BO2037" s="4">
        <v>81.59</v>
      </c>
      <c r="BR2037" t="s">
        <v>84</v>
      </c>
      <c r="BS2037" s="3">
        <v>43788</v>
      </c>
      <c r="BT2037" s="5">
        <v>0.35347222222222219</v>
      </c>
      <c r="BU2037" t="s">
        <v>2346</v>
      </c>
      <c r="BV2037" t="s">
        <v>86</v>
      </c>
      <c r="BY2037">
        <v>1200</v>
      </c>
      <c r="CA2037" t="s">
        <v>1224</v>
      </c>
      <c r="CC2037" t="s">
        <v>682</v>
      </c>
      <c r="CD2037">
        <v>1939</v>
      </c>
      <c r="CE2037" t="s">
        <v>147</v>
      </c>
      <c r="CF2037" s="3">
        <v>43789</v>
      </c>
      <c r="CI2037">
        <v>1</v>
      </c>
      <c r="CJ2037">
        <v>1</v>
      </c>
      <c r="CK2037">
        <v>24</v>
      </c>
      <c r="CL2037" t="s">
        <v>89</v>
      </c>
    </row>
    <row r="2038" spans="1:90">
      <c r="A2038" t="s">
        <v>72</v>
      </c>
      <c r="B2038" t="s">
        <v>73</v>
      </c>
      <c r="C2038" t="s">
        <v>74</v>
      </c>
      <c r="E2038" t="str">
        <f>"FES1162723611"</f>
        <v>FES1162723611</v>
      </c>
      <c r="F2038" s="3">
        <v>43787</v>
      </c>
      <c r="G2038">
        <v>202005</v>
      </c>
      <c r="H2038" t="s">
        <v>75</v>
      </c>
      <c r="I2038" t="s">
        <v>76</v>
      </c>
      <c r="J2038" t="s">
        <v>77</v>
      </c>
      <c r="K2038" t="s">
        <v>78</v>
      </c>
      <c r="L2038" t="s">
        <v>184</v>
      </c>
      <c r="M2038" t="s">
        <v>185</v>
      </c>
      <c r="N2038" t="s">
        <v>735</v>
      </c>
      <c r="O2038" t="s">
        <v>82</v>
      </c>
      <c r="P2038" t="str">
        <f>"2170717567                    "</f>
        <v xml:space="preserve">2170717567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6.71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 s="4">
        <v>39.42</v>
      </c>
      <c r="BM2038" s="4">
        <v>5.91</v>
      </c>
      <c r="BN2038" s="4">
        <v>45.33</v>
      </c>
      <c r="BO2038" s="4">
        <v>45.33</v>
      </c>
      <c r="BQ2038" t="s">
        <v>981</v>
      </c>
      <c r="BR2038" t="s">
        <v>84</v>
      </c>
      <c r="BS2038" s="3">
        <v>43789</v>
      </c>
      <c r="BT2038" s="5">
        <v>0.34236111111111112</v>
      </c>
      <c r="BU2038" t="s">
        <v>517</v>
      </c>
      <c r="BV2038" t="s">
        <v>89</v>
      </c>
      <c r="BW2038" t="s">
        <v>319</v>
      </c>
      <c r="BX2038" t="s">
        <v>743</v>
      </c>
      <c r="BY2038">
        <v>1200</v>
      </c>
      <c r="CA2038" t="s">
        <v>198</v>
      </c>
      <c r="CC2038" t="s">
        <v>185</v>
      </c>
      <c r="CD2038">
        <v>1500</v>
      </c>
      <c r="CE2038" t="s">
        <v>147</v>
      </c>
      <c r="CF2038" s="3">
        <v>43790</v>
      </c>
      <c r="CI2038">
        <v>1</v>
      </c>
      <c r="CJ2038">
        <v>2</v>
      </c>
      <c r="CK2038">
        <v>22</v>
      </c>
      <c r="CL2038" t="s">
        <v>89</v>
      </c>
    </row>
    <row r="2039" spans="1:90">
      <c r="A2039" t="s">
        <v>72</v>
      </c>
      <c r="B2039" t="s">
        <v>73</v>
      </c>
      <c r="C2039" t="s">
        <v>74</v>
      </c>
      <c r="E2039" t="str">
        <f>"FES1162723604"</f>
        <v>FES1162723604</v>
      </c>
      <c r="F2039" s="3">
        <v>43787</v>
      </c>
      <c r="G2039">
        <v>202005</v>
      </c>
      <c r="H2039" t="s">
        <v>75</v>
      </c>
      <c r="I2039" t="s">
        <v>76</v>
      </c>
      <c r="J2039" t="s">
        <v>77</v>
      </c>
      <c r="K2039" t="s">
        <v>78</v>
      </c>
      <c r="L2039" t="s">
        <v>101</v>
      </c>
      <c r="M2039" t="s">
        <v>102</v>
      </c>
      <c r="N2039" t="s">
        <v>1763</v>
      </c>
      <c r="O2039" t="s">
        <v>82</v>
      </c>
      <c r="P2039" t="str">
        <f>"2170717553                    "</f>
        <v xml:space="preserve">2170717553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8.58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 s="4">
        <v>50.45</v>
      </c>
      <c r="BM2039" s="4">
        <v>7.57</v>
      </c>
      <c r="BN2039" s="4">
        <v>58.02</v>
      </c>
      <c r="BO2039" s="4">
        <v>58.02</v>
      </c>
      <c r="BR2039" t="s">
        <v>84</v>
      </c>
      <c r="BS2039" s="3">
        <v>43788</v>
      </c>
      <c r="BT2039" s="5">
        <v>0.42708333333333331</v>
      </c>
      <c r="BU2039" t="s">
        <v>2347</v>
      </c>
      <c r="BV2039" t="s">
        <v>86</v>
      </c>
      <c r="BY2039">
        <v>1200</v>
      </c>
      <c r="CC2039" t="s">
        <v>102</v>
      </c>
      <c r="CD2039">
        <v>200</v>
      </c>
      <c r="CE2039" t="s">
        <v>147</v>
      </c>
      <c r="CF2039" s="3">
        <v>43790</v>
      </c>
      <c r="CI2039">
        <v>1</v>
      </c>
      <c r="CJ2039">
        <v>1</v>
      </c>
      <c r="CK2039">
        <v>21</v>
      </c>
      <c r="CL2039" t="s">
        <v>89</v>
      </c>
    </row>
    <row r="2040" spans="1:90">
      <c r="A2040" t="s">
        <v>72</v>
      </c>
      <c r="B2040" t="s">
        <v>73</v>
      </c>
      <c r="C2040" t="s">
        <v>74</v>
      </c>
      <c r="E2040" t="str">
        <f>"FES1162723652"</f>
        <v>FES1162723652</v>
      </c>
      <c r="F2040" s="3">
        <v>43787</v>
      </c>
      <c r="G2040">
        <v>202005</v>
      </c>
      <c r="H2040" t="s">
        <v>75</v>
      </c>
      <c r="I2040" t="s">
        <v>76</v>
      </c>
      <c r="J2040" t="s">
        <v>77</v>
      </c>
      <c r="K2040" t="s">
        <v>78</v>
      </c>
      <c r="L2040" t="s">
        <v>2348</v>
      </c>
      <c r="M2040" t="s">
        <v>2349</v>
      </c>
      <c r="N2040" t="s">
        <v>2350</v>
      </c>
      <c r="O2040" t="s">
        <v>82</v>
      </c>
      <c r="P2040" t="str">
        <f>"2170717609                    "</f>
        <v xml:space="preserve">2170717609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16.63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 s="4">
        <v>97.75</v>
      </c>
      <c r="BM2040" s="4">
        <v>14.66</v>
      </c>
      <c r="BN2040" s="4">
        <v>112.41</v>
      </c>
      <c r="BO2040" s="4">
        <v>112.41</v>
      </c>
      <c r="BR2040" t="s">
        <v>84</v>
      </c>
      <c r="BS2040" s="3">
        <v>43790</v>
      </c>
      <c r="BT2040" s="5">
        <v>0.75694444444444453</v>
      </c>
      <c r="BU2040" t="s">
        <v>2351</v>
      </c>
      <c r="BV2040" t="s">
        <v>89</v>
      </c>
      <c r="BW2040" t="s">
        <v>371</v>
      </c>
      <c r="BX2040" t="s">
        <v>372</v>
      </c>
      <c r="BY2040">
        <v>1200</v>
      </c>
      <c r="CC2040" t="s">
        <v>2349</v>
      </c>
      <c r="CD2040">
        <v>4490</v>
      </c>
      <c r="CE2040" t="s">
        <v>147</v>
      </c>
      <c r="CF2040" s="3">
        <v>43794</v>
      </c>
      <c r="CI2040">
        <v>1</v>
      </c>
      <c r="CJ2040">
        <v>3</v>
      </c>
      <c r="CK2040">
        <v>23</v>
      </c>
      <c r="CL2040" t="s">
        <v>89</v>
      </c>
    </row>
    <row r="2041" spans="1:90">
      <c r="A2041" t="s">
        <v>72</v>
      </c>
      <c r="B2041" t="s">
        <v>73</v>
      </c>
      <c r="C2041" t="s">
        <v>74</v>
      </c>
      <c r="E2041" t="str">
        <f>"FES1162723548"</f>
        <v>FES1162723548</v>
      </c>
      <c r="F2041" s="3">
        <v>43787</v>
      </c>
      <c r="G2041">
        <v>202005</v>
      </c>
      <c r="H2041" t="s">
        <v>75</v>
      </c>
      <c r="I2041" t="s">
        <v>76</v>
      </c>
      <c r="J2041" t="s">
        <v>77</v>
      </c>
      <c r="K2041" t="s">
        <v>78</v>
      </c>
      <c r="L2041" t="s">
        <v>106</v>
      </c>
      <c r="M2041" t="s">
        <v>107</v>
      </c>
      <c r="N2041" t="s">
        <v>489</v>
      </c>
      <c r="O2041" t="s">
        <v>82</v>
      </c>
      <c r="P2041" t="str">
        <f>"2170717466                    "</f>
        <v xml:space="preserve">2170717466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38.6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8.3000000000000007</v>
      </c>
      <c r="BJ2041">
        <v>8.9</v>
      </c>
      <c r="BK2041">
        <v>9</v>
      </c>
      <c r="BL2041" s="4">
        <v>226.91</v>
      </c>
      <c r="BM2041" s="4">
        <v>34.04</v>
      </c>
      <c r="BN2041" s="4">
        <v>260.95</v>
      </c>
      <c r="BO2041" s="4">
        <v>260.95</v>
      </c>
      <c r="BQ2041" t="s">
        <v>121</v>
      </c>
      <c r="BR2041" t="s">
        <v>84</v>
      </c>
      <c r="BS2041" s="3">
        <v>43788</v>
      </c>
      <c r="BT2041" s="5">
        <v>0.39444444444444443</v>
      </c>
      <c r="BU2041" t="s">
        <v>2352</v>
      </c>
      <c r="BV2041" t="s">
        <v>86</v>
      </c>
      <c r="BY2041">
        <v>44307.39</v>
      </c>
      <c r="CA2041" t="s">
        <v>773</v>
      </c>
      <c r="CC2041" t="s">
        <v>107</v>
      </c>
      <c r="CD2041">
        <v>6001</v>
      </c>
      <c r="CE2041" t="s">
        <v>88</v>
      </c>
      <c r="CF2041" s="3">
        <v>43789</v>
      </c>
      <c r="CI2041">
        <v>1</v>
      </c>
      <c r="CJ2041">
        <v>1</v>
      </c>
      <c r="CK2041">
        <v>21</v>
      </c>
      <c r="CL2041" t="s">
        <v>89</v>
      </c>
    </row>
    <row r="2042" spans="1:90">
      <c r="A2042" t="s">
        <v>72</v>
      </c>
      <c r="B2042" t="s">
        <v>73</v>
      </c>
      <c r="C2042" t="s">
        <v>74</v>
      </c>
      <c r="E2042" t="str">
        <f>"FES1162723606"</f>
        <v>FES1162723606</v>
      </c>
      <c r="F2042" s="3">
        <v>43787</v>
      </c>
      <c r="G2042">
        <v>202005</v>
      </c>
      <c r="H2042" t="s">
        <v>75</v>
      </c>
      <c r="I2042" t="s">
        <v>76</v>
      </c>
      <c r="J2042" t="s">
        <v>77</v>
      </c>
      <c r="K2042" t="s">
        <v>78</v>
      </c>
      <c r="L2042" t="s">
        <v>112</v>
      </c>
      <c r="M2042" t="s">
        <v>113</v>
      </c>
      <c r="N2042" t="s">
        <v>1380</v>
      </c>
      <c r="O2042" t="s">
        <v>82</v>
      </c>
      <c r="P2042" t="str">
        <f>"2170717557                    "</f>
        <v xml:space="preserve">2170717557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8.58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1.5</v>
      </c>
      <c r="BJ2042">
        <v>0.7</v>
      </c>
      <c r="BK2042">
        <v>1.5</v>
      </c>
      <c r="BL2042" s="4">
        <v>50.45</v>
      </c>
      <c r="BM2042" s="4">
        <v>7.57</v>
      </c>
      <c r="BN2042" s="4">
        <v>58.02</v>
      </c>
      <c r="BO2042" s="4">
        <v>58.02</v>
      </c>
      <c r="BQ2042" t="s">
        <v>121</v>
      </c>
      <c r="BR2042" t="s">
        <v>84</v>
      </c>
      <c r="BS2042" s="3">
        <v>43788</v>
      </c>
      <c r="BT2042" s="5">
        <v>0.41666666666666669</v>
      </c>
      <c r="BU2042" t="s">
        <v>2353</v>
      </c>
      <c r="BV2042" t="s">
        <v>86</v>
      </c>
      <c r="BY2042">
        <v>3687.93</v>
      </c>
      <c r="CA2042" t="s">
        <v>1046</v>
      </c>
      <c r="CC2042" t="s">
        <v>113</v>
      </c>
      <c r="CD2042">
        <v>4051</v>
      </c>
      <c r="CE2042" t="s">
        <v>88</v>
      </c>
      <c r="CF2042" s="3">
        <v>43789</v>
      </c>
      <c r="CI2042">
        <v>1</v>
      </c>
      <c r="CJ2042">
        <v>1</v>
      </c>
      <c r="CK2042">
        <v>21</v>
      </c>
      <c r="CL2042" t="s">
        <v>89</v>
      </c>
    </row>
    <row r="2043" spans="1:90">
      <c r="A2043" t="s">
        <v>72</v>
      </c>
      <c r="B2043" t="s">
        <v>73</v>
      </c>
      <c r="C2043" t="s">
        <v>74</v>
      </c>
      <c r="E2043" t="str">
        <f>"FES1162723649"</f>
        <v>FES1162723649</v>
      </c>
      <c r="F2043" s="3">
        <v>43787</v>
      </c>
      <c r="G2043">
        <v>202005</v>
      </c>
      <c r="H2043" t="s">
        <v>75</v>
      </c>
      <c r="I2043" t="s">
        <v>76</v>
      </c>
      <c r="J2043" t="s">
        <v>77</v>
      </c>
      <c r="K2043" t="s">
        <v>78</v>
      </c>
      <c r="L2043" t="s">
        <v>270</v>
      </c>
      <c r="M2043" t="s">
        <v>271</v>
      </c>
      <c r="N2043" t="s">
        <v>618</v>
      </c>
      <c r="O2043" t="s">
        <v>82</v>
      </c>
      <c r="P2043" t="str">
        <f>"2170717603                    "</f>
        <v xml:space="preserve">2170717603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15.02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1.2</v>
      </c>
      <c r="BJ2043">
        <v>3.3</v>
      </c>
      <c r="BK2043">
        <v>3.5</v>
      </c>
      <c r="BL2043" s="4">
        <v>88.27</v>
      </c>
      <c r="BM2043" s="4">
        <v>13.24</v>
      </c>
      <c r="BN2043" s="4">
        <v>101.51</v>
      </c>
      <c r="BO2043" s="4">
        <v>101.51</v>
      </c>
      <c r="BQ2043" t="s">
        <v>121</v>
      </c>
      <c r="BR2043" t="s">
        <v>84</v>
      </c>
      <c r="BS2043" s="3">
        <v>43788</v>
      </c>
      <c r="BT2043" s="5">
        <v>0.43055555555555558</v>
      </c>
      <c r="BU2043" t="s">
        <v>619</v>
      </c>
      <c r="BV2043" t="s">
        <v>86</v>
      </c>
      <c r="BY2043">
        <v>16448.7</v>
      </c>
      <c r="CA2043" t="s">
        <v>773</v>
      </c>
      <c r="CC2043" t="s">
        <v>271</v>
      </c>
      <c r="CD2043">
        <v>6220</v>
      </c>
      <c r="CE2043" t="s">
        <v>88</v>
      </c>
      <c r="CF2043" s="3">
        <v>43789</v>
      </c>
      <c r="CI2043">
        <v>1</v>
      </c>
      <c r="CJ2043">
        <v>1</v>
      </c>
      <c r="CK2043">
        <v>21</v>
      </c>
      <c r="CL2043" t="s">
        <v>89</v>
      </c>
    </row>
    <row r="2044" spans="1:90">
      <c r="A2044" t="s">
        <v>72</v>
      </c>
      <c r="B2044" t="s">
        <v>73</v>
      </c>
      <c r="C2044" t="s">
        <v>74</v>
      </c>
      <c r="E2044" t="str">
        <f>"FES1162723696"</f>
        <v>FES1162723696</v>
      </c>
      <c r="F2044" s="3">
        <v>43787</v>
      </c>
      <c r="G2044">
        <v>202005</v>
      </c>
      <c r="H2044" t="s">
        <v>75</v>
      </c>
      <c r="I2044" t="s">
        <v>76</v>
      </c>
      <c r="J2044" t="s">
        <v>77</v>
      </c>
      <c r="K2044" t="s">
        <v>78</v>
      </c>
      <c r="L2044" t="s">
        <v>124</v>
      </c>
      <c r="M2044" t="s">
        <v>125</v>
      </c>
      <c r="N2044" t="s">
        <v>218</v>
      </c>
      <c r="O2044" t="s">
        <v>82</v>
      </c>
      <c r="P2044" t="str">
        <f>"2170717657                    "</f>
        <v xml:space="preserve">2170717657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6.71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 s="4">
        <v>39.42</v>
      </c>
      <c r="BM2044" s="4">
        <v>5.91</v>
      </c>
      <c r="BN2044" s="4">
        <v>45.33</v>
      </c>
      <c r="BO2044" s="4">
        <v>45.33</v>
      </c>
      <c r="BQ2044" t="s">
        <v>121</v>
      </c>
      <c r="BR2044" t="s">
        <v>84</v>
      </c>
      <c r="BS2044" s="3">
        <v>43788</v>
      </c>
      <c r="BT2044" s="5">
        <v>0.38194444444444442</v>
      </c>
      <c r="BU2044" t="s">
        <v>2343</v>
      </c>
      <c r="BV2044" t="s">
        <v>86</v>
      </c>
      <c r="BY2044">
        <v>1200</v>
      </c>
      <c r="CC2044" t="s">
        <v>125</v>
      </c>
      <c r="CD2044">
        <v>2094</v>
      </c>
      <c r="CE2044" t="s">
        <v>147</v>
      </c>
      <c r="CF2044" s="3">
        <v>43789</v>
      </c>
      <c r="CI2044">
        <v>1</v>
      </c>
      <c r="CJ2044">
        <v>1</v>
      </c>
      <c r="CK2044">
        <v>22</v>
      </c>
      <c r="CL2044" t="s">
        <v>89</v>
      </c>
    </row>
    <row r="2045" spans="1:90">
      <c r="A2045" t="s">
        <v>72</v>
      </c>
      <c r="B2045" t="s">
        <v>73</v>
      </c>
      <c r="C2045" t="s">
        <v>74</v>
      </c>
      <c r="E2045" t="str">
        <f>"FES1162723657"</f>
        <v>FES1162723657</v>
      </c>
      <c r="F2045" s="3">
        <v>43787</v>
      </c>
      <c r="G2045">
        <v>202005</v>
      </c>
      <c r="H2045" t="s">
        <v>75</v>
      </c>
      <c r="I2045" t="s">
        <v>76</v>
      </c>
      <c r="J2045" t="s">
        <v>77</v>
      </c>
      <c r="K2045" t="s">
        <v>78</v>
      </c>
      <c r="L2045" t="s">
        <v>133</v>
      </c>
      <c r="M2045" t="s">
        <v>134</v>
      </c>
      <c r="N2045" t="s">
        <v>1847</v>
      </c>
      <c r="O2045" t="s">
        <v>82</v>
      </c>
      <c r="P2045" t="str">
        <f>"2170714579                    "</f>
        <v xml:space="preserve">2170714579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8.58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 s="4">
        <v>50.45</v>
      </c>
      <c r="BM2045" s="4">
        <v>7.57</v>
      </c>
      <c r="BN2045" s="4">
        <v>58.02</v>
      </c>
      <c r="BO2045" s="4">
        <v>58.02</v>
      </c>
      <c r="BQ2045" t="s">
        <v>246</v>
      </c>
      <c r="BR2045" t="s">
        <v>84</v>
      </c>
      <c r="BS2045" s="3">
        <v>43788</v>
      </c>
      <c r="BT2045" s="5">
        <v>0.35833333333333334</v>
      </c>
      <c r="BU2045" t="s">
        <v>2354</v>
      </c>
      <c r="BV2045" t="s">
        <v>86</v>
      </c>
      <c r="BY2045">
        <v>1200</v>
      </c>
      <c r="CA2045" t="s">
        <v>698</v>
      </c>
      <c r="CC2045" t="s">
        <v>134</v>
      </c>
      <c r="CD2045">
        <v>5201</v>
      </c>
      <c r="CE2045" t="s">
        <v>147</v>
      </c>
      <c r="CF2045" s="3">
        <v>43790</v>
      </c>
      <c r="CI2045">
        <v>1</v>
      </c>
      <c r="CJ2045">
        <v>1</v>
      </c>
      <c r="CK2045">
        <v>21</v>
      </c>
      <c r="CL2045" t="s">
        <v>89</v>
      </c>
    </row>
    <row r="2046" spans="1:90">
      <c r="A2046" t="s">
        <v>72</v>
      </c>
      <c r="B2046" t="s">
        <v>73</v>
      </c>
      <c r="C2046" t="s">
        <v>74</v>
      </c>
      <c r="E2046" t="str">
        <f>"FES1162723650"</f>
        <v>FES1162723650</v>
      </c>
      <c r="F2046" s="3">
        <v>43787</v>
      </c>
      <c r="G2046">
        <v>202005</v>
      </c>
      <c r="H2046" t="s">
        <v>75</v>
      </c>
      <c r="I2046" t="s">
        <v>76</v>
      </c>
      <c r="J2046" t="s">
        <v>77</v>
      </c>
      <c r="K2046" t="s">
        <v>78</v>
      </c>
      <c r="L2046" t="s">
        <v>79</v>
      </c>
      <c r="M2046" t="s">
        <v>80</v>
      </c>
      <c r="N2046" t="s">
        <v>458</v>
      </c>
      <c r="O2046" t="s">
        <v>82</v>
      </c>
      <c r="P2046" t="str">
        <f>"                              "</f>
        <v xml:space="preserve">          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15.02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1.4</v>
      </c>
      <c r="BJ2046">
        <v>3.3</v>
      </c>
      <c r="BK2046">
        <v>3.5</v>
      </c>
      <c r="BL2046" s="4">
        <v>88.27</v>
      </c>
      <c r="BM2046" s="4">
        <v>13.24</v>
      </c>
      <c r="BN2046" s="4">
        <v>101.51</v>
      </c>
      <c r="BO2046" s="4">
        <v>101.51</v>
      </c>
      <c r="BP2046">
        <v>2170717604</v>
      </c>
      <c r="BQ2046" t="s">
        <v>109</v>
      </c>
      <c r="BR2046" t="s">
        <v>84</v>
      </c>
      <c r="BS2046" s="3">
        <v>43788</v>
      </c>
      <c r="BT2046" s="5">
        <v>0.3298611111111111</v>
      </c>
      <c r="BU2046" t="s">
        <v>1318</v>
      </c>
      <c r="BV2046" t="s">
        <v>86</v>
      </c>
      <c r="BY2046">
        <v>16318.72</v>
      </c>
      <c r="CA2046" t="s">
        <v>87</v>
      </c>
      <c r="CC2046" t="s">
        <v>80</v>
      </c>
      <c r="CD2046">
        <v>6230</v>
      </c>
      <c r="CE2046" t="s">
        <v>88</v>
      </c>
      <c r="CF2046" s="3">
        <v>43789</v>
      </c>
      <c r="CI2046">
        <v>1</v>
      </c>
      <c r="CJ2046">
        <v>1</v>
      </c>
      <c r="CK2046">
        <v>21</v>
      </c>
      <c r="CL2046" t="s">
        <v>89</v>
      </c>
    </row>
    <row r="2047" spans="1:90">
      <c r="A2047" t="s">
        <v>72</v>
      </c>
      <c r="B2047" t="s">
        <v>73</v>
      </c>
      <c r="C2047" t="s">
        <v>74</v>
      </c>
      <c r="E2047" t="str">
        <f>"FES1162723666"</f>
        <v>FES1162723666</v>
      </c>
      <c r="F2047" s="3">
        <v>43787</v>
      </c>
      <c r="G2047">
        <v>202005</v>
      </c>
      <c r="H2047" t="s">
        <v>75</v>
      </c>
      <c r="I2047" t="s">
        <v>76</v>
      </c>
      <c r="J2047" t="s">
        <v>77</v>
      </c>
      <c r="K2047" t="s">
        <v>78</v>
      </c>
      <c r="L2047" t="s">
        <v>225</v>
      </c>
      <c r="M2047" t="s">
        <v>226</v>
      </c>
      <c r="N2047" t="s">
        <v>227</v>
      </c>
      <c r="O2047" t="s">
        <v>82</v>
      </c>
      <c r="P2047" t="str">
        <f>"217071617                     "</f>
        <v xml:space="preserve">217071617 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8.58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 s="4">
        <v>50.45</v>
      </c>
      <c r="BM2047" s="4">
        <v>7.57</v>
      </c>
      <c r="BN2047" s="4">
        <v>58.02</v>
      </c>
      <c r="BO2047" s="4">
        <v>58.02</v>
      </c>
      <c r="BQ2047" t="s">
        <v>121</v>
      </c>
      <c r="BR2047" t="s">
        <v>84</v>
      </c>
      <c r="BS2047" s="3">
        <v>43788</v>
      </c>
      <c r="BT2047" s="5">
        <v>0.3444444444444445</v>
      </c>
      <c r="BU2047" t="s">
        <v>2291</v>
      </c>
      <c r="BV2047" t="s">
        <v>86</v>
      </c>
      <c r="BY2047">
        <v>1200</v>
      </c>
      <c r="CA2047" t="s">
        <v>229</v>
      </c>
      <c r="CC2047" t="s">
        <v>226</v>
      </c>
      <c r="CD2047">
        <v>4026</v>
      </c>
      <c r="CE2047" t="s">
        <v>147</v>
      </c>
      <c r="CF2047" s="3">
        <v>43789</v>
      </c>
      <c r="CI2047">
        <v>1</v>
      </c>
      <c r="CJ2047">
        <v>1</v>
      </c>
      <c r="CK2047">
        <v>21</v>
      </c>
      <c r="CL2047" t="s">
        <v>89</v>
      </c>
    </row>
    <row r="2048" spans="1:90">
      <c r="A2048" t="s">
        <v>72</v>
      </c>
      <c r="B2048" t="s">
        <v>73</v>
      </c>
      <c r="C2048" t="s">
        <v>74</v>
      </c>
      <c r="E2048" t="str">
        <f>"FES1162723669"</f>
        <v>FES1162723669</v>
      </c>
      <c r="F2048" s="3">
        <v>43787</v>
      </c>
      <c r="G2048">
        <v>202005</v>
      </c>
      <c r="H2048" t="s">
        <v>75</v>
      </c>
      <c r="I2048" t="s">
        <v>76</v>
      </c>
      <c r="J2048" t="s">
        <v>77</v>
      </c>
      <c r="K2048" t="s">
        <v>78</v>
      </c>
      <c r="L2048" t="s">
        <v>176</v>
      </c>
      <c r="M2048" t="s">
        <v>177</v>
      </c>
      <c r="N2048" t="s">
        <v>947</v>
      </c>
      <c r="O2048" t="s">
        <v>82</v>
      </c>
      <c r="P2048" t="str">
        <f>"2170717623                    "</f>
        <v xml:space="preserve">2170717623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8.58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 s="4">
        <v>50.45</v>
      </c>
      <c r="BM2048" s="4">
        <v>7.57</v>
      </c>
      <c r="BN2048" s="4">
        <v>58.02</v>
      </c>
      <c r="BO2048" s="4">
        <v>58.02</v>
      </c>
      <c r="BQ2048" t="s">
        <v>121</v>
      </c>
      <c r="BR2048" t="s">
        <v>84</v>
      </c>
      <c r="BS2048" s="3">
        <v>43788</v>
      </c>
      <c r="BT2048" s="5">
        <v>0.38125000000000003</v>
      </c>
      <c r="BU2048" t="s">
        <v>948</v>
      </c>
      <c r="BV2048" t="s">
        <v>86</v>
      </c>
      <c r="BY2048">
        <v>1200</v>
      </c>
      <c r="CA2048" t="s">
        <v>180</v>
      </c>
      <c r="CC2048" t="s">
        <v>177</v>
      </c>
      <c r="CD2048">
        <v>3610</v>
      </c>
      <c r="CE2048" t="s">
        <v>147</v>
      </c>
      <c r="CF2048" s="3">
        <v>43789</v>
      </c>
      <c r="CI2048">
        <v>1</v>
      </c>
      <c r="CJ2048">
        <v>1</v>
      </c>
      <c r="CK2048">
        <v>21</v>
      </c>
      <c r="CL2048" t="s">
        <v>89</v>
      </c>
    </row>
    <row r="2049" spans="1:90">
      <c r="A2049" t="s">
        <v>72</v>
      </c>
      <c r="B2049" t="s">
        <v>73</v>
      </c>
      <c r="C2049" t="s">
        <v>74</v>
      </c>
      <c r="E2049" t="str">
        <f>"FES1162723681"</f>
        <v>FES1162723681</v>
      </c>
      <c r="F2049" s="3">
        <v>43787</v>
      </c>
      <c r="G2049">
        <v>202005</v>
      </c>
      <c r="H2049" t="s">
        <v>75</v>
      </c>
      <c r="I2049" t="s">
        <v>76</v>
      </c>
      <c r="J2049" t="s">
        <v>77</v>
      </c>
      <c r="K2049" t="s">
        <v>78</v>
      </c>
      <c r="L2049" t="s">
        <v>118</v>
      </c>
      <c r="M2049" t="s">
        <v>119</v>
      </c>
      <c r="N2049" t="s">
        <v>248</v>
      </c>
      <c r="O2049" t="s">
        <v>82</v>
      </c>
      <c r="P2049" t="str">
        <f>"2170717635                    "</f>
        <v xml:space="preserve">2170717635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8.58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 s="4">
        <v>50.45</v>
      </c>
      <c r="BM2049" s="4">
        <v>7.57</v>
      </c>
      <c r="BN2049" s="4">
        <v>58.02</v>
      </c>
      <c r="BO2049" s="4">
        <v>58.02</v>
      </c>
      <c r="BQ2049" t="s">
        <v>121</v>
      </c>
      <c r="BR2049" t="s">
        <v>84</v>
      </c>
      <c r="BS2049" s="3">
        <v>43788</v>
      </c>
      <c r="BT2049" s="5">
        <v>0.36458333333333331</v>
      </c>
      <c r="BU2049" t="s">
        <v>2338</v>
      </c>
      <c r="BV2049" t="s">
        <v>86</v>
      </c>
      <c r="BY2049">
        <v>1200</v>
      </c>
      <c r="CA2049" t="s">
        <v>435</v>
      </c>
      <c r="CC2049" t="s">
        <v>119</v>
      </c>
      <c r="CD2049">
        <v>3212</v>
      </c>
      <c r="CE2049" t="s">
        <v>147</v>
      </c>
      <c r="CF2049" s="3">
        <v>43789</v>
      </c>
      <c r="CI2049">
        <v>1</v>
      </c>
      <c r="CJ2049">
        <v>1</v>
      </c>
      <c r="CK2049">
        <v>21</v>
      </c>
      <c r="CL2049" t="s">
        <v>89</v>
      </c>
    </row>
    <row r="2050" spans="1:90">
      <c r="A2050" t="s">
        <v>72</v>
      </c>
      <c r="B2050" t="s">
        <v>73</v>
      </c>
      <c r="C2050" t="s">
        <v>74</v>
      </c>
      <c r="E2050" t="str">
        <f>"FES1162723706"</f>
        <v>FES1162723706</v>
      </c>
      <c r="F2050" s="3">
        <v>43787</v>
      </c>
      <c r="G2050">
        <v>202005</v>
      </c>
      <c r="H2050" t="s">
        <v>75</v>
      </c>
      <c r="I2050" t="s">
        <v>76</v>
      </c>
      <c r="J2050" t="s">
        <v>77</v>
      </c>
      <c r="K2050" t="s">
        <v>78</v>
      </c>
      <c r="L2050" t="s">
        <v>225</v>
      </c>
      <c r="M2050" t="s">
        <v>226</v>
      </c>
      <c r="N2050" t="s">
        <v>227</v>
      </c>
      <c r="O2050" t="s">
        <v>82</v>
      </c>
      <c r="P2050" t="str">
        <f>"2170717669                    "</f>
        <v xml:space="preserve">2170717669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8.58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 s="4">
        <v>50.45</v>
      </c>
      <c r="BM2050" s="4">
        <v>7.57</v>
      </c>
      <c r="BN2050" s="4">
        <v>58.02</v>
      </c>
      <c r="BO2050" s="4">
        <v>58.02</v>
      </c>
      <c r="BQ2050" t="s">
        <v>121</v>
      </c>
      <c r="BR2050" t="s">
        <v>84</v>
      </c>
      <c r="BS2050" s="3">
        <v>43788</v>
      </c>
      <c r="BT2050" s="5">
        <v>0.3444444444444445</v>
      </c>
      <c r="BU2050" t="s">
        <v>2291</v>
      </c>
      <c r="BV2050" t="s">
        <v>86</v>
      </c>
      <c r="BY2050">
        <v>1200</v>
      </c>
      <c r="CA2050" t="s">
        <v>229</v>
      </c>
      <c r="CC2050" t="s">
        <v>226</v>
      </c>
      <c r="CD2050">
        <v>4026</v>
      </c>
      <c r="CE2050" t="s">
        <v>147</v>
      </c>
      <c r="CF2050" s="3">
        <v>43789</v>
      </c>
      <c r="CI2050">
        <v>1</v>
      </c>
      <c r="CJ2050">
        <v>1</v>
      </c>
      <c r="CK2050">
        <v>21</v>
      </c>
      <c r="CL2050" t="s">
        <v>89</v>
      </c>
    </row>
    <row r="2051" spans="1:90">
      <c r="A2051" t="s">
        <v>72</v>
      </c>
      <c r="B2051" t="s">
        <v>73</v>
      </c>
      <c r="C2051" t="s">
        <v>74</v>
      </c>
      <c r="E2051" t="str">
        <f>"FES1162723698"</f>
        <v>FES1162723698</v>
      </c>
      <c r="F2051" s="3">
        <v>43787</v>
      </c>
      <c r="G2051">
        <v>202005</v>
      </c>
      <c r="H2051" t="s">
        <v>75</v>
      </c>
      <c r="I2051" t="s">
        <v>76</v>
      </c>
      <c r="J2051" t="s">
        <v>77</v>
      </c>
      <c r="K2051" t="s">
        <v>78</v>
      </c>
      <c r="L2051" t="s">
        <v>225</v>
      </c>
      <c r="M2051" t="s">
        <v>226</v>
      </c>
      <c r="N2051" t="s">
        <v>227</v>
      </c>
      <c r="O2051" t="s">
        <v>82</v>
      </c>
      <c r="P2051" t="str">
        <f>"2170717660                    "</f>
        <v xml:space="preserve">2170717660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8.58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 s="4">
        <v>50.45</v>
      </c>
      <c r="BM2051" s="4">
        <v>7.57</v>
      </c>
      <c r="BN2051" s="4">
        <v>58.02</v>
      </c>
      <c r="BO2051" s="4">
        <v>58.02</v>
      </c>
      <c r="BQ2051" t="s">
        <v>121</v>
      </c>
      <c r="BR2051" t="s">
        <v>84</v>
      </c>
      <c r="BS2051" s="3">
        <v>43788</v>
      </c>
      <c r="BT2051" s="5">
        <v>0.3444444444444445</v>
      </c>
      <c r="BU2051" t="s">
        <v>2291</v>
      </c>
      <c r="BV2051" t="s">
        <v>86</v>
      </c>
      <c r="BY2051">
        <v>1200</v>
      </c>
      <c r="CA2051" t="s">
        <v>229</v>
      </c>
      <c r="CC2051" t="s">
        <v>226</v>
      </c>
      <c r="CD2051">
        <v>4026</v>
      </c>
      <c r="CE2051" t="s">
        <v>147</v>
      </c>
      <c r="CF2051" s="3">
        <v>43789</v>
      </c>
      <c r="CI2051">
        <v>1</v>
      </c>
      <c r="CJ2051">
        <v>1</v>
      </c>
      <c r="CK2051">
        <v>21</v>
      </c>
      <c r="CL2051" t="s">
        <v>89</v>
      </c>
    </row>
    <row r="2052" spans="1:90">
      <c r="A2052" t="s">
        <v>72</v>
      </c>
      <c r="B2052" t="s">
        <v>73</v>
      </c>
      <c r="C2052" t="s">
        <v>74</v>
      </c>
      <c r="E2052" t="str">
        <f>"FES1162723693"</f>
        <v>FES1162723693</v>
      </c>
      <c r="F2052" s="3">
        <v>43787</v>
      </c>
      <c r="G2052">
        <v>202005</v>
      </c>
      <c r="H2052" t="s">
        <v>75</v>
      </c>
      <c r="I2052" t="s">
        <v>76</v>
      </c>
      <c r="J2052" t="s">
        <v>77</v>
      </c>
      <c r="K2052" t="s">
        <v>78</v>
      </c>
      <c r="L2052" t="s">
        <v>133</v>
      </c>
      <c r="M2052" t="s">
        <v>134</v>
      </c>
      <c r="N2052" t="s">
        <v>310</v>
      </c>
      <c r="O2052" t="s">
        <v>82</v>
      </c>
      <c r="P2052" t="str">
        <f>"2170717652                    "</f>
        <v xml:space="preserve">2170717652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36.46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7.4</v>
      </c>
      <c r="BJ2052">
        <v>8.5</v>
      </c>
      <c r="BK2052">
        <v>8.5</v>
      </c>
      <c r="BL2052" s="4">
        <v>214.31</v>
      </c>
      <c r="BM2052" s="4">
        <v>32.15</v>
      </c>
      <c r="BN2052" s="4">
        <v>246.46</v>
      </c>
      <c r="BO2052" s="4">
        <v>246.46</v>
      </c>
      <c r="BQ2052" t="s">
        <v>121</v>
      </c>
      <c r="BR2052" t="s">
        <v>84</v>
      </c>
      <c r="BS2052" s="3">
        <v>43788</v>
      </c>
      <c r="BT2052" s="5">
        <v>0.37222222222222223</v>
      </c>
      <c r="BU2052" t="s">
        <v>2182</v>
      </c>
      <c r="BV2052" t="s">
        <v>86</v>
      </c>
      <c r="BY2052">
        <v>42732.36</v>
      </c>
      <c r="CA2052" t="s">
        <v>1109</v>
      </c>
      <c r="CC2052" t="s">
        <v>134</v>
      </c>
      <c r="CD2052">
        <v>5201</v>
      </c>
      <c r="CE2052" t="s">
        <v>88</v>
      </c>
      <c r="CF2052" s="3">
        <v>43791</v>
      </c>
      <c r="CI2052">
        <v>1</v>
      </c>
      <c r="CJ2052">
        <v>1</v>
      </c>
      <c r="CK2052">
        <v>21</v>
      </c>
      <c r="CL2052" t="s">
        <v>89</v>
      </c>
    </row>
    <row r="2053" spans="1:90">
      <c r="A2053" t="s">
        <v>72</v>
      </c>
      <c r="B2053" t="s">
        <v>73</v>
      </c>
      <c r="C2053" t="s">
        <v>74</v>
      </c>
      <c r="E2053" t="str">
        <f>"FES1162723660"</f>
        <v>FES1162723660</v>
      </c>
      <c r="F2053" s="3">
        <v>43787</v>
      </c>
      <c r="G2053">
        <v>202005</v>
      </c>
      <c r="H2053" t="s">
        <v>75</v>
      </c>
      <c r="I2053" t="s">
        <v>76</v>
      </c>
      <c r="J2053" t="s">
        <v>77</v>
      </c>
      <c r="K2053" t="s">
        <v>78</v>
      </c>
      <c r="L2053" t="s">
        <v>75</v>
      </c>
      <c r="M2053" t="s">
        <v>76</v>
      </c>
      <c r="N2053" t="s">
        <v>466</v>
      </c>
      <c r="O2053" t="s">
        <v>82</v>
      </c>
      <c r="P2053" t="str">
        <f>"2170716847                    "</f>
        <v xml:space="preserve">2170716847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17.96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8.6</v>
      </c>
      <c r="BJ2053">
        <v>3.8</v>
      </c>
      <c r="BK2053">
        <v>9</v>
      </c>
      <c r="BL2053" s="4">
        <v>105.55</v>
      </c>
      <c r="BM2053" s="4">
        <v>15.83</v>
      </c>
      <c r="BN2053" s="4">
        <v>121.38</v>
      </c>
      <c r="BO2053" s="4">
        <v>121.38</v>
      </c>
      <c r="BQ2053" t="s">
        <v>109</v>
      </c>
      <c r="BR2053" t="s">
        <v>84</v>
      </c>
      <c r="BS2053" s="3">
        <v>43788</v>
      </c>
      <c r="BT2053" s="5">
        <v>0.37847222222222227</v>
      </c>
      <c r="BU2053" t="s">
        <v>2355</v>
      </c>
      <c r="BV2053" t="s">
        <v>86</v>
      </c>
      <c r="BY2053">
        <v>19147.439999999999</v>
      </c>
      <c r="CA2053" t="s">
        <v>1067</v>
      </c>
      <c r="CC2053" t="s">
        <v>76</v>
      </c>
      <c r="CD2053">
        <v>1609</v>
      </c>
      <c r="CE2053" t="s">
        <v>88</v>
      </c>
      <c r="CF2053" s="3">
        <v>43789</v>
      </c>
      <c r="CI2053">
        <v>1</v>
      </c>
      <c r="CJ2053">
        <v>1</v>
      </c>
      <c r="CK2053">
        <v>22</v>
      </c>
      <c r="CL2053" t="s">
        <v>89</v>
      </c>
    </row>
    <row r="2054" spans="1:90">
      <c r="A2054" t="s">
        <v>72</v>
      </c>
      <c r="B2054" t="s">
        <v>73</v>
      </c>
      <c r="C2054" t="s">
        <v>74</v>
      </c>
      <c r="E2054" t="str">
        <f>"FES1162723695"</f>
        <v>FES1162723695</v>
      </c>
      <c r="F2054" s="3">
        <v>43787</v>
      </c>
      <c r="G2054">
        <v>202005</v>
      </c>
      <c r="H2054" t="s">
        <v>75</v>
      </c>
      <c r="I2054" t="s">
        <v>76</v>
      </c>
      <c r="J2054" t="s">
        <v>77</v>
      </c>
      <c r="K2054" t="s">
        <v>78</v>
      </c>
      <c r="L2054" t="s">
        <v>112</v>
      </c>
      <c r="M2054" t="s">
        <v>113</v>
      </c>
      <c r="N2054" t="s">
        <v>1083</v>
      </c>
      <c r="O2054" t="s">
        <v>82</v>
      </c>
      <c r="P2054" t="str">
        <f>"2170717654                    "</f>
        <v xml:space="preserve">2170717654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8.58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0.8</v>
      </c>
      <c r="BJ2054">
        <v>0.7</v>
      </c>
      <c r="BK2054">
        <v>1</v>
      </c>
      <c r="BL2054" s="4">
        <v>50.45</v>
      </c>
      <c r="BM2054" s="4">
        <v>7.57</v>
      </c>
      <c r="BN2054" s="4">
        <v>58.02</v>
      </c>
      <c r="BO2054" s="4">
        <v>58.02</v>
      </c>
      <c r="BQ2054" t="s">
        <v>121</v>
      </c>
      <c r="BR2054" t="s">
        <v>84</v>
      </c>
      <c r="BS2054" s="3">
        <v>43788</v>
      </c>
      <c r="BT2054" s="5">
        <v>0.4375</v>
      </c>
      <c r="BU2054" t="s">
        <v>2304</v>
      </c>
      <c r="BV2054" t="s">
        <v>86</v>
      </c>
      <c r="BY2054">
        <v>3690.26</v>
      </c>
      <c r="CA2054" t="s">
        <v>123</v>
      </c>
      <c r="CC2054" t="s">
        <v>113</v>
      </c>
      <c r="CD2054">
        <v>4001</v>
      </c>
      <c r="CE2054" t="s">
        <v>88</v>
      </c>
      <c r="CF2054" s="3">
        <v>43789</v>
      </c>
      <c r="CI2054">
        <v>1</v>
      </c>
      <c r="CJ2054">
        <v>1</v>
      </c>
      <c r="CK2054">
        <v>21</v>
      </c>
      <c r="CL2054" t="s">
        <v>89</v>
      </c>
    </row>
    <row r="2055" spans="1:90">
      <c r="A2055" t="s">
        <v>72</v>
      </c>
      <c r="B2055" t="s">
        <v>73</v>
      </c>
      <c r="C2055" t="s">
        <v>74</v>
      </c>
      <c r="E2055" t="str">
        <f>"FES1162723675"</f>
        <v>FES1162723675</v>
      </c>
      <c r="F2055" s="3">
        <v>43787</v>
      </c>
      <c r="G2055">
        <v>202005</v>
      </c>
      <c r="H2055" t="s">
        <v>75</v>
      </c>
      <c r="I2055" t="s">
        <v>76</v>
      </c>
      <c r="J2055" t="s">
        <v>77</v>
      </c>
      <c r="K2055" t="s">
        <v>78</v>
      </c>
      <c r="L2055" t="s">
        <v>101</v>
      </c>
      <c r="M2055" t="s">
        <v>102</v>
      </c>
      <c r="N2055" t="s">
        <v>2356</v>
      </c>
      <c r="O2055" t="s">
        <v>82</v>
      </c>
      <c r="P2055" t="str">
        <f>"2170714193                    "</f>
        <v xml:space="preserve">2170714193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15.02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3.1</v>
      </c>
      <c r="BJ2055">
        <v>1.4</v>
      </c>
      <c r="BK2055">
        <v>3.5</v>
      </c>
      <c r="BL2055" s="4">
        <v>88.27</v>
      </c>
      <c r="BM2055" s="4">
        <v>13.24</v>
      </c>
      <c r="BN2055" s="4">
        <v>101.51</v>
      </c>
      <c r="BO2055" s="4">
        <v>101.51</v>
      </c>
      <c r="BQ2055" t="s">
        <v>109</v>
      </c>
      <c r="BR2055" t="s">
        <v>84</v>
      </c>
      <c r="BS2055" s="3">
        <v>43788</v>
      </c>
      <c r="BT2055" s="5">
        <v>0.38194444444444442</v>
      </c>
      <c r="BU2055" t="s">
        <v>2357</v>
      </c>
      <c r="BV2055" t="s">
        <v>86</v>
      </c>
      <c r="BY2055">
        <v>7049.16</v>
      </c>
      <c r="CC2055" t="s">
        <v>102</v>
      </c>
      <c r="CD2055">
        <v>1</v>
      </c>
      <c r="CE2055" t="s">
        <v>88</v>
      </c>
      <c r="CF2055" s="3">
        <v>43790</v>
      </c>
      <c r="CI2055">
        <v>1</v>
      </c>
      <c r="CJ2055">
        <v>1</v>
      </c>
      <c r="CK2055">
        <v>21</v>
      </c>
      <c r="CL2055" t="s">
        <v>89</v>
      </c>
    </row>
    <row r="2056" spans="1:90">
      <c r="A2056" t="s">
        <v>72</v>
      </c>
      <c r="B2056" t="s">
        <v>73</v>
      </c>
      <c r="C2056" t="s">
        <v>74</v>
      </c>
      <c r="E2056" t="str">
        <f>"FES1162723683"</f>
        <v>FES1162723683</v>
      </c>
      <c r="F2056" s="3">
        <v>43787</v>
      </c>
      <c r="G2056">
        <v>202005</v>
      </c>
      <c r="H2056" t="s">
        <v>75</v>
      </c>
      <c r="I2056" t="s">
        <v>76</v>
      </c>
      <c r="J2056" t="s">
        <v>77</v>
      </c>
      <c r="K2056" t="s">
        <v>78</v>
      </c>
      <c r="L2056" t="s">
        <v>405</v>
      </c>
      <c r="M2056" t="s">
        <v>406</v>
      </c>
      <c r="N2056" t="s">
        <v>931</v>
      </c>
      <c r="O2056" t="s">
        <v>82</v>
      </c>
      <c r="P2056" t="str">
        <f>"2170717638                    "</f>
        <v xml:space="preserve">2170717638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12.07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1.5</v>
      </c>
      <c r="BJ2056">
        <v>0.9</v>
      </c>
      <c r="BK2056">
        <v>1.5</v>
      </c>
      <c r="BL2056" s="4">
        <v>70.95</v>
      </c>
      <c r="BM2056" s="4">
        <v>10.64</v>
      </c>
      <c r="BN2056" s="4">
        <v>81.59</v>
      </c>
      <c r="BO2056" s="4">
        <v>81.59</v>
      </c>
      <c r="BQ2056" t="s">
        <v>121</v>
      </c>
      <c r="BR2056" t="s">
        <v>84</v>
      </c>
      <c r="BS2056" s="3">
        <v>43788</v>
      </c>
      <c r="BT2056" s="5">
        <v>0.39027777777777778</v>
      </c>
      <c r="BU2056" t="s">
        <v>2358</v>
      </c>
      <c r="BV2056" t="s">
        <v>86</v>
      </c>
      <c r="BY2056">
        <v>4420.29</v>
      </c>
      <c r="CA2056" t="s">
        <v>409</v>
      </c>
      <c r="CC2056" t="s">
        <v>406</v>
      </c>
      <c r="CD2056">
        <v>250</v>
      </c>
      <c r="CE2056" t="s">
        <v>88</v>
      </c>
      <c r="CF2056" s="3">
        <v>43790</v>
      </c>
      <c r="CI2056">
        <v>1</v>
      </c>
      <c r="CJ2056">
        <v>1</v>
      </c>
      <c r="CK2056">
        <v>24</v>
      </c>
      <c r="CL2056" t="s">
        <v>89</v>
      </c>
    </row>
    <row r="2057" spans="1:90">
      <c r="A2057" t="s">
        <v>72</v>
      </c>
      <c r="B2057" t="s">
        <v>73</v>
      </c>
      <c r="C2057" t="s">
        <v>74</v>
      </c>
      <c r="E2057" t="str">
        <f>"FES1162723697"</f>
        <v>FES1162723697</v>
      </c>
      <c r="F2057" s="3">
        <v>43787</v>
      </c>
      <c r="G2057">
        <v>202005</v>
      </c>
      <c r="H2057" t="s">
        <v>75</v>
      </c>
      <c r="I2057" t="s">
        <v>76</v>
      </c>
      <c r="J2057" t="s">
        <v>77</v>
      </c>
      <c r="K2057" t="s">
        <v>78</v>
      </c>
      <c r="L2057" t="s">
        <v>118</v>
      </c>
      <c r="M2057" t="s">
        <v>119</v>
      </c>
      <c r="N2057" t="s">
        <v>120</v>
      </c>
      <c r="O2057" t="s">
        <v>82</v>
      </c>
      <c r="P2057" t="str">
        <f>"2170717659                    "</f>
        <v xml:space="preserve">2170717659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17.16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3.9</v>
      </c>
      <c r="BJ2057">
        <v>1.3</v>
      </c>
      <c r="BK2057">
        <v>4</v>
      </c>
      <c r="BL2057" s="4">
        <v>100.87</v>
      </c>
      <c r="BM2057" s="4">
        <v>15.13</v>
      </c>
      <c r="BN2057" s="4">
        <v>116</v>
      </c>
      <c r="BO2057" s="4">
        <v>116</v>
      </c>
      <c r="BQ2057" t="s">
        <v>121</v>
      </c>
      <c r="BR2057" t="s">
        <v>84</v>
      </c>
      <c r="BS2057" s="3">
        <v>43788</v>
      </c>
      <c r="BT2057" s="5">
        <v>0.36458333333333331</v>
      </c>
      <c r="BU2057" t="s">
        <v>2338</v>
      </c>
      <c r="BV2057" t="s">
        <v>86</v>
      </c>
      <c r="BY2057">
        <v>6682.26</v>
      </c>
      <c r="CA2057" t="s">
        <v>435</v>
      </c>
      <c r="CC2057" t="s">
        <v>119</v>
      </c>
      <c r="CD2057">
        <v>3201</v>
      </c>
      <c r="CE2057" t="s">
        <v>88</v>
      </c>
      <c r="CF2057" s="3">
        <v>43789</v>
      </c>
      <c r="CI2057">
        <v>1</v>
      </c>
      <c r="CJ2057">
        <v>1</v>
      </c>
      <c r="CK2057">
        <v>21</v>
      </c>
      <c r="CL2057" t="s">
        <v>89</v>
      </c>
    </row>
    <row r="2058" spans="1:90">
      <c r="A2058" t="s">
        <v>72</v>
      </c>
      <c r="B2058" t="s">
        <v>73</v>
      </c>
      <c r="C2058" t="s">
        <v>74</v>
      </c>
      <c r="E2058" t="str">
        <f>"FES1162723679"</f>
        <v>FES1162723679</v>
      </c>
      <c r="F2058" s="3">
        <v>43787</v>
      </c>
      <c r="G2058">
        <v>202005</v>
      </c>
      <c r="H2058" t="s">
        <v>75</v>
      </c>
      <c r="I2058" t="s">
        <v>76</v>
      </c>
      <c r="J2058" t="s">
        <v>77</v>
      </c>
      <c r="K2058" t="s">
        <v>78</v>
      </c>
      <c r="L2058" t="s">
        <v>101</v>
      </c>
      <c r="M2058" t="s">
        <v>102</v>
      </c>
      <c r="N2058" t="s">
        <v>2356</v>
      </c>
      <c r="O2058" t="s">
        <v>82</v>
      </c>
      <c r="P2058" t="str">
        <f>"2170716403                    "</f>
        <v xml:space="preserve">2170716403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8.58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1.4</v>
      </c>
      <c r="BJ2058">
        <v>1.2</v>
      </c>
      <c r="BK2058">
        <v>1.5</v>
      </c>
      <c r="BL2058" s="4">
        <v>50.45</v>
      </c>
      <c r="BM2058" s="4">
        <v>7.57</v>
      </c>
      <c r="BN2058" s="4">
        <v>58.02</v>
      </c>
      <c r="BO2058" s="4">
        <v>58.02</v>
      </c>
      <c r="BQ2058" t="s">
        <v>109</v>
      </c>
      <c r="BR2058" t="s">
        <v>84</v>
      </c>
      <c r="BS2058" s="3">
        <v>43788</v>
      </c>
      <c r="BT2058" s="5">
        <v>0.38194444444444442</v>
      </c>
      <c r="BU2058" t="s">
        <v>2357</v>
      </c>
      <c r="BV2058" t="s">
        <v>86</v>
      </c>
      <c r="BY2058">
        <v>6083.94</v>
      </c>
      <c r="CC2058" t="s">
        <v>102</v>
      </c>
      <c r="CD2058">
        <v>1</v>
      </c>
      <c r="CE2058" t="s">
        <v>88</v>
      </c>
      <c r="CF2058" s="3">
        <v>43790</v>
      </c>
      <c r="CI2058">
        <v>1</v>
      </c>
      <c r="CJ2058">
        <v>1</v>
      </c>
      <c r="CK2058">
        <v>21</v>
      </c>
      <c r="CL2058" t="s">
        <v>89</v>
      </c>
    </row>
    <row r="2059" spans="1:90">
      <c r="A2059" t="s">
        <v>72</v>
      </c>
      <c r="B2059" t="s">
        <v>73</v>
      </c>
      <c r="C2059" t="s">
        <v>74</v>
      </c>
      <c r="E2059" t="str">
        <f>"FES1162723708"</f>
        <v>FES1162723708</v>
      </c>
      <c r="F2059" s="3">
        <v>43787</v>
      </c>
      <c r="G2059">
        <v>202005</v>
      </c>
      <c r="H2059" t="s">
        <v>75</v>
      </c>
      <c r="I2059" t="s">
        <v>76</v>
      </c>
      <c r="J2059" t="s">
        <v>77</v>
      </c>
      <c r="K2059" t="s">
        <v>78</v>
      </c>
      <c r="L2059" t="s">
        <v>106</v>
      </c>
      <c r="M2059" t="s">
        <v>107</v>
      </c>
      <c r="N2059" t="s">
        <v>242</v>
      </c>
      <c r="O2059" t="s">
        <v>82</v>
      </c>
      <c r="P2059" t="str">
        <f>"2170717672                    "</f>
        <v xml:space="preserve">2170717672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12.87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1.1000000000000001</v>
      </c>
      <c r="BJ2059">
        <v>3</v>
      </c>
      <c r="BK2059">
        <v>3</v>
      </c>
      <c r="BL2059" s="4">
        <v>75.66</v>
      </c>
      <c r="BM2059" s="4">
        <v>11.35</v>
      </c>
      <c r="BN2059" s="4">
        <v>87.01</v>
      </c>
      <c r="BO2059" s="4">
        <v>87.01</v>
      </c>
      <c r="BQ2059" t="s">
        <v>109</v>
      </c>
      <c r="BR2059" t="s">
        <v>84</v>
      </c>
      <c r="BS2059" s="3">
        <v>43788</v>
      </c>
      <c r="BT2059" s="5">
        <v>0.33333333333333331</v>
      </c>
      <c r="BU2059" t="s">
        <v>2359</v>
      </c>
      <c r="BV2059" t="s">
        <v>86</v>
      </c>
      <c r="BY2059">
        <v>14786.89</v>
      </c>
      <c r="CA2059" t="s">
        <v>244</v>
      </c>
      <c r="CC2059" t="s">
        <v>107</v>
      </c>
      <c r="CD2059">
        <v>6001</v>
      </c>
      <c r="CE2059" t="s">
        <v>88</v>
      </c>
      <c r="CF2059" s="3">
        <v>43789</v>
      </c>
      <c r="CI2059">
        <v>1</v>
      </c>
      <c r="CJ2059">
        <v>1</v>
      </c>
      <c r="CK2059">
        <v>21</v>
      </c>
      <c r="CL2059" t="s">
        <v>89</v>
      </c>
    </row>
    <row r="2060" spans="1:90">
      <c r="A2060" t="s">
        <v>72</v>
      </c>
      <c r="B2060" t="s">
        <v>73</v>
      </c>
      <c r="C2060" t="s">
        <v>74</v>
      </c>
      <c r="E2060" t="str">
        <f>"FES1162723717"</f>
        <v>FES1162723717</v>
      </c>
      <c r="F2060" s="3">
        <v>43787</v>
      </c>
      <c r="G2060">
        <v>202005</v>
      </c>
      <c r="H2060" t="s">
        <v>75</v>
      </c>
      <c r="I2060" t="s">
        <v>76</v>
      </c>
      <c r="J2060" t="s">
        <v>77</v>
      </c>
      <c r="K2060" t="s">
        <v>78</v>
      </c>
      <c r="L2060" t="s">
        <v>90</v>
      </c>
      <c r="M2060" t="s">
        <v>91</v>
      </c>
      <c r="N2060" t="s">
        <v>393</v>
      </c>
      <c r="O2060" t="s">
        <v>82</v>
      </c>
      <c r="P2060" t="str">
        <f>"2170717683                    "</f>
        <v xml:space="preserve">2170717683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15.02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3</v>
      </c>
      <c r="BJ2060">
        <v>3.2</v>
      </c>
      <c r="BK2060">
        <v>3.5</v>
      </c>
      <c r="BL2060" s="4">
        <v>88.27</v>
      </c>
      <c r="BM2060" s="4">
        <v>13.24</v>
      </c>
      <c r="BN2060" s="4">
        <v>101.51</v>
      </c>
      <c r="BO2060" s="4">
        <v>101.51</v>
      </c>
      <c r="BQ2060" t="s">
        <v>1630</v>
      </c>
      <c r="BR2060" t="s">
        <v>84</v>
      </c>
      <c r="BS2060" s="3">
        <v>43788</v>
      </c>
      <c r="BT2060" s="5">
        <v>0.28819444444444448</v>
      </c>
      <c r="BU2060" t="s">
        <v>2360</v>
      </c>
      <c r="BV2060" t="s">
        <v>86</v>
      </c>
      <c r="BY2060">
        <v>15974.29</v>
      </c>
      <c r="CA2060" t="s">
        <v>221</v>
      </c>
      <c r="CC2060" t="s">
        <v>91</v>
      </c>
      <c r="CD2060">
        <v>7405</v>
      </c>
      <c r="CE2060" t="s">
        <v>88</v>
      </c>
      <c r="CF2060" s="3">
        <v>43789</v>
      </c>
      <c r="CI2060">
        <v>1</v>
      </c>
      <c r="CJ2060">
        <v>1</v>
      </c>
      <c r="CK2060">
        <v>21</v>
      </c>
      <c r="CL2060" t="s">
        <v>89</v>
      </c>
    </row>
    <row r="2061" spans="1:90">
      <c r="A2061" t="s">
        <v>72</v>
      </c>
      <c r="B2061" t="s">
        <v>73</v>
      </c>
      <c r="C2061" t="s">
        <v>74</v>
      </c>
      <c r="E2061" t="str">
        <f>"FES1162723685"</f>
        <v>FES1162723685</v>
      </c>
      <c r="F2061" s="3">
        <v>43787</v>
      </c>
      <c r="G2061">
        <v>202005</v>
      </c>
      <c r="H2061" t="s">
        <v>75</v>
      </c>
      <c r="I2061" t="s">
        <v>76</v>
      </c>
      <c r="J2061" t="s">
        <v>77</v>
      </c>
      <c r="K2061" t="s">
        <v>78</v>
      </c>
      <c r="L2061" t="s">
        <v>101</v>
      </c>
      <c r="M2061" t="s">
        <v>102</v>
      </c>
      <c r="N2061" t="s">
        <v>2361</v>
      </c>
      <c r="O2061" t="s">
        <v>82</v>
      </c>
      <c r="P2061" t="str">
        <f>"2170717641                    "</f>
        <v xml:space="preserve">2170717641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8.58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 s="4">
        <v>50.45</v>
      </c>
      <c r="BM2061" s="4">
        <v>7.57</v>
      </c>
      <c r="BN2061" s="4">
        <v>58.02</v>
      </c>
      <c r="BO2061" s="4">
        <v>58.02</v>
      </c>
      <c r="BR2061" t="s">
        <v>84</v>
      </c>
      <c r="BS2061" s="3">
        <v>43788</v>
      </c>
      <c r="BT2061" s="5">
        <v>0.40277777777777773</v>
      </c>
      <c r="BU2061" t="s">
        <v>2362</v>
      </c>
      <c r="BV2061" t="s">
        <v>86</v>
      </c>
      <c r="BY2061">
        <v>1200</v>
      </c>
      <c r="CA2061" t="s">
        <v>359</v>
      </c>
      <c r="CC2061" t="s">
        <v>102</v>
      </c>
      <c r="CD2061">
        <v>184</v>
      </c>
      <c r="CE2061" t="s">
        <v>147</v>
      </c>
      <c r="CF2061" s="3">
        <v>43789</v>
      </c>
      <c r="CI2061">
        <v>1</v>
      </c>
      <c r="CJ2061">
        <v>1</v>
      </c>
      <c r="CK2061">
        <v>21</v>
      </c>
      <c r="CL2061" t="s">
        <v>89</v>
      </c>
    </row>
    <row r="2062" spans="1:90">
      <c r="A2062" t="s">
        <v>72</v>
      </c>
      <c r="B2062" t="s">
        <v>73</v>
      </c>
      <c r="C2062" t="s">
        <v>74</v>
      </c>
      <c r="E2062" t="str">
        <f>"FES1162723680"</f>
        <v>FES1162723680</v>
      </c>
      <c r="F2062" s="3">
        <v>43787</v>
      </c>
      <c r="G2062">
        <v>202005</v>
      </c>
      <c r="H2062" t="s">
        <v>75</v>
      </c>
      <c r="I2062" t="s">
        <v>76</v>
      </c>
      <c r="J2062" t="s">
        <v>77</v>
      </c>
      <c r="K2062" t="s">
        <v>78</v>
      </c>
      <c r="L2062" t="s">
        <v>101</v>
      </c>
      <c r="M2062" t="s">
        <v>102</v>
      </c>
      <c r="N2062" t="s">
        <v>2356</v>
      </c>
      <c r="O2062" t="s">
        <v>82</v>
      </c>
      <c r="P2062" t="str">
        <f>"2170716883                    "</f>
        <v xml:space="preserve">2170716883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8.58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 s="4">
        <v>50.45</v>
      </c>
      <c r="BM2062" s="4">
        <v>7.57</v>
      </c>
      <c r="BN2062" s="4">
        <v>58.02</v>
      </c>
      <c r="BO2062" s="4">
        <v>58.02</v>
      </c>
      <c r="BQ2062" t="s">
        <v>109</v>
      </c>
      <c r="BR2062" t="s">
        <v>84</v>
      </c>
      <c r="BS2062" s="3">
        <v>43788</v>
      </c>
      <c r="BT2062" s="5">
        <v>0.38194444444444442</v>
      </c>
      <c r="BU2062" t="s">
        <v>2357</v>
      </c>
      <c r="BV2062" t="s">
        <v>86</v>
      </c>
      <c r="BY2062">
        <v>1200</v>
      </c>
      <c r="CC2062" t="s">
        <v>102</v>
      </c>
      <c r="CD2062">
        <v>1</v>
      </c>
      <c r="CE2062" t="s">
        <v>147</v>
      </c>
      <c r="CF2062" s="3">
        <v>43790</v>
      </c>
      <c r="CI2062">
        <v>1</v>
      </c>
      <c r="CJ2062">
        <v>1</v>
      </c>
      <c r="CK2062">
        <v>21</v>
      </c>
      <c r="CL2062" t="s">
        <v>89</v>
      </c>
    </row>
    <row r="2063" spans="1:90">
      <c r="A2063" t="s">
        <v>72</v>
      </c>
      <c r="B2063" t="s">
        <v>73</v>
      </c>
      <c r="C2063" t="s">
        <v>74</v>
      </c>
      <c r="E2063" t="str">
        <f>"FES1162723700"</f>
        <v>FES1162723700</v>
      </c>
      <c r="F2063" s="3">
        <v>43787</v>
      </c>
      <c r="G2063">
        <v>202005</v>
      </c>
      <c r="H2063" t="s">
        <v>75</v>
      </c>
      <c r="I2063" t="s">
        <v>76</v>
      </c>
      <c r="J2063" t="s">
        <v>77</v>
      </c>
      <c r="K2063" t="s">
        <v>78</v>
      </c>
      <c r="L2063" t="s">
        <v>90</v>
      </c>
      <c r="M2063" t="s">
        <v>91</v>
      </c>
      <c r="N2063" t="s">
        <v>527</v>
      </c>
      <c r="O2063" t="s">
        <v>82</v>
      </c>
      <c r="P2063" t="str">
        <f>"2170717662                    "</f>
        <v xml:space="preserve">2170717662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12.87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2.9</v>
      </c>
      <c r="BJ2063">
        <v>1.3</v>
      </c>
      <c r="BK2063">
        <v>3</v>
      </c>
      <c r="BL2063" s="4">
        <v>75.66</v>
      </c>
      <c r="BM2063" s="4">
        <v>11.35</v>
      </c>
      <c r="BN2063" s="4">
        <v>87.01</v>
      </c>
      <c r="BO2063" s="4">
        <v>87.01</v>
      </c>
      <c r="BQ2063" t="s">
        <v>109</v>
      </c>
      <c r="BR2063" t="s">
        <v>84</v>
      </c>
      <c r="BS2063" s="3">
        <v>43788</v>
      </c>
      <c r="BT2063" s="5">
        <v>0.30972222222222223</v>
      </c>
      <c r="BU2063" t="s">
        <v>1951</v>
      </c>
      <c r="BV2063" t="s">
        <v>86</v>
      </c>
      <c r="BY2063">
        <v>6606.72</v>
      </c>
      <c r="CA2063" t="s">
        <v>221</v>
      </c>
      <c r="CC2063" t="s">
        <v>91</v>
      </c>
      <c r="CD2063">
        <v>7405</v>
      </c>
      <c r="CE2063" t="s">
        <v>88</v>
      </c>
      <c r="CF2063" s="3">
        <v>43789</v>
      </c>
      <c r="CI2063">
        <v>1</v>
      </c>
      <c r="CJ2063">
        <v>1</v>
      </c>
      <c r="CK2063">
        <v>21</v>
      </c>
      <c r="CL2063" t="s">
        <v>89</v>
      </c>
    </row>
    <row r="2064" spans="1:90">
      <c r="A2064" t="s">
        <v>72</v>
      </c>
      <c r="B2064" t="s">
        <v>73</v>
      </c>
      <c r="C2064" t="s">
        <v>74</v>
      </c>
      <c r="E2064" t="str">
        <f>"FES1162723667"</f>
        <v>FES1162723667</v>
      </c>
      <c r="F2064" s="3">
        <v>43787</v>
      </c>
      <c r="G2064">
        <v>202005</v>
      </c>
      <c r="H2064" t="s">
        <v>75</v>
      </c>
      <c r="I2064" t="s">
        <v>76</v>
      </c>
      <c r="J2064" t="s">
        <v>77</v>
      </c>
      <c r="K2064" t="s">
        <v>78</v>
      </c>
      <c r="L2064" t="s">
        <v>118</v>
      </c>
      <c r="M2064" t="s">
        <v>119</v>
      </c>
      <c r="N2064" t="s">
        <v>120</v>
      </c>
      <c r="O2064" t="s">
        <v>82</v>
      </c>
      <c r="P2064" t="str">
        <f>"                              "</f>
        <v xml:space="preserve">          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32.17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7.5</v>
      </c>
      <c r="BJ2064">
        <v>1.8</v>
      </c>
      <c r="BK2064">
        <v>7.5</v>
      </c>
      <c r="BL2064" s="4">
        <v>189.1</v>
      </c>
      <c r="BM2064" s="4">
        <v>28.37</v>
      </c>
      <c r="BN2064" s="4">
        <v>217.47</v>
      </c>
      <c r="BO2064" s="4">
        <v>217.47</v>
      </c>
      <c r="BP2064">
        <v>2170717618</v>
      </c>
      <c r="BQ2064" t="s">
        <v>121</v>
      </c>
      <c r="BR2064" t="s">
        <v>84</v>
      </c>
      <c r="BS2064" s="3">
        <v>43788</v>
      </c>
      <c r="BT2064" s="5">
        <v>0.36458333333333331</v>
      </c>
      <c r="BU2064" t="s">
        <v>2338</v>
      </c>
      <c r="BV2064" t="s">
        <v>86</v>
      </c>
      <c r="BY2064">
        <v>9234.09</v>
      </c>
      <c r="CA2064" t="s">
        <v>435</v>
      </c>
      <c r="CC2064" t="s">
        <v>119</v>
      </c>
      <c r="CD2064">
        <v>3201</v>
      </c>
      <c r="CE2064" t="s">
        <v>88</v>
      </c>
      <c r="CF2064" s="3">
        <v>43789</v>
      </c>
      <c r="CI2064">
        <v>1</v>
      </c>
      <c r="CJ2064">
        <v>1</v>
      </c>
      <c r="CK2064">
        <v>21</v>
      </c>
      <c r="CL2064" t="s">
        <v>89</v>
      </c>
    </row>
    <row r="2065" spans="1:90">
      <c r="A2065" t="s">
        <v>72</v>
      </c>
      <c r="B2065" t="s">
        <v>73</v>
      </c>
      <c r="C2065" t="s">
        <v>74</v>
      </c>
      <c r="E2065" t="str">
        <f>"FES1162723705"</f>
        <v>FES1162723705</v>
      </c>
      <c r="F2065" s="3">
        <v>43787</v>
      </c>
      <c r="G2065">
        <v>202005</v>
      </c>
      <c r="H2065" t="s">
        <v>75</v>
      </c>
      <c r="I2065" t="s">
        <v>76</v>
      </c>
      <c r="J2065" t="s">
        <v>77</v>
      </c>
      <c r="K2065" t="s">
        <v>78</v>
      </c>
      <c r="L2065" t="s">
        <v>112</v>
      </c>
      <c r="M2065" t="s">
        <v>113</v>
      </c>
      <c r="N2065" t="s">
        <v>272</v>
      </c>
      <c r="O2065" t="s">
        <v>82</v>
      </c>
      <c r="P2065" t="str">
        <f>"21707176666                   "</f>
        <v xml:space="preserve">21707176666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8.58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 s="4">
        <v>50.45</v>
      </c>
      <c r="BM2065" s="4">
        <v>7.57</v>
      </c>
      <c r="BN2065" s="4">
        <v>58.02</v>
      </c>
      <c r="BO2065" s="4">
        <v>58.02</v>
      </c>
      <c r="BQ2065" t="s">
        <v>142</v>
      </c>
      <c r="BR2065" t="s">
        <v>84</v>
      </c>
      <c r="BS2065" s="3">
        <v>43788</v>
      </c>
      <c r="BT2065" s="5">
        <v>0.32361111111111113</v>
      </c>
      <c r="BU2065" t="s">
        <v>2363</v>
      </c>
      <c r="BV2065" t="s">
        <v>86</v>
      </c>
      <c r="BY2065">
        <v>1200</v>
      </c>
      <c r="CA2065" t="s">
        <v>2071</v>
      </c>
      <c r="CC2065" t="s">
        <v>113</v>
      </c>
      <c r="CD2065">
        <v>4064</v>
      </c>
      <c r="CE2065" t="s">
        <v>147</v>
      </c>
      <c r="CF2065" s="3">
        <v>43789</v>
      </c>
      <c r="CI2065">
        <v>1</v>
      </c>
      <c r="CJ2065">
        <v>1</v>
      </c>
      <c r="CK2065">
        <v>21</v>
      </c>
      <c r="CL2065" t="s">
        <v>89</v>
      </c>
    </row>
    <row r="2066" spans="1:90">
      <c r="A2066" t="s">
        <v>72</v>
      </c>
      <c r="B2066" t="s">
        <v>73</v>
      </c>
      <c r="C2066" t="s">
        <v>74</v>
      </c>
      <c r="E2066" t="str">
        <f>"009939094495"</f>
        <v>009939094495</v>
      </c>
      <c r="F2066" s="3">
        <v>43787</v>
      </c>
      <c r="G2066">
        <v>202005</v>
      </c>
      <c r="H2066" t="s">
        <v>101</v>
      </c>
      <c r="I2066" t="s">
        <v>102</v>
      </c>
      <c r="J2066" t="s">
        <v>707</v>
      </c>
      <c r="K2066" t="s">
        <v>78</v>
      </c>
      <c r="L2066" t="s">
        <v>75</v>
      </c>
      <c r="M2066" t="s">
        <v>76</v>
      </c>
      <c r="N2066" t="s">
        <v>211</v>
      </c>
      <c r="O2066" t="s">
        <v>756</v>
      </c>
      <c r="P2066" t="str">
        <f>"NO REF                        "</f>
        <v xml:space="preserve">NO REF    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16.09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1.7</v>
      </c>
      <c r="BJ2066">
        <v>1</v>
      </c>
      <c r="BK2066">
        <v>2</v>
      </c>
      <c r="BL2066" s="4">
        <v>94.59</v>
      </c>
      <c r="BM2066" s="4">
        <v>14.19</v>
      </c>
      <c r="BN2066" s="4">
        <v>108.78</v>
      </c>
      <c r="BO2066" s="4">
        <v>108.78</v>
      </c>
      <c r="BQ2066" t="s">
        <v>2364</v>
      </c>
      <c r="BR2066" t="s">
        <v>2365</v>
      </c>
      <c r="BS2066" s="3">
        <v>43788</v>
      </c>
      <c r="BT2066" s="5">
        <v>0.37361111111111112</v>
      </c>
      <c r="BU2066" t="s">
        <v>1016</v>
      </c>
      <c r="BV2066" t="s">
        <v>86</v>
      </c>
      <c r="BY2066">
        <v>5222.51</v>
      </c>
      <c r="BZ2066" t="s">
        <v>27</v>
      </c>
      <c r="CA2066" t="s">
        <v>198</v>
      </c>
      <c r="CC2066" t="s">
        <v>76</v>
      </c>
      <c r="CD2066">
        <v>1600</v>
      </c>
      <c r="CE2066" t="s">
        <v>1011</v>
      </c>
      <c r="CF2066" s="3">
        <v>43789</v>
      </c>
      <c r="CI2066">
        <v>1</v>
      </c>
      <c r="CJ2066">
        <v>1</v>
      </c>
      <c r="CK2066">
        <v>31</v>
      </c>
      <c r="CL2066" t="s">
        <v>89</v>
      </c>
    </row>
    <row r="2067" spans="1:90">
      <c r="A2067" t="s">
        <v>72</v>
      </c>
      <c r="B2067" t="s">
        <v>73</v>
      </c>
      <c r="C2067" t="s">
        <v>74</v>
      </c>
      <c r="E2067" t="str">
        <f>"FES116272367"</f>
        <v>FES116272367</v>
      </c>
      <c r="F2067" s="3">
        <v>43787</v>
      </c>
      <c r="G2067">
        <v>202005</v>
      </c>
      <c r="H2067" t="s">
        <v>75</v>
      </c>
      <c r="I2067" t="s">
        <v>76</v>
      </c>
      <c r="J2067" t="s">
        <v>77</v>
      </c>
      <c r="K2067" t="s">
        <v>78</v>
      </c>
      <c r="L2067" t="s">
        <v>292</v>
      </c>
      <c r="M2067" t="s">
        <v>293</v>
      </c>
      <c r="N2067" t="s">
        <v>2366</v>
      </c>
      <c r="O2067" t="s">
        <v>82</v>
      </c>
      <c r="P2067" t="str">
        <f>"2170717626                    "</f>
        <v xml:space="preserve">2170717626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20.39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2.4</v>
      </c>
      <c r="BJ2067">
        <v>1.8</v>
      </c>
      <c r="BK2067">
        <v>2.5</v>
      </c>
      <c r="BL2067" s="4">
        <v>119.83</v>
      </c>
      <c r="BM2067" s="4">
        <v>17.97</v>
      </c>
      <c r="BN2067" s="4">
        <v>137.80000000000001</v>
      </c>
      <c r="BO2067" s="4">
        <v>137.80000000000001</v>
      </c>
      <c r="BQ2067" t="s">
        <v>109</v>
      </c>
      <c r="BR2067" t="s">
        <v>84</v>
      </c>
      <c r="BS2067" s="3">
        <v>43788</v>
      </c>
      <c r="BT2067" s="5">
        <v>0.41666666666666669</v>
      </c>
      <c r="BU2067" t="s">
        <v>2367</v>
      </c>
      <c r="BV2067" t="s">
        <v>86</v>
      </c>
      <c r="BY2067">
        <v>9103.7800000000007</v>
      </c>
      <c r="CC2067" t="s">
        <v>293</v>
      </c>
      <c r="CD2067">
        <v>1947</v>
      </c>
      <c r="CE2067" t="s">
        <v>88</v>
      </c>
      <c r="CI2067">
        <v>1</v>
      </c>
      <c r="CJ2067">
        <v>1</v>
      </c>
      <c r="CK2067">
        <v>23</v>
      </c>
      <c r="CL2067" t="s">
        <v>89</v>
      </c>
    </row>
    <row r="2068" spans="1:90">
      <c r="A2068" t="s">
        <v>72</v>
      </c>
      <c r="B2068" t="s">
        <v>73</v>
      </c>
      <c r="C2068" t="s">
        <v>74</v>
      </c>
      <c r="E2068" t="str">
        <f>"FES1162723713"</f>
        <v>FES1162723713</v>
      </c>
      <c r="F2068" s="3">
        <v>43787</v>
      </c>
      <c r="G2068">
        <v>202005</v>
      </c>
      <c r="H2068" t="s">
        <v>75</v>
      </c>
      <c r="I2068" t="s">
        <v>76</v>
      </c>
      <c r="J2068" t="s">
        <v>77</v>
      </c>
      <c r="K2068" t="s">
        <v>78</v>
      </c>
      <c r="L2068" t="s">
        <v>578</v>
      </c>
      <c r="M2068" t="s">
        <v>579</v>
      </c>
      <c r="N2068" t="s">
        <v>1020</v>
      </c>
      <c r="O2068" t="s">
        <v>82</v>
      </c>
      <c r="P2068" t="str">
        <f>"2170767676                    "</f>
        <v xml:space="preserve">2170767676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8.58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 s="4">
        <v>50.45</v>
      </c>
      <c r="BM2068" s="4">
        <v>7.57</v>
      </c>
      <c r="BN2068" s="4">
        <v>58.02</v>
      </c>
      <c r="BO2068" s="4">
        <v>58.02</v>
      </c>
      <c r="BQ2068" t="s">
        <v>121</v>
      </c>
      <c r="BR2068" t="s">
        <v>84</v>
      </c>
      <c r="BS2068" s="3">
        <v>43788</v>
      </c>
      <c r="BT2068" s="5">
        <v>0.36458333333333331</v>
      </c>
      <c r="BU2068" t="s">
        <v>1305</v>
      </c>
      <c r="BV2068" t="s">
        <v>86</v>
      </c>
      <c r="BY2068">
        <v>1200</v>
      </c>
      <c r="CA2068" t="s">
        <v>1022</v>
      </c>
      <c r="CC2068" t="s">
        <v>579</v>
      </c>
      <c r="CD2068">
        <v>7600</v>
      </c>
      <c r="CE2068" t="s">
        <v>147</v>
      </c>
      <c r="CF2068" s="3">
        <v>43789</v>
      </c>
      <c r="CI2068">
        <v>1</v>
      </c>
      <c r="CJ2068">
        <v>1</v>
      </c>
      <c r="CK2068">
        <v>21</v>
      </c>
      <c r="CL2068" t="s">
        <v>89</v>
      </c>
    </row>
    <row r="2069" spans="1:90">
      <c r="A2069" t="s">
        <v>72</v>
      </c>
      <c r="B2069" t="s">
        <v>73</v>
      </c>
      <c r="C2069" t="s">
        <v>74</v>
      </c>
      <c r="E2069" t="str">
        <f>"FES1162723714"</f>
        <v>FES1162723714</v>
      </c>
      <c r="F2069" s="3">
        <v>43787</v>
      </c>
      <c r="G2069">
        <v>202005</v>
      </c>
      <c r="H2069" t="s">
        <v>75</v>
      </c>
      <c r="I2069" t="s">
        <v>76</v>
      </c>
      <c r="J2069" t="s">
        <v>77</v>
      </c>
      <c r="K2069" t="s">
        <v>78</v>
      </c>
      <c r="L2069" t="s">
        <v>482</v>
      </c>
      <c r="M2069" t="s">
        <v>483</v>
      </c>
      <c r="N2069" t="s">
        <v>2368</v>
      </c>
      <c r="O2069" t="s">
        <v>82</v>
      </c>
      <c r="P2069" t="str">
        <f>"2170717680                    "</f>
        <v xml:space="preserve">2170717680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6.71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 s="4">
        <v>39.42</v>
      </c>
      <c r="BM2069" s="4">
        <v>5.91</v>
      </c>
      <c r="BN2069" s="4">
        <v>45.33</v>
      </c>
      <c r="BO2069" s="4">
        <v>45.33</v>
      </c>
      <c r="BR2069" t="s">
        <v>84</v>
      </c>
      <c r="BS2069" s="3">
        <v>43788</v>
      </c>
      <c r="BT2069" s="5">
        <v>0.33749999999999997</v>
      </c>
      <c r="BU2069" t="s">
        <v>2369</v>
      </c>
      <c r="BV2069" t="s">
        <v>86</v>
      </c>
      <c r="BY2069">
        <v>1200</v>
      </c>
      <c r="CA2069" t="s">
        <v>1336</v>
      </c>
      <c r="CC2069" t="s">
        <v>483</v>
      </c>
      <c r="CD2069">
        <v>1459</v>
      </c>
      <c r="CE2069" t="s">
        <v>147</v>
      </c>
      <c r="CF2069" s="3">
        <v>43789</v>
      </c>
      <c r="CI2069">
        <v>1</v>
      </c>
      <c r="CJ2069">
        <v>1</v>
      </c>
      <c r="CK2069">
        <v>22</v>
      </c>
      <c r="CL2069" t="s">
        <v>89</v>
      </c>
    </row>
    <row r="2070" spans="1:90">
      <c r="A2070" t="s">
        <v>72</v>
      </c>
      <c r="B2070" t="s">
        <v>73</v>
      </c>
      <c r="C2070" t="s">
        <v>74</v>
      </c>
      <c r="E2070" t="str">
        <f>"FES1162723674"</f>
        <v>FES1162723674</v>
      </c>
      <c r="F2070" s="3">
        <v>43787</v>
      </c>
      <c r="G2070">
        <v>202005</v>
      </c>
      <c r="H2070" t="s">
        <v>75</v>
      </c>
      <c r="I2070" t="s">
        <v>76</v>
      </c>
      <c r="J2070" t="s">
        <v>77</v>
      </c>
      <c r="K2070" t="s">
        <v>78</v>
      </c>
      <c r="L2070" t="s">
        <v>546</v>
      </c>
      <c r="M2070" t="s">
        <v>547</v>
      </c>
      <c r="N2070" t="s">
        <v>2089</v>
      </c>
      <c r="O2070" t="s">
        <v>82</v>
      </c>
      <c r="P2070" t="str">
        <f>"2170717622                    "</f>
        <v xml:space="preserve">2170717622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15.55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5.7</v>
      </c>
      <c r="BJ2070">
        <v>7.1</v>
      </c>
      <c r="BK2070">
        <v>7.5</v>
      </c>
      <c r="BL2070" s="4">
        <v>91.38</v>
      </c>
      <c r="BM2070" s="4">
        <v>13.71</v>
      </c>
      <c r="BN2070" s="4">
        <v>105.09</v>
      </c>
      <c r="BO2070" s="4">
        <v>105.09</v>
      </c>
      <c r="BQ2070" t="s">
        <v>121</v>
      </c>
      <c r="BR2070" t="s">
        <v>84</v>
      </c>
      <c r="BS2070" s="3">
        <v>43788</v>
      </c>
      <c r="BT2070" s="5">
        <v>0.40069444444444446</v>
      </c>
      <c r="BU2070" t="s">
        <v>378</v>
      </c>
      <c r="BV2070" t="s">
        <v>86</v>
      </c>
      <c r="BY2070">
        <v>35259</v>
      </c>
      <c r="CC2070" t="s">
        <v>547</v>
      </c>
      <c r="CD2070">
        <v>1725</v>
      </c>
      <c r="CE2070" t="s">
        <v>88</v>
      </c>
      <c r="CF2070" s="3">
        <v>43790</v>
      </c>
      <c r="CI2070">
        <v>1</v>
      </c>
      <c r="CJ2070">
        <v>1</v>
      </c>
      <c r="CK2070">
        <v>22</v>
      </c>
      <c r="CL2070" t="s">
        <v>89</v>
      </c>
    </row>
    <row r="2071" spans="1:90">
      <c r="A2071" t="s">
        <v>72</v>
      </c>
      <c r="B2071" t="s">
        <v>73</v>
      </c>
      <c r="C2071" t="s">
        <v>74</v>
      </c>
      <c r="E2071" t="str">
        <f>"FES1162723694"</f>
        <v>FES1162723694</v>
      </c>
      <c r="F2071" s="3">
        <v>43787</v>
      </c>
      <c r="G2071">
        <v>202005</v>
      </c>
      <c r="H2071" t="s">
        <v>75</v>
      </c>
      <c r="I2071" t="s">
        <v>76</v>
      </c>
      <c r="J2071" t="s">
        <v>77</v>
      </c>
      <c r="K2071" t="s">
        <v>78</v>
      </c>
      <c r="L2071" t="s">
        <v>124</v>
      </c>
      <c r="M2071" t="s">
        <v>125</v>
      </c>
      <c r="N2071" t="s">
        <v>218</v>
      </c>
      <c r="O2071" t="s">
        <v>82</v>
      </c>
      <c r="P2071" t="str">
        <f>"2170717653                    "</f>
        <v xml:space="preserve">2170717653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19.559999999999999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9.9</v>
      </c>
      <c r="BJ2071">
        <v>3.3</v>
      </c>
      <c r="BK2071">
        <v>10</v>
      </c>
      <c r="BL2071" s="4">
        <v>114.99</v>
      </c>
      <c r="BM2071" s="4">
        <v>17.25</v>
      </c>
      <c r="BN2071" s="4">
        <v>132.24</v>
      </c>
      <c r="BO2071" s="4">
        <v>132.24</v>
      </c>
      <c r="BQ2071" t="s">
        <v>121</v>
      </c>
      <c r="BR2071" t="s">
        <v>84</v>
      </c>
      <c r="BS2071" s="3">
        <v>43788</v>
      </c>
      <c r="BT2071" s="5">
        <v>0.38263888888888892</v>
      </c>
      <c r="BU2071" t="s">
        <v>2343</v>
      </c>
      <c r="BV2071" t="s">
        <v>86</v>
      </c>
      <c r="BY2071">
        <v>16436.52</v>
      </c>
      <c r="CC2071" t="s">
        <v>125</v>
      </c>
      <c r="CD2071">
        <v>2094</v>
      </c>
      <c r="CE2071" t="s">
        <v>88</v>
      </c>
      <c r="CF2071" s="3">
        <v>43789</v>
      </c>
      <c r="CI2071">
        <v>1</v>
      </c>
      <c r="CJ2071">
        <v>1</v>
      </c>
      <c r="CK2071">
        <v>22</v>
      </c>
      <c r="CL2071" t="s">
        <v>89</v>
      </c>
    </row>
    <row r="2072" spans="1:90">
      <c r="A2072" t="s">
        <v>72</v>
      </c>
      <c r="B2072" t="s">
        <v>73</v>
      </c>
      <c r="C2072" t="s">
        <v>74</v>
      </c>
      <c r="E2072" t="str">
        <f>"FES1162723664"</f>
        <v>FES1162723664</v>
      </c>
      <c r="F2072" s="3">
        <v>43787</v>
      </c>
      <c r="G2072">
        <v>202005</v>
      </c>
      <c r="H2072" t="s">
        <v>75</v>
      </c>
      <c r="I2072" t="s">
        <v>76</v>
      </c>
      <c r="J2072" t="s">
        <v>77</v>
      </c>
      <c r="K2072" t="s">
        <v>78</v>
      </c>
      <c r="L2072" t="s">
        <v>75</v>
      </c>
      <c r="M2072" t="s">
        <v>76</v>
      </c>
      <c r="N2072" t="s">
        <v>466</v>
      </c>
      <c r="O2072" t="s">
        <v>82</v>
      </c>
      <c r="P2072" t="str">
        <f>"2170716853                    "</f>
        <v xml:space="preserve">2170716853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6.71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 s="4">
        <v>39.42</v>
      </c>
      <c r="BM2072" s="4">
        <v>5.91</v>
      </c>
      <c r="BN2072" s="4">
        <v>45.33</v>
      </c>
      <c r="BO2072" s="4">
        <v>45.33</v>
      </c>
      <c r="BQ2072" t="s">
        <v>109</v>
      </c>
      <c r="BR2072" t="s">
        <v>84</v>
      </c>
      <c r="BS2072" s="3">
        <v>43788</v>
      </c>
      <c r="BT2072" s="5">
        <v>0.37847222222222227</v>
      </c>
      <c r="BU2072" t="s">
        <v>2355</v>
      </c>
      <c r="BV2072" t="s">
        <v>86</v>
      </c>
      <c r="BY2072">
        <v>1200</v>
      </c>
      <c r="CA2072" t="s">
        <v>1067</v>
      </c>
      <c r="CC2072" t="s">
        <v>76</v>
      </c>
      <c r="CD2072">
        <v>1609</v>
      </c>
      <c r="CE2072" t="s">
        <v>147</v>
      </c>
      <c r="CF2072" s="3">
        <v>43789</v>
      </c>
      <c r="CI2072">
        <v>1</v>
      </c>
      <c r="CJ2072">
        <v>1</v>
      </c>
      <c r="CK2072">
        <v>22</v>
      </c>
      <c r="CL2072" t="s">
        <v>89</v>
      </c>
    </row>
    <row r="2073" spans="1:90">
      <c r="A2073" t="s">
        <v>72</v>
      </c>
      <c r="B2073" t="s">
        <v>73</v>
      </c>
      <c r="C2073" t="s">
        <v>74</v>
      </c>
      <c r="E2073" t="str">
        <f>"FES1162723632"</f>
        <v>FES1162723632</v>
      </c>
      <c r="F2073" s="3">
        <v>43787</v>
      </c>
      <c r="G2073">
        <v>202005</v>
      </c>
      <c r="H2073" t="s">
        <v>75</v>
      </c>
      <c r="I2073" t="s">
        <v>76</v>
      </c>
      <c r="J2073" t="s">
        <v>77</v>
      </c>
      <c r="K2073" t="s">
        <v>78</v>
      </c>
      <c r="L2073" t="s">
        <v>112</v>
      </c>
      <c r="M2073" t="s">
        <v>113</v>
      </c>
      <c r="N2073" t="s">
        <v>206</v>
      </c>
      <c r="O2073" t="s">
        <v>82</v>
      </c>
      <c r="P2073" t="str">
        <f>"2170717589                    "</f>
        <v xml:space="preserve">2170717589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8.58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 s="4">
        <v>50.45</v>
      </c>
      <c r="BM2073" s="4">
        <v>7.57</v>
      </c>
      <c r="BN2073" s="4">
        <v>58.02</v>
      </c>
      <c r="BO2073" s="4">
        <v>58.02</v>
      </c>
      <c r="BQ2073" t="s">
        <v>109</v>
      </c>
      <c r="BR2073" t="s">
        <v>84</v>
      </c>
      <c r="BS2073" s="3">
        <v>43788</v>
      </c>
      <c r="BT2073" s="5">
        <v>0.39027777777777778</v>
      </c>
      <c r="BU2073" t="s">
        <v>2370</v>
      </c>
      <c r="BV2073" t="s">
        <v>86</v>
      </c>
      <c r="BY2073">
        <v>1200</v>
      </c>
      <c r="CA2073" t="s">
        <v>2212</v>
      </c>
      <c r="CC2073" t="s">
        <v>113</v>
      </c>
      <c r="CD2073">
        <v>4001</v>
      </c>
      <c r="CE2073" t="s">
        <v>147</v>
      </c>
      <c r="CF2073" s="3">
        <v>43789</v>
      </c>
      <c r="CI2073">
        <v>1</v>
      </c>
      <c r="CJ2073">
        <v>1</v>
      </c>
      <c r="CK2073">
        <v>21</v>
      </c>
      <c r="CL2073" t="s">
        <v>89</v>
      </c>
    </row>
    <row r="2074" spans="1:90">
      <c r="A2074" t="s">
        <v>72</v>
      </c>
      <c r="B2074" t="s">
        <v>73</v>
      </c>
      <c r="C2074" t="s">
        <v>74</v>
      </c>
      <c r="E2074" t="str">
        <f>"FES1162723645"</f>
        <v>FES1162723645</v>
      </c>
      <c r="F2074" s="3">
        <v>43787</v>
      </c>
      <c r="G2074">
        <v>202005</v>
      </c>
      <c r="H2074" t="s">
        <v>75</v>
      </c>
      <c r="I2074" t="s">
        <v>76</v>
      </c>
      <c r="J2074" t="s">
        <v>77</v>
      </c>
      <c r="K2074" t="s">
        <v>78</v>
      </c>
      <c r="L2074" t="s">
        <v>106</v>
      </c>
      <c r="M2074" t="s">
        <v>107</v>
      </c>
      <c r="N2074" t="s">
        <v>771</v>
      </c>
      <c r="O2074" t="s">
        <v>82</v>
      </c>
      <c r="P2074" t="str">
        <f>"2170717599                    "</f>
        <v xml:space="preserve">2170717599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8.58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 s="4">
        <v>50.45</v>
      </c>
      <c r="BM2074" s="4">
        <v>7.57</v>
      </c>
      <c r="BN2074" s="4">
        <v>58.02</v>
      </c>
      <c r="BO2074" s="4">
        <v>58.02</v>
      </c>
      <c r="BQ2074" t="s">
        <v>109</v>
      </c>
      <c r="BR2074" t="s">
        <v>84</v>
      </c>
      <c r="BS2074" s="3">
        <v>43788</v>
      </c>
      <c r="BT2074" s="5">
        <v>0.41180555555555554</v>
      </c>
      <c r="BU2074" t="s">
        <v>2289</v>
      </c>
      <c r="BV2074" t="s">
        <v>86</v>
      </c>
      <c r="BY2074">
        <v>1200</v>
      </c>
      <c r="CA2074" t="s">
        <v>773</v>
      </c>
      <c r="CC2074" t="s">
        <v>107</v>
      </c>
      <c r="CD2074">
        <v>6012</v>
      </c>
      <c r="CE2074" t="s">
        <v>147</v>
      </c>
      <c r="CF2074" s="3">
        <v>43789</v>
      </c>
      <c r="CI2074">
        <v>1</v>
      </c>
      <c r="CJ2074">
        <v>1</v>
      </c>
      <c r="CK2074">
        <v>21</v>
      </c>
      <c r="CL2074" t="s">
        <v>89</v>
      </c>
    </row>
    <row r="2075" spans="1:90">
      <c r="A2075" t="s">
        <v>72</v>
      </c>
      <c r="B2075" t="s">
        <v>73</v>
      </c>
      <c r="C2075" t="s">
        <v>74</v>
      </c>
      <c r="E2075" t="str">
        <f>"FES1162723625"</f>
        <v>FES1162723625</v>
      </c>
      <c r="F2075" s="3">
        <v>43787</v>
      </c>
      <c r="G2075">
        <v>202005</v>
      </c>
      <c r="H2075" t="s">
        <v>75</v>
      </c>
      <c r="I2075" t="s">
        <v>76</v>
      </c>
      <c r="J2075" t="s">
        <v>77</v>
      </c>
      <c r="K2075" t="s">
        <v>78</v>
      </c>
      <c r="L2075" t="s">
        <v>112</v>
      </c>
      <c r="M2075" t="s">
        <v>113</v>
      </c>
      <c r="N2075" t="s">
        <v>2371</v>
      </c>
      <c r="O2075" t="s">
        <v>82</v>
      </c>
      <c r="P2075" t="str">
        <f>"2170717585                    "</f>
        <v xml:space="preserve">2170717585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8.58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 s="4">
        <v>50.45</v>
      </c>
      <c r="BM2075" s="4">
        <v>7.57</v>
      </c>
      <c r="BN2075" s="4">
        <v>58.02</v>
      </c>
      <c r="BO2075" s="4">
        <v>58.02</v>
      </c>
      <c r="BR2075" t="s">
        <v>84</v>
      </c>
      <c r="BS2075" s="3">
        <v>43788</v>
      </c>
      <c r="BT2075" s="5">
        <v>0.3979166666666667</v>
      </c>
      <c r="BU2075" t="s">
        <v>2372</v>
      </c>
      <c r="BV2075" t="s">
        <v>86</v>
      </c>
      <c r="BY2075">
        <v>1200</v>
      </c>
      <c r="CA2075" t="s">
        <v>448</v>
      </c>
      <c r="CC2075" t="s">
        <v>113</v>
      </c>
      <c r="CD2075">
        <v>4001</v>
      </c>
      <c r="CE2075" t="s">
        <v>147</v>
      </c>
      <c r="CF2075" s="3">
        <v>43789</v>
      </c>
      <c r="CI2075">
        <v>1</v>
      </c>
      <c r="CJ2075">
        <v>1</v>
      </c>
      <c r="CK2075">
        <v>21</v>
      </c>
      <c r="CL2075" t="s">
        <v>89</v>
      </c>
    </row>
    <row r="2076" spans="1:90">
      <c r="A2076" t="s">
        <v>72</v>
      </c>
      <c r="B2076" t="s">
        <v>73</v>
      </c>
      <c r="C2076" t="s">
        <v>74</v>
      </c>
      <c r="E2076" t="str">
        <f>"FES1162723591"</f>
        <v>FES1162723591</v>
      </c>
      <c r="F2076" s="3">
        <v>43787</v>
      </c>
      <c r="G2076">
        <v>202005</v>
      </c>
      <c r="H2076" t="s">
        <v>75</v>
      </c>
      <c r="I2076" t="s">
        <v>76</v>
      </c>
      <c r="J2076" t="s">
        <v>77</v>
      </c>
      <c r="K2076" t="s">
        <v>78</v>
      </c>
      <c r="L2076" t="s">
        <v>112</v>
      </c>
      <c r="M2076" t="s">
        <v>113</v>
      </c>
      <c r="N2076" t="s">
        <v>268</v>
      </c>
      <c r="O2076" t="s">
        <v>82</v>
      </c>
      <c r="P2076" t="str">
        <f>"2170717456                    "</f>
        <v xml:space="preserve">2170717456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8.58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 s="4">
        <v>50.45</v>
      </c>
      <c r="BM2076" s="4">
        <v>7.57</v>
      </c>
      <c r="BN2076" s="4">
        <v>58.02</v>
      </c>
      <c r="BO2076" s="4">
        <v>58.02</v>
      </c>
      <c r="BQ2076" t="s">
        <v>109</v>
      </c>
      <c r="BR2076" t="s">
        <v>84</v>
      </c>
      <c r="BS2076" s="3">
        <v>43788</v>
      </c>
      <c r="BT2076" s="5">
        <v>0.41388888888888892</v>
      </c>
      <c r="BU2076" t="s">
        <v>2373</v>
      </c>
      <c r="BV2076" t="s">
        <v>86</v>
      </c>
      <c r="BY2076">
        <v>1200</v>
      </c>
      <c r="CA2076" t="s">
        <v>448</v>
      </c>
      <c r="CC2076" t="s">
        <v>113</v>
      </c>
      <c r="CD2076">
        <v>4001</v>
      </c>
      <c r="CE2076" t="s">
        <v>147</v>
      </c>
      <c r="CF2076" s="3">
        <v>43789</v>
      </c>
      <c r="CI2076">
        <v>1</v>
      </c>
      <c r="CJ2076">
        <v>1</v>
      </c>
      <c r="CK2076">
        <v>21</v>
      </c>
      <c r="CL2076" t="s">
        <v>89</v>
      </c>
    </row>
    <row r="2077" spans="1:90">
      <c r="A2077" t="s">
        <v>72</v>
      </c>
      <c r="B2077" t="s">
        <v>73</v>
      </c>
      <c r="C2077" t="s">
        <v>74</v>
      </c>
      <c r="E2077" t="str">
        <f>"FES1162723585"</f>
        <v>FES1162723585</v>
      </c>
      <c r="F2077" s="3">
        <v>43787</v>
      </c>
      <c r="G2077">
        <v>202005</v>
      </c>
      <c r="H2077" t="s">
        <v>75</v>
      </c>
      <c r="I2077" t="s">
        <v>76</v>
      </c>
      <c r="J2077" t="s">
        <v>77</v>
      </c>
      <c r="K2077" t="s">
        <v>78</v>
      </c>
      <c r="L2077" t="s">
        <v>176</v>
      </c>
      <c r="M2077" t="s">
        <v>177</v>
      </c>
      <c r="N2077" t="s">
        <v>1209</v>
      </c>
      <c r="O2077" t="s">
        <v>82</v>
      </c>
      <c r="P2077" t="str">
        <f>"2170717539                    "</f>
        <v xml:space="preserve">2170717539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72.91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9.1999999999999993</v>
      </c>
      <c r="BJ2077">
        <v>16.8</v>
      </c>
      <c r="BK2077">
        <v>17</v>
      </c>
      <c r="BL2077" s="4">
        <v>428.58</v>
      </c>
      <c r="BM2077" s="4">
        <v>64.290000000000006</v>
      </c>
      <c r="BN2077" s="4">
        <v>492.87</v>
      </c>
      <c r="BO2077" s="4">
        <v>492.87</v>
      </c>
      <c r="BQ2077" t="s">
        <v>121</v>
      </c>
      <c r="BR2077" t="s">
        <v>84</v>
      </c>
      <c r="BS2077" s="3">
        <v>43788</v>
      </c>
      <c r="BT2077" s="5">
        <v>0.43263888888888885</v>
      </c>
      <c r="BU2077" t="s">
        <v>1211</v>
      </c>
      <c r="BV2077" t="s">
        <v>86</v>
      </c>
      <c r="BY2077">
        <v>83889.23</v>
      </c>
      <c r="CA2077" t="s">
        <v>224</v>
      </c>
      <c r="CC2077" t="s">
        <v>177</v>
      </c>
      <c r="CD2077">
        <v>3600</v>
      </c>
      <c r="CE2077" t="s">
        <v>88</v>
      </c>
      <c r="CF2077" s="3">
        <v>43789</v>
      </c>
      <c r="CI2077">
        <v>1</v>
      </c>
      <c r="CJ2077">
        <v>1</v>
      </c>
      <c r="CK2077">
        <v>21</v>
      </c>
      <c r="CL2077" t="s">
        <v>89</v>
      </c>
    </row>
    <row r="2078" spans="1:90">
      <c r="A2078" t="s">
        <v>72</v>
      </c>
      <c r="B2078" t="s">
        <v>73</v>
      </c>
      <c r="C2078" t="s">
        <v>74</v>
      </c>
      <c r="E2078" t="str">
        <f>"FES1162723560"</f>
        <v>FES1162723560</v>
      </c>
      <c r="F2078" s="3">
        <v>43787</v>
      </c>
      <c r="G2078">
        <v>202005</v>
      </c>
      <c r="H2078" t="s">
        <v>75</v>
      </c>
      <c r="I2078" t="s">
        <v>76</v>
      </c>
      <c r="J2078" t="s">
        <v>77</v>
      </c>
      <c r="K2078" t="s">
        <v>78</v>
      </c>
      <c r="L2078" t="s">
        <v>925</v>
      </c>
      <c r="M2078" t="s">
        <v>926</v>
      </c>
      <c r="N2078" t="s">
        <v>927</v>
      </c>
      <c r="O2078" t="s">
        <v>82</v>
      </c>
      <c r="P2078" t="str">
        <f>"217071515                     "</f>
        <v xml:space="preserve">217071515 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12.07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 s="4">
        <v>70.95</v>
      </c>
      <c r="BM2078" s="4">
        <v>10.64</v>
      </c>
      <c r="BN2078" s="4">
        <v>81.59</v>
      </c>
      <c r="BO2078" s="4">
        <v>81.59</v>
      </c>
      <c r="BQ2078" t="s">
        <v>109</v>
      </c>
      <c r="BR2078" t="s">
        <v>84</v>
      </c>
      <c r="BS2078" s="3">
        <v>43788</v>
      </c>
      <c r="BT2078" s="5">
        <v>0.64236111111111105</v>
      </c>
      <c r="BU2078" t="s">
        <v>1948</v>
      </c>
      <c r="BV2078" t="s">
        <v>86</v>
      </c>
      <c r="BY2078">
        <v>1200</v>
      </c>
      <c r="CA2078" t="s">
        <v>929</v>
      </c>
      <c r="CC2078" t="s">
        <v>926</v>
      </c>
      <c r="CD2078">
        <v>1028</v>
      </c>
      <c r="CE2078" t="s">
        <v>147</v>
      </c>
      <c r="CF2078" s="3">
        <v>43790</v>
      </c>
      <c r="CI2078">
        <v>1</v>
      </c>
      <c r="CJ2078">
        <v>1</v>
      </c>
      <c r="CK2078">
        <v>24</v>
      </c>
      <c r="CL2078" t="s">
        <v>89</v>
      </c>
    </row>
    <row r="2079" spans="1:90">
      <c r="A2079" t="s">
        <v>72</v>
      </c>
      <c r="B2079" t="s">
        <v>73</v>
      </c>
      <c r="C2079" t="s">
        <v>74</v>
      </c>
      <c r="E2079" t="str">
        <f>"FES1162723658"</f>
        <v>FES1162723658</v>
      </c>
      <c r="F2079" s="3">
        <v>43787</v>
      </c>
      <c r="G2079">
        <v>202005</v>
      </c>
      <c r="H2079" t="s">
        <v>75</v>
      </c>
      <c r="I2079" t="s">
        <v>76</v>
      </c>
      <c r="J2079" t="s">
        <v>77</v>
      </c>
      <c r="K2079" t="s">
        <v>78</v>
      </c>
      <c r="L2079" t="s">
        <v>75</v>
      </c>
      <c r="M2079" t="s">
        <v>76</v>
      </c>
      <c r="N2079" t="s">
        <v>989</v>
      </c>
      <c r="O2079" t="s">
        <v>82</v>
      </c>
      <c r="P2079" t="str">
        <f>"2170712775                    "</f>
        <v xml:space="preserve">2170712775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6.71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 s="4">
        <v>39.42</v>
      </c>
      <c r="BM2079" s="4">
        <v>5.91</v>
      </c>
      <c r="BN2079" s="4">
        <v>45.33</v>
      </c>
      <c r="BO2079" s="4">
        <v>45.33</v>
      </c>
      <c r="BQ2079" t="s">
        <v>121</v>
      </c>
      <c r="BR2079" t="s">
        <v>84</v>
      </c>
      <c r="BS2079" s="3">
        <v>43788</v>
      </c>
      <c r="BT2079" s="5">
        <v>0.33333333333333331</v>
      </c>
      <c r="BU2079" t="s">
        <v>1622</v>
      </c>
      <c r="BV2079" t="s">
        <v>86</v>
      </c>
      <c r="BY2079">
        <v>1200</v>
      </c>
      <c r="CA2079" t="s">
        <v>368</v>
      </c>
      <c r="CC2079" t="s">
        <v>76</v>
      </c>
      <c r="CD2079">
        <v>1600</v>
      </c>
      <c r="CE2079" t="s">
        <v>147</v>
      </c>
      <c r="CI2079">
        <v>1</v>
      </c>
      <c r="CJ2079">
        <v>1</v>
      </c>
      <c r="CK2079">
        <v>22</v>
      </c>
      <c r="CL2079" t="s">
        <v>89</v>
      </c>
    </row>
    <row r="2080" spans="1:90">
      <c r="A2080" t="s">
        <v>72</v>
      </c>
      <c r="B2080" t="s">
        <v>73</v>
      </c>
      <c r="C2080" t="s">
        <v>74</v>
      </c>
      <c r="E2080" t="str">
        <f>"FES1162723595"</f>
        <v>FES1162723595</v>
      </c>
      <c r="F2080" s="3">
        <v>43787</v>
      </c>
      <c r="G2080">
        <v>202005</v>
      </c>
      <c r="H2080" t="s">
        <v>75</v>
      </c>
      <c r="I2080" t="s">
        <v>76</v>
      </c>
      <c r="J2080" t="s">
        <v>77</v>
      </c>
      <c r="K2080" t="s">
        <v>78</v>
      </c>
      <c r="L2080" t="s">
        <v>176</v>
      </c>
      <c r="M2080" t="s">
        <v>177</v>
      </c>
      <c r="N2080" t="s">
        <v>222</v>
      </c>
      <c r="O2080" t="s">
        <v>82</v>
      </c>
      <c r="P2080" t="str">
        <f>"2170717549                    "</f>
        <v xml:space="preserve">2170717549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8.58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 s="4">
        <v>50.45</v>
      </c>
      <c r="BM2080" s="4">
        <v>7.57</v>
      </c>
      <c r="BN2080" s="4">
        <v>58.02</v>
      </c>
      <c r="BO2080" s="4">
        <v>58.02</v>
      </c>
      <c r="BQ2080" t="s">
        <v>121</v>
      </c>
      <c r="BR2080" t="s">
        <v>84</v>
      </c>
      <c r="BS2080" s="3">
        <v>43788</v>
      </c>
      <c r="BT2080" s="5">
        <v>0.4145833333333333</v>
      </c>
      <c r="BU2080" t="s">
        <v>223</v>
      </c>
      <c r="BV2080" t="s">
        <v>86</v>
      </c>
      <c r="BY2080">
        <v>1200</v>
      </c>
      <c r="CA2080" t="s">
        <v>224</v>
      </c>
      <c r="CC2080" t="s">
        <v>177</v>
      </c>
      <c r="CD2080">
        <v>3610</v>
      </c>
      <c r="CE2080" t="s">
        <v>147</v>
      </c>
      <c r="CF2080" s="3">
        <v>43789</v>
      </c>
      <c r="CI2080">
        <v>1</v>
      </c>
      <c r="CJ2080">
        <v>1</v>
      </c>
      <c r="CK2080">
        <v>21</v>
      </c>
      <c r="CL2080" t="s">
        <v>89</v>
      </c>
    </row>
    <row r="2081" spans="1:90">
      <c r="A2081" t="s">
        <v>72</v>
      </c>
      <c r="B2081" t="s">
        <v>73</v>
      </c>
      <c r="C2081" t="s">
        <v>74</v>
      </c>
      <c r="E2081" t="str">
        <f>"FES1162723576"</f>
        <v>FES1162723576</v>
      </c>
      <c r="F2081" s="3">
        <v>43787</v>
      </c>
      <c r="G2081">
        <v>202005</v>
      </c>
      <c r="H2081" t="s">
        <v>75</v>
      </c>
      <c r="I2081" t="s">
        <v>76</v>
      </c>
      <c r="J2081" t="s">
        <v>77</v>
      </c>
      <c r="K2081" t="s">
        <v>78</v>
      </c>
      <c r="L2081" t="s">
        <v>112</v>
      </c>
      <c r="M2081" t="s">
        <v>113</v>
      </c>
      <c r="N2081" t="s">
        <v>637</v>
      </c>
      <c r="O2081" t="s">
        <v>82</v>
      </c>
      <c r="P2081" t="str">
        <f>"2170717529                    "</f>
        <v xml:space="preserve">2170717529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8.58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 s="4">
        <v>50.45</v>
      </c>
      <c r="BM2081" s="4">
        <v>7.57</v>
      </c>
      <c r="BN2081" s="4">
        <v>58.02</v>
      </c>
      <c r="BO2081" s="4">
        <v>58.02</v>
      </c>
      <c r="BQ2081" t="s">
        <v>121</v>
      </c>
      <c r="BR2081" t="s">
        <v>84</v>
      </c>
      <c r="BS2081" s="3">
        <v>43788</v>
      </c>
      <c r="BT2081" s="5">
        <v>0.37708333333333338</v>
      </c>
      <c r="BU2081" t="s">
        <v>2374</v>
      </c>
      <c r="BV2081" t="s">
        <v>86</v>
      </c>
      <c r="BY2081">
        <v>1200</v>
      </c>
      <c r="CA2081" t="s">
        <v>146</v>
      </c>
      <c r="CC2081" t="s">
        <v>113</v>
      </c>
      <c r="CD2081">
        <v>4052</v>
      </c>
      <c r="CE2081" t="s">
        <v>147</v>
      </c>
      <c r="CF2081" s="3">
        <v>43789</v>
      </c>
      <c r="CI2081">
        <v>1</v>
      </c>
      <c r="CJ2081">
        <v>1</v>
      </c>
      <c r="CK2081">
        <v>21</v>
      </c>
      <c r="CL2081" t="s">
        <v>89</v>
      </c>
    </row>
    <row r="2082" spans="1:90">
      <c r="A2082" t="s">
        <v>72</v>
      </c>
      <c r="B2082" t="s">
        <v>73</v>
      </c>
      <c r="C2082" t="s">
        <v>74</v>
      </c>
      <c r="E2082" t="str">
        <f>"FES1162723612"</f>
        <v>FES1162723612</v>
      </c>
      <c r="F2082" s="3">
        <v>43787</v>
      </c>
      <c r="G2082">
        <v>202005</v>
      </c>
      <c r="H2082" t="s">
        <v>75</v>
      </c>
      <c r="I2082" t="s">
        <v>76</v>
      </c>
      <c r="J2082" t="s">
        <v>77</v>
      </c>
      <c r="K2082" t="s">
        <v>78</v>
      </c>
      <c r="L2082" t="s">
        <v>176</v>
      </c>
      <c r="M2082" t="s">
        <v>177</v>
      </c>
      <c r="N2082" t="s">
        <v>419</v>
      </c>
      <c r="O2082" t="s">
        <v>82</v>
      </c>
      <c r="P2082" t="str">
        <f>"2170717568                    "</f>
        <v xml:space="preserve">2170717568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8.58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 s="4">
        <v>50.45</v>
      </c>
      <c r="BM2082" s="4">
        <v>7.57</v>
      </c>
      <c r="BN2082" s="4">
        <v>58.02</v>
      </c>
      <c r="BO2082" s="4">
        <v>58.02</v>
      </c>
      <c r="BQ2082" t="s">
        <v>109</v>
      </c>
      <c r="BR2082" t="s">
        <v>84</v>
      </c>
      <c r="BS2082" s="3">
        <v>43788</v>
      </c>
      <c r="BT2082" s="5">
        <v>0.40347222222222223</v>
      </c>
      <c r="BU2082" t="s">
        <v>2327</v>
      </c>
      <c r="BV2082" t="s">
        <v>86</v>
      </c>
      <c r="BY2082">
        <v>1200</v>
      </c>
      <c r="CA2082" t="s">
        <v>224</v>
      </c>
      <c r="CC2082" t="s">
        <v>177</v>
      </c>
      <c r="CD2082">
        <v>3620</v>
      </c>
      <c r="CE2082" t="s">
        <v>147</v>
      </c>
      <c r="CF2082" s="3">
        <v>43789</v>
      </c>
      <c r="CI2082">
        <v>1</v>
      </c>
      <c r="CJ2082">
        <v>1</v>
      </c>
      <c r="CK2082">
        <v>21</v>
      </c>
      <c r="CL2082" t="s">
        <v>89</v>
      </c>
    </row>
    <row r="2083" spans="1:90">
      <c r="A2083" t="s">
        <v>72</v>
      </c>
      <c r="B2083" t="s">
        <v>73</v>
      </c>
      <c r="C2083" t="s">
        <v>74</v>
      </c>
      <c r="E2083" t="str">
        <f>"FES1162723602"</f>
        <v>FES1162723602</v>
      </c>
      <c r="F2083" s="3">
        <v>43787</v>
      </c>
      <c r="G2083">
        <v>202005</v>
      </c>
      <c r="H2083" t="s">
        <v>75</v>
      </c>
      <c r="I2083" t="s">
        <v>76</v>
      </c>
      <c r="J2083" t="s">
        <v>77</v>
      </c>
      <c r="K2083" t="s">
        <v>78</v>
      </c>
      <c r="L2083" t="s">
        <v>90</v>
      </c>
      <c r="M2083" t="s">
        <v>91</v>
      </c>
      <c r="N2083" t="s">
        <v>393</v>
      </c>
      <c r="O2083" t="s">
        <v>82</v>
      </c>
      <c r="P2083" t="str">
        <f>"2170717563                    "</f>
        <v xml:space="preserve">2170717563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15.02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2.1</v>
      </c>
      <c r="BJ2083">
        <v>3.2</v>
      </c>
      <c r="BK2083">
        <v>3.5</v>
      </c>
      <c r="BL2083" s="4">
        <v>88.27</v>
      </c>
      <c r="BM2083" s="4">
        <v>13.24</v>
      </c>
      <c r="BN2083" s="4">
        <v>101.51</v>
      </c>
      <c r="BO2083" s="4">
        <v>101.51</v>
      </c>
      <c r="BQ2083" t="s">
        <v>2127</v>
      </c>
      <c r="BR2083" t="s">
        <v>84</v>
      </c>
      <c r="BS2083" s="3">
        <v>43788</v>
      </c>
      <c r="BT2083" s="5">
        <v>0.28819444444444448</v>
      </c>
      <c r="BU2083" t="s">
        <v>2360</v>
      </c>
      <c r="BV2083" t="s">
        <v>86</v>
      </c>
      <c r="BY2083">
        <v>15930.51</v>
      </c>
      <c r="CA2083" t="s">
        <v>221</v>
      </c>
      <c r="CC2083" t="s">
        <v>91</v>
      </c>
      <c r="CD2083">
        <v>7405</v>
      </c>
      <c r="CE2083" t="s">
        <v>88</v>
      </c>
      <c r="CF2083" s="3">
        <v>43789</v>
      </c>
      <c r="CI2083">
        <v>1</v>
      </c>
      <c r="CJ2083">
        <v>1</v>
      </c>
      <c r="CK2083">
        <v>21</v>
      </c>
      <c r="CL2083" t="s">
        <v>89</v>
      </c>
    </row>
    <row r="2084" spans="1:90">
      <c r="A2084" t="s">
        <v>72</v>
      </c>
      <c r="B2084" t="s">
        <v>73</v>
      </c>
      <c r="C2084" t="s">
        <v>74</v>
      </c>
      <c r="E2084" t="str">
        <f>"FES1162723702"</f>
        <v>FES1162723702</v>
      </c>
      <c r="F2084" s="3">
        <v>43787</v>
      </c>
      <c r="G2084">
        <v>202005</v>
      </c>
      <c r="H2084" t="s">
        <v>75</v>
      </c>
      <c r="I2084" t="s">
        <v>76</v>
      </c>
      <c r="J2084" t="s">
        <v>77</v>
      </c>
      <c r="K2084" t="s">
        <v>78</v>
      </c>
      <c r="L2084" t="s">
        <v>90</v>
      </c>
      <c r="M2084" t="s">
        <v>91</v>
      </c>
      <c r="N2084" t="s">
        <v>650</v>
      </c>
      <c r="O2084" t="s">
        <v>82</v>
      </c>
      <c r="P2084" t="str">
        <f>"2170717667                    "</f>
        <v xml:space="preserve">2170717667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8.58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 s="4">
        <v>50.45</v>
      </c>
      <c r="BM2084" s="4">
        <v>7.57</v>
      </c>
      <c r="BN2084" s="4">
        <v>58.02</v>
      </c>
      <c r="BO2084" s="4">
        <v>58.02</v>
      </c>
      <c r="BQ2084" t="s">
        <v>121</v>
      </c>
      <c r="BR2084" t="s">
        <v>84</v>
      </c>
      <c r="BS2084" s="3">
        <v>43788</v>
      </c>
      <c r="BT2084" s="5">
        <v>0.36874999999999997</v>
      </c>
      <c r="BU2084" t="s">
        <v>651</v>
      </c>
      <c r="BV2084" t="s">
        <v>86</v>
      </c>
      <c r="BY2084">
        <v>1200</v>
      </c>
      <c r="CA2084" t="s">
        <v>213</v>
      </c>
      <c r="CC2084" t="s">
        <v>91</v>
      </c>
      <c r="CD2084">
        <v>7441</v>
      </c>
      <c r="CE2084" t="s">
        <v>147</v>
      </c>
      <c r="CF2084" s="3">
        <v>43789</v>
      </c>
      <c r="CI2084">
        <v>1</v>
      </c>
      <c r="CJ2084">
        <v>1</v>
      </c>
      <c r="CK2084">
        <v>21</v>
      </c>
      <c r="CL2084" t="s">
        <v>89</v>
      </c>
    </row>
    <row r="2085" spans="1:90">
      <c r="A2085" t="s">
        <v>72</v>
      </c>
      <c r="B2085" t="s">
        <v>73</v>
      </c>
      <c r="C2085" t="s">
        <v>74</v>
      </c>
      <c r="E2085" t="str">
        <f>"FES1162723651"</f>
        <v>FES1162723651</v>
      </c>
      <c r="F2085" s="3">
        <v>43787</v>
      </c>
      <c r="G2085">
        <v>202005</v>
      </c>
      <c r="H2085" t="s">
        <v>75</v>
      </c>
      <c r="I2085" t="s">
        <v>76</v>
      </c>
      <c r="J2085" t="s">
        <v>77</v>
      </c>
      <c r="K2085" t="s">
        <v>78</v>
      </c>
      <c r="L2085" t="s">
        <v>339</v>
      </c>
      <c r="M2085" t="s">
        <v>340</v>
      </c>
      <c r="N2085" t="s">
        <v>718</v>
      </c>
      <c r="O2085" t="s">
        <v>82</v>
      </c>
      <c r="P2085" t="str">
        <f>"2170717606                    "</f>
        <v xml:space="preserve">2170717606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8.58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 s="4">
        <v>50.45</v>
      </c>
      <c r="BM2085" s="4">
        <v>7.57</v>
      </c>
      <c r="BN2085" s="4">
        <v>58.02</v>
      </c>
      <c r="BO2085" s="4">
        <v>58.02</v>
      </c>
      <c r="BR2085" t="s">
        <v>84</v>
      </c>
      <c r="BS2085" s="3">
        <v>43788</v>
      </c>
      <c r="BT2085" s="5">
        <v>0.4236111111111111</v>
      </c>
      <c r="BU2085" t="s">
        <v>2375</v>
      </c>
      <c r="BV2085" t="s">
        <v>86</v>
      </c>
      <c r="BY2085">
        <v>1200</v>
      </c>
      <c r="CA2085" t="s">
        <v>2376</v>
      </c>
      <c r="CC2085" t="s">
        <v>340</v>
      </c>
      <c r="CD2085">
        <v>157</v>
      </c>
      <c r="CE2085" t="s">
        <v>147</v>
      </c>
      <c r="CF2085" s="3">
        <v>43789</v>
      </c>
      <c r="CI2085">
        <v>1</v>
      </c>
      <c r="CJ2085">
        <v>1</v>
      </c>
      <c r="CK2085">
        <v>21</v>
      </c>
      <c r="CL2085" t="s">
        <v>89</v>
      </c>
    </row>
    <row r="2086" spans="1:90">
      <c r="A2086" t="s">
        <v>72</v>
      </c>
      <c r="B2086" t="s">
        <v>73</v>
      </c>
      <c r="C2086" t="s">
        <v>74</v>
      </c>
      <c r="E2086" t="str">
        <f>"FES1162723670"</f>
        <v>FES1162723670</v>
      </c>
      <c r="F2086" s="3">
        <v>43787</v>
      </c>
      <c r="G2086">
        <v>202005</v>
      </c>
      <c r="H2086" t="s">
        <v>75</v>
      </c>
      <c r="I2086" t="s">
        <v>76</v>
      </c>
      <c r="J2086" t="s">
        <v>77</v>
      </c>
      <c r="K2086" t="s">
        <v>78</v>
      </c>
      <c r="L2086" t="s">
        <v>106</v>
      </c>
      <c r="M2086" t="s">
        <v>107</v>
      </c>
      <c r="N2086" t="s">
        <v>108</v>
      </c>
      <c r="O2086" t="s">
        <v>82</v>
      </c>
      <c r="P2086" t="str">
        <f>"2170717624                    "</f>
        <v xml:space="preserve">2170717624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51.47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2</v>
      </c>
      <c r="BI2086">
        <v>11.9</v>
      </c>
      <c r="BJ2086">
        <v>3.5</v>
      </c>
      <c r="BK2086">
        <v>12</v>
      </c>
      <c r="BL2086" s="4">
        <v>302.54000000000002</v>
      </c>
      <c r="BM2086" s="4">
        <v>45.38</v>
      </c>
      <c r="BN2086" s="4">
        <v>347.92</v>
      </c>
      <c r="BO2086" s="4">
        <v>347.92</v>
      </c>
      <c r="BQ2086" t="s">
        <v>109</v>
      </c>
      <c r="BR2086" t="s">
        <v>84</v>
      </c>
      <c r="BS2086" s="3">
        <v>43788</v>
      </c>
      <c r="BT2086" s="5">
        <v>0.36805555555555558</v>
      </c>
      <c r="BU2086" t="s">
        <v>110</v>
      </c>
      <c r="BV2086" t="s">
        <v>86</v>
      </c>
      <c r="BY2086">
        <v>17663.86</v>
      </c>
      <c r="CA2086" t="s">
        <v>111</v>
      </c>
      <c r="CC2086" t="s">
        <v>107</v>
      </c>
      <c r="CD2086">
        <v>6001</v>
      </c>
      <c r="CE2086" t="s">
        <v>1892</v>
      </c>
      <c r="CF2086" s="3">
        <v>43789</v>
      </c>
      <c r="CI2086">
        <v>1</v>
      </c>
      <c r="CJ2086">
        <v>1</v>
      </c>
      <c r="CK2086">
        <v>21</v>
      </c>
      <c r="CL2086" t="s">
        <v>89</v>
      </c>
    </row>
    <row r="2087" spans="1:90">
      <c r="A2087" t="s">
        <v>72</v>
      </c>
      <c r="B2087" t="s">
        <v>73</v>
      </c>
      <c r="C2087" t="s">
        <v>74</v>
      </c>
      <c r="E2087" t="str">
        <f>"FES1162723590"</f>
        <v>FES1162723590</v>
      </c>
      <c r="F2087" s="3">
        <v>43787</v>
      </c>
      <c r="G2087">
        <v>202005</v>
      </c>
      <c r="H2087" t="s">
        <v>75</v>
      </c>
      <c r="I2087" t="s">
        <v>76</v>
      </c>
      <c r="J2087" t="s">
        <v>77</v>
      </c>
      <c r="K2087" t="s">
        <v>78</v>
      </c>
      <c r="L2087" t="s">
        <v>118</v>
      </c>
      <c r="M2087" t="s">
        <v>119</v>
      </c>
      <c r="N2087" t="s">
        <v>630</v>
      </c>
      <c r="O2087" t="s">
        <v>282</v>
      </c>
      <c r="P2087" t="str">
        <f>"2170717545                    "</f>
        <v xml:space="preserve">2170717545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21.62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2</v>
      </c>
      <c r="BI2087">
        <v>21</v>
      </c>
      <c r="BJ2087">
        <v>12.7</v>
      </c>
      <c r="BK2087">
        <v>21</v>
      </c>
      <c r="BL2087" s="4">
        <v>132.06</v>
      </c>
      <c r="BM2087" s="4">
        <v>19.809999999999999</v>
      </c>
      <c r="BN2087" s="4">
        <v>151.87</v>
      </c>
      <c r="BO2087" s="4">
        <v>151.87</v>
      </c>
      <c r="BQ2087" t="s">
        <v>121</v>
      </c>
      <c r="BR2087" t="s">
        <v>84</v>
      </c>
      <c r="BS2087" s="3">
        <v>43788</v>
      </c>
      <c r="BT2087" s="5">
        <v>0.33680555555555558</v>
      </c>
      <c r="BU2087" t="s">
        <v>2286</v>
      </c>
      <c r="BV2087" t="s">
        <v>86</v>
      </c>
      <c r="BY2087">
        <v>63402.03</v>
      </c>
      <c r="CA2087" t="s">
        <v>2287</v>
      </c>
      <c r="CC2087" t="s">
        <v>119</v>
      </c>
      <c r="CD2087">
        <v>3201</v>
      </c>
      <c r="CE2087" t="s">
        <v>1892</v>
      </c>
      <c r="CF2087" s="3">
        <v>43789</v>
      </c>
      <c r="CI2087">
        <v>1</v>
      </c>
      <c r="CJ2087">
        <v>1</v>
      </c>
      <c r="CK2087" t="s">
        <v>2377</v>
      </c>
      <c r="CL2087" t="s">
        <v>89</v>
      </c>
    </row>
    <row r="2088" spans="1:90">
      <c r="A2088" t="s">
        <v>72</v>
      </c>
      <c r="B2088" t="s">
        <v>73</v>
      </c>
      <c r="C2088" t="s">
        <v>74</v>
      </c>
      <c r="E2088" t="str">
        <f>"FES1162722241"</f>
        <v>FES1162722241</v>
      </c>
      <c r="F2088" s="3">
        <v>43787</v>
      </c>
      <c r="G2088">
        <v>202005</v>
      </c>
      <c r="H2088" t="s">
        <v>75</v>
      </c>
      <c r="I2088" t="s">
        <v>76</v>
      </c>
      <c r="J2088" t="s">
        <v>77</v>
      </c>
      <c r="K2088" t="s">
        <v>78</v>
      </c>
      <c r="L2088" t="s">
        <v>292</v>
      </c>
      <c r="M2088" t="s">
        <v>293</v>
      </c>
      <c r="N2088" t="s">
        <v>294</v>
      </c>
      <c r="O2088" t="s">
        <v>282</v>
      </c>
      <c r="P2088" t="str">
        <f>"2170712337                    "</f>
        <v xml:space="preserve">2170712337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20.21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21.2</v>
      </c>
      <c r="BJ2088">
        <v>8.6999999999999993</v>
      </c>
      <c r="BK2088">
        <v>22</v>
      </c>
      <c r="BL2088" s="4">
        <v>123.8</v>
      </c>
      <c r="BM2088" s="4">
        <v>18.57</v>
      </c>
      <c r="BN2088" s="4">
        <v>142.37</v>
      </c>
      <c r="BO2088" s="4">
        <v>142.37</v>
      </c>
      <c r="BQ2088" t="s">
        <v>121</v>
      </c>
      <c r="BR2088" t="s">
        <v>84</v>
      </c>
      <c r="BS2088" s="3">
        <v>43788</v>
      </c>
      <c r="BT2088" s="5">
        <v>0.3263888888888889</v>
      </c>
      <c r="BU2088" t="s">
        <v>2378</v>
      </c>
      <c r="BV2088" t="s">
        <v>86</v>
      </c>
      <c r="BY2088">
        <v>43397.41</v>
      </c>
      <c r="CC2088" t="s">
        <v>293</v>
      </c>
      <c r="CD2088">
        <v>1947</v>
      </c>
      <c r="CE2088" t="s">
        <v>88</v>
      </c>
      <c r="CF2088" s="3">
        <v>43789</v>
      </c>
      <c r="CI2088">
        <v>1</v>
      </c>
      <c r="CJ2088">
        <v>1</v>
      </c>
      <c r="CK2088" t="s">
        <v>289</v>
      </c>
      <c r="CL2088" t="s">
        <v>89</v>
      </c>
    </row>
    <row r="2089" spans="1:90">
      <c r="A2089" t="s">
        <v>72</v>
      </c>
      <c r="B2089" t="s">
        <v>73</v>
      </c>
      <c r="C2089" t="s">
        <v>74</v>
      </c>
      <c r="E2089" t="str">
        <f>"FES1162723550"</f>
        <v>FES1162723550</v>
      </c>
      <c r="F2089" s="3">
        <v>43787</v>
      </c>
      <c r="G2089">
        <v>202005</v>
      </c>
      <c r="H2089" t="s">
        <v>75</v>
      </c>
      <c r="I2089" t="s">
        <v>76</v>
      </c>
      <c r="J2089" t="s">
        <v>77</v>
      </c>
      <c r="K2089" t="s">
        <v>78</v>
      </c>
      <c r="L2089" t="s">
        <v>344</v>
      </c>
      <c r="M2089" t="s">
        <v>345</v>
      </c>
      <c r="N2089" t="s">
        <v>2379</v>
      </c>
      <c r="O2089" t="s">
        <v>282</v>
      </c>
      <c r="P2089" t="str">
        <f>"2170717507                    "</f>
        <v xml:space="preserve">2170717507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18.940000000000001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23.3</v>
      </c>
      <c r="BJ2089">
        <v>31.7</v>
      </c>
      <c r="BK2089">
        <v>32</v>
      </c>
      <c r="BL2089" s="4">
        <v>116.31</v>
      </c>
      <c r="BM2089" s="4">
        <v>17.45</v>
      </c>
      <c r="BN2089" s="4">
        <v>133.76</v>
      </c>
      <c r="BO2089" s="4">
        <v>133.76</v>
      </c>
      <c r="BQ2089" t="s">
        <v>142</v>
      </c>
      <c r="BR2089" t="s">
        <v>84</v>
      </c>
      <c r="BS2089" s="3">
        <v>43788</v>
      </c>
      <c r="BT2089" s="5">
        <v>0.43333333333333335</v>
      </c>
      <c r="BU2089" t="s">
        <v>2380</v>
      </c>
      <c r="BV2089" t="s">
        <v>86</v>
      </c>
      <c r="BY2089">
        <v>158299.1</v>
      </c>
      <c r="CA2089" t="s">
        <v>2381</v>
      </c>
      <c r="CC2089" t="s">
        <v>345</v>
      </c>
      <c r="CD2089">
        <v>2162</v>
      </c>
      <c r="CE2089" t="s">
        <v>88</v>
      </c>
      <c r="CI2089">
        <v>1</v>
      </c>
      <c r="CJ2089">
        <v>1</v>
      </c>
      <c r="CK2089" t="s">
        <v>379</v>
      </c>
      <c r="CL2089" t="s">
        <v>89</v>
      </c>
    </row>
    <row r="2090" spans="1:90">
      <c r="A2090" t="s">
        <v>72</v>
      </c>
      <c r="B2090" t="s">
        <v>73</v>
      </c>
      <c r="C2090" t="s">
        <v>74</v>
      </c>
      <c r="E2090" t="str">
        <f>"FES1162723642"</f>
        <v>FES1162723642</v>
      </c>
      <c r="F2090" s="3">
        <v>43787</v>
      </c>
      <c r="G2090">
        <v>202005</v>
      </c>
      <c r="H2090" t="s">
        <v>75</v>
      </c>
      <c r="I2090" t="s">
        <v>76</v>
      </c>
      <c r="J2090" t="s">
        <v>77</v>
      </c>
      <c r="K2090" t="s">
        <v>78</v>
      </c>
      <c r="L2090" t="s">
        <v>118</v>
      </c>
      <c r="M2090" t="s">
        <v>119</v>
      </c>
      <c r="N2090" t="s">
        <v>2243</v>
      </c>
      <c r="O2090" t="s">
        <v>282</v>
      </c>
      <c r="P2090" t="str">
        <f>"2170717596                    "</f>
        <v xml:space="preserve">2170717596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30.68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20</v>
      </c>
      <c r="BJ2090">
        <v>33.299999999999997</v>
      </c>
      <c r="BK2090">
        <v>34</v>
      </c>
      <c r="BL2090" s="4">
        <v>185.32</v>
      </c>
      <c r="BM2090" s="4">
        <v>27.8</v>
      </c>
      <c r="BN2090" s="4">
        <v>213.12</v>
      </c>
      <c r="BO2090" s="4">
        <v>213.12</v>
      </c>
      <c r="BQ2090" t="s">
        <v>109</v>
      </c>
      <c r="BR2090" t="s">
        <v>84</v>
      </c>
      <c r="BS2090" s="3">
        <v>43788</v>
      </c>
      <c r="BT2090" s="5">
        <v>0.4201388888888889</v>
      </c>
      <c r="BU2090" t="s">
        <v>2382</v>
      </c>
      <c r="BV2090" t="s">
        <v>86</v>
      </c>
      <c r="BY2090">
        <v>166408.20000000001</v>
      </c>
      <c r="CA2090" t="s">
        <v>441</v>
      </c>
      <c r="CC2090" t="s">
        <v>119</v>
      </c>
      <c r="CD2090">
        <v>3201</v>
      </c>
      <c r="CE2090" t="s">
        <v>88</v>
      </c>
      <c r="CF2090" s="3">
        <v>43789</v>
      </c>
      <c r="CI2090">
        <v>1</v>
      </c>
      <c r="CJ2090">
        <v>1</v>
      </c>
      <c r="CK2090" t="s">
        <v>2377</v>
      </c>
      <c r="CL2090" t="s">
        <v>89</v>
      </c>
    </row>
    <row r="2091" spans="1:90">
      <c r="A2091" t="s">
        <v>72</v>
      </c>
      <c r="B2091" t="s">
        <v>73</v>
      </c>
      <c r="C2091" t="s">
        <v>74</v>
      </c>
      <c r="E2091" t="str">
        <f>"FES1162721035"</f>
        <v>FES1162721035</v>
      </c>
      <c r="F2091" s="3">
        <v>43773</v>
      </c>
      <c r="G2091">
        <v>202005</v>
      </c>
      <c r="H2091" t="s">
        <v>75</v>
      </c>
      <c r="I2091" t="s">
        <v>76</v>
      </c>
      <c r="J2091" t="s">
        <v>211</v>
      </c>
      <c r="K2091" t="s">
        <v>78</v>
      </c>
      <c r="L2091" t="s">
        <v>701</v>
      </c>
      <c r="M2091" t="s">
        <v>702</v>
      </c>
      <c r="N2091" t="s">
        <v>2383</v>
      </c>
      <c r="O2091" t="s">
        <v>282</v>
      </c>
      <c r="P2091" t="str">
        <f>"2170715320                    "</f>
        <v xml:space="preserve">2170715320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16.489999999999998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9.1</v>
      </c>
      <c r="BJ2091">
        <v>3.1</v>
      </c>
      <c r="BK2091">
        <v>10</v>
      </c>
      <c r="BL2091" s="4">
        <v>99.99</v>
      </c>
      <c r="BM2091" s="4">
        <v>15</v>
      </c>
      <c r="BN2091" s="4">
        <v>114.99</v>
      </c>
      <c r="BO2091" s="4">
        <v>114.99</v>
      </c>
      <c r="BQ2091" t="s">
        <v>121</v>
      </c>
      <c r="BR2091" t="s">
        <v>212</v>
      </c>
      <c r="BS2091" s="3">
        <v>43775</v>
      </c>
      <c r="BT2091" s="5">
        <v>0.375</v>
      </c>
      <c r="BU2091" t="s">
        <v>2384</v>
      </c>
      <c r="BV2091" t="s">
        <v>89</v>
      </c>
      <c r="BW2091" t="s">
        <v>319</v>
      </c>
      <c r="BX2091" t="s">
        <v>2385</v>
      </c>
      <c r="BY2091">
        <v>15640.8</v>
      </c>
      <c r="CA2091" t="s">
        <v>409</v>
      </c>
      <c r="CC2091" t="s">
        <v>702</v>
      </c>
      <c r="CD2091">
        <v>299</v>
      </c>
      <c r="CE2091" t="s">
        <v>88</v>
      </c>
      <c r="CF2091" s="3">
        <v>43780</v>
      </c>
      <c r="CI2091">
        <v>1</v>
      </c>
      <c r="CJ2091">
        <v>2</v>
      </c>
      <c r="CK2091" t="s">
        <v>289</v>
      </c>
      <c r="CL2091" t="s">
        <v>89</v>
      </c>
    </row>
    <row r="2092" spans="1:90">
      <c r="A2092" t="s">
        <v>72</v>
      </c>
      <c r="B2092" t="s">
        <v>73</v>
      </c>
      <c r="C2092" t="s">
        <v>74</v>
      </c>
      <c r="E2092" t="str">
        <f>"FES1162721149"</f>
        <v>FES1162721149</v>
      </c>
      <c r="F2092" s="3">
        <v>43773</v>
      </c>
      <c r="G2092">
        <v>202005</v>
      </c>
      <c r="H2092" t="s">
        <v>75</v>
      </c>
      <c r="I2092" t="s">
        <v>76</v>
      </c>
      <c r="J2092" t="s">
        <v>211</v>
      </c>
      <c r="K2092" t="s">
        <v>78</v>
      </c>
      <c r="L2092" t="s">
        <v>566</v>
      </c>
      <c r="M2092" t="s">
        <v>567</v>
      </c>
      <c r="N2092" t="s">
        <v>568</v>
      </c>
      <c r="O2092" t="s">
        <v>282</v>
      </c>
      <c r="P2092" t="str">
        <f>"2170715423                    "</f>
        <v xml:space="preserve">2170715423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18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7.4</v>
      </c>
      <c r="BJ2092">
        <v>12.4</v>
      </c>
      <c r="BK2092">
        <v>13</v>
      </c>
      <c r="BL2092" s="4">
        <v>108.71</v>
      </c>
      <c r="BM2092" s="4">
        <v>16.309999999999999</v>
      </c>
      <c r="BN2092" s="4">
        <v>125.02</v>
      </c>
      <c r="BO2092" s="4">
        <v>125.02</v>
      </c>
      <c r="BQ2092" t="s">
        <v>121</v>
      </c>
      <c r="BR2092" t="s">
        <v>212</v>
      </c>
      <c r="BS2092" s="3">
        <v>43774</v>
      </c>
      <c r="BT2092" s="5">
        <v>0.25</v>
      </c>
      <c r="BU2092" t="s">
        <v>295</v>
      </c>
      <c r="BV2092" t="s">
        <v>86</v>
      </c>
      <c r="BY2092">
        <v>62175.42</v>
      </c>
      <c r="CC2092" t="s">
        <v>567</v>
      </c>
      <c r="CD2092">
        <v>2410</v>
      </c>
      <c r="CE2092" t="s">
        <v>88</v>
      </c>
      <c r="CF2092" s="3">
        <v>43775</v>
      </c>
      <c r="CI2092">
        <v>1</v>
      </c>
      <c r="CJ2092">
        <v>1</v>
      </c>
      <c r="CK2092" t="s">
        <v>1002</v>
      </c>
      <c r="CL2092" t="s">
        <v>89</v>
      </c>
    </row>
    <row r="2093" spans="1:90">
      <c r="A2093" t="s">
        <v>72</v>
      </c>
      <c r="B2093" t="s">
        <v>73</v>
      </c>
      <c r="C2093" t="s">
        <v>74</v>
      </c>
      <c r="E2093" t="str">
        <f>"FES1162719015"</f>
        <v>FES1162719015</v>
      </c>
      <c r="F2093" s="3">
        <v>43774</v>
      </c>
      <c r="G2093">
        <v>202005</v>
      </c>
      <c r="H2093" t="s">
        <v>75</v>
      </c>
      <c r="I2093" t="s">
        <v>76</v>
      </c>
      <c r="J2093" t="s">
        <v>211</v>
      </c>
      <c r="K2093" t="s">
        <v>78</v>
      </c>
      <c r="L2093" t="s">
        <v>825</v>
      </c>
      <c r="M2093" t="s">
        <v>826</v>
      </c>
      <c r="N2093" t="s">
        <v>939</v>
      </c>
      <c r="O2093" t="s">
        <v>282</v>
      </c>
      <c r="P2093" t="str">
        <f>"2170713704                    "</f>
        <v xml:space="preserve">2170713704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12.78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16</v>
      </c>
      <c r="BJ2093">
        <v>9.1</v>
      </c>
      <c r="BK2093">
        <v>16</v>
      </c>
      <c r="BL2093" s="4">
        <v>78.63</v>
      </c>
      <c r="BM2093" s="4">
        <v>11.79</v>
      </c>
      <c r="BN2093" s="4">
        <v>90.42</v>
      </c>
      <c r="BO2093" s="4">
        <v>90.42</v>
      </c>
      <c r="BQ2093" t="s">
        <v>121</v>
      </c>
      <c r="BR2093" t="s">
        <v>212</v>
      </c>
      <c r="BS2093" s="3">
        <v>43775</v>
      </c>
      <c r="BT2093" s="5">
        <v>0.375</v>
      </c>
      <c r="BU2093" t="s">
        <v>1577</v>
      </c>
      <c r="BV2093" t="s">
        <v>86</v>
      </c>
      <c r="BY2093">
        <v>45632</v>
      </c>
      <c r="CC2093" t="s">
        <v>826</v>
      </c>
      <c r="CD2093">
        <v>1759</v>
      </c>
      <c r="CE2093" t="s">
        <v>88</v>
      </c>
      <c r="CF2093" s="3">
        <v>43776</v>
      </c>
      <c r="CI2093">
        <v>1</v>
      </c>
      <c r="CJ2093">
        <v>1</v>
      </c>
      <c r="CK2093" t="s">
        <v>379</v>
      </c>
      <c r="CL2093" t="s">
        <v>89</v>
      </c>
    </row>
    <row r="2094" spans="1:90">
      <c r="A2094" t="s">
        <v>72</v>
      </c>
      <c r="B2094" t="s">
        <v>73</v>
      </c>
      <c r="C2094" t="s">
        <v>74</v>
      </c>
      <c r="E2094" t="str">
        <f>"FES1162720583"</f>
        <v>FES1162720583</v>
      </c>
      <c r="F2094" s="3">
        <v>43770</v>
      </c>
      <c r="G2094">
        <v>202005</v>
      </c>
      <c r="H2094" t="s">
        <v>75</v>
      </c>
      <c r="I2094" t="s">
        <v>76</v>
      </c>
      <c r="J2094" t="s">
        <v>211</v>
      </c>
      <c r="K2094" t="s">
        <v>78</v>
      </c>
      <c r="L2094" t="s">
        <v>124</v>
      </c>
      <c r="M2094" t="s">
        <v>125</v>
      </c>
      <c r="N2094" t="s">
        <v>218</v>
      </c>
      <c r="O2094" t="s">
        <v>282</v>
      </c>
      <c r="P2094" t="str">
        <f>"2170714670                    "</f>
        <v xml:space="preserve">2170714670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18.57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3</v>
      </c>
      <c r="BI2094">
        <v>29.8</v>
      </c>
      <c r="BJ2094">
        <v>11.9</v>
      </c>
      <c r="BK2094">
        <v>30</v>
      </c>
      <c r="BL2094" s="4">
        <v>112</v>
      </c>
      <c r="BM2094" s="4">
        <v>16.8</v>
      </c>
      <c r="BN2094" s="4">
        <v>128.80000000000001</v>
      </c>
      <c r="BO2094" s="4">
        <v>128.80000000000001</v>
      </c>
      <c r="BQ2094" t="s">
        <v>121</v>
      </c>
      <c r="BR2094" t="s">
        <v>212</v>
      </c>
      <c r="BS2094" s="3">
        <v>43773</v>
      </c>
      <c r="BT2094" s="5">
        <v>0.37013888888888885</v>
      </c>
      <c r="BU2094" t="s">
        <v>400</v>
      </c>
      <c r="BV2094" t="s">
        <v>86</v>
      </c>
      <c r="BY2094">
        <v>59457.33</v>
      </c>
      <c r="CA2094" t="s">
        <v>123</v>
      </c>
      <c r="CC2094" t="s">
        <v>125</v>
      </c>
      <c r="CD2094">
        <v>2094</v>
      </c>
      <c r="CE2094" t="s">
        <v>852</v>
      </c>
      <c r="CF2094" s="3">
        <v>43774</v>
      </c>
      <c r="CI2094">
        <v>1</v>
      </c>
      <c r="CJ2094">
        <v>1</v>
      </c>
      <c r="CK2094" t="s">
        <v>379</v>
      </c>
      <c r="CL2094" t="s">
        <v>89</v>
      </c>
    </row>
    <row r="2095" spans="1:90">
      <c r="A2095" t="s">
        <v>72</v>
      </c>
      <c r="B2095" t="s">
        <v>73</v>
      </c>
      <c r="C2095" t="s">
        <v>74</v>
      </c>
      <c r="E2095" t="str">
        <f>"FES1162720620"</f>
        <v>FES1162720620</v>
      </c>
      <c r="F2095" s="3">
        <v>43770</v>
      </c>
      <c r="G2095">
        <v>202005</v>
      </c>
      <c r="H2095" t="s">
        <v>75</v>
      </c>
      <c r="I2095" t="s">
        <v>76</v>
      </c>
      <c r="J2095" t="s">
        <v>211</v>
      </c>
      <c r="K2095" t="s">
        <v>78</v>
      </c>
      <c r="L2095" t="s">
        <v>605</v>
      </c>
      <c r="M2095" t="s">
        <v>606</v>
      </c>
      <c r="N2095" t="s">
        <v>1775</v>
      </c>
      <c r="O2095" t="s">
        <v>282</v>
      </c>
      <c r="P2095" t="str">
        <f>"2170715043                    "</f>
        <v xml:space="preserve">2170715043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16.489999999999998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12.2</v>
      </c>
      <c r="BJ2095">
        <v>8.9</v>
      </c>
      <c r="BK2095">
        <v>13</v>
      </c>
      <c r="BL2095" s="4">
        <v>99.99</v>
      </c>
      <c r="BM2095" s="4">
        <v>15</v>
      </c>
      <c r="BN2095" s="4">
        <v>114.99</v>
      </c>
      <c r="BO2095" s="4">
        <v>114.99</v>
      </c>
      <c r="BQ2095" t="s">
        <v>121</v>
      </c>
      <c r="BR2095" t="s">
        <v>212</v>
      </c>
      <c r="BS2095" s="3">
        <v>43773</v>
      </c>
      <c r="BT2095" s="5">
        <v>0.47222222222222227</v>
      </c>
      <c r="BU2095" t="s">
        <v>1777</v>
      </c>
      <c r="BV2095" t="s">
        <v>86</v>
      </c>
      <c r="BY2095">
        <v>44651.519999999997</v>
      </c>
      <c r="CA2095" t="s">
        <v>2386</v>
      </c>
      <c r="CC2095" t="s">
        <v>606</v>
      </c>
      <c r="CD2095">
        <v>208</v>
      </c>
      <c r="CE2095" t="s">
        <v>88</v>
      </c>
      <c r="CF2095" s="3">
        <v>43774</v>
      </c>
      <c r="CI2095">
        <v>0</v>
      </c>
      <c r="CJ2095">
        <v>0</v>
      </c>
      <c r="CK2095" t="s">
        <v>289</v>
      </c>
      <c r="CL2095" t="s">
        <v>89</v>
      </c>
    </row>
    <row r="2096" spans="1:90">
      <c r="A2096" t="s">
        <v>72</v>
      </c>
      <c r="B2096" t="s">
        <v>73</v>
      </c>
      <c r="C2096" t="s">
        <v>74</v>
      </c>
      <c r="E2096" t="str">
        <f>"FES1162721193"</f>
        <v>FES1162721193</v>
      </c>
      <c r="F2096" s="3">
        <v>43774</v>
      </c>
      <c r="G2096">
        <v>202005</v>
      </c>
      <c r="H2096" t="s">
        <v>75</v>
      </c>
      <c r="I2096" t="s">
        <v>76</v>
      </c>
      <c r="J2096" t="s">
        <v>211</v>
      </c>
      <c r="K2096" t="s">
        <v>78</v>
      </c>
      <c r="L2096" t="s">
        <v>202</v>
      </c>
      <c r="M2096" t="s">
        <v>203</v>
      </c>
      <c r="N2096" t="s">
        <v>204</v>
      </c>
      <c r="O2096" t="s">
        <v>282</v>
      </c>
      <c r="P2096" t="str">
        <f>"2170714104                    "</f>
        <v xml:space="preserve">2170714104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14.43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19.3</v>
      </c>
      <c r="BJ2096">
        <v>16.2</v>
      </c>
      <c r="BK2096">
        <v>20</v>
      </c>
      <c r="BL2096" s="4">
        <v>88.16</v>
      </c>
      <c r="BM2096" s="4">
        <v>13.22</v>
      </c>
      <c r="BN2096" s="4">
        <v>101.38</v>
      </c>
      <c r="BO2096" s="4">
        <v>101.38</v>
      </c>
      <c r="BQ2096" t="s">
        <v>121</v>
      </c>
      <c r="BR2096" t="s">
        <v>212</v>
      </c>
      <c r="BS2096" s="3">
        <v>43775</v>
      </c>
      <c r="BT2096" s="5">
        <v>0.3576388888888889</v>
      </c>
      <c r="BU2096" t="s">
        <v>2387</v>
      </c>
      <c r="BV2096" t="s">
        <v>86</v>
      </c>
      <c r="BY2096">
        <v>81030.600000000006</v>
      </c>
      <c r="CC2096" t="s">
        <v>203</v>
      </c>
      <c r="CD2096">
        <v>1422</v>
      </c>
      <c r="CE2096" t="s">
        <v>88</v>
      </c>
      <c r="CF2096" s="3">
        <v>43776</v>
      </c>
      <c r="CI2096">
        <v>1</v>
      </c>
      <c r="CJ2096">
        <v>1</v>
      </c>
      <c r="CK2096" t="s">
        <v>379</v>
      </c>
      <c r="CL2096" t="s">
        <v>89</v>
      </c>
    </row>
    <row r="2097" spans="1:90">
      <c r="A2097" t="s">
        <v>72</v>
      </c>
      <c r="B2097" t="s">
        <v>73</v>
      </c>
      <c r="C2097" t="s">
        <v>74</v>
      </c>
      <c r="E2097" t="str">
        <f>"FES1162720881"</f>
        <v>FES1162720881</v>
      </c>
      <c r="F2097" s="3">
        <v>43773</v>
      </c>
      <c r="G2097">
        <v>202005</v>
      </c>
      <c r="H2097" t="s">
        <v>75</v>
      </c>
      <c r="I2097" t="s">
        <v>76</v>
      </c>
      <c r="J2097" t="s">
        <v>211</v>
      </c>
      <c r="K2097" t="s">
        <v>78</v>
      </c>
      <c r="L2097" t="s">
        <v>1651</v>
      </c>
      <c r="M2097" t="s">
        <v>1651</v>
      </c>
      <c r="N2097" t="s">
        <v>2388</v>
      </c>
      <c r="O2097" t="s">
        <v>282</v>
      </c>
      <c r="P2097" t="str">
        <f>"2170713554                    "</f>
        <v xml:space="preserve">2170713554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16.489999999999998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8.3000000000000007</v>
      </c>
      <c r="BJ2097">
        <v>12.8</v>
      </c>
      <c r="BK2097">
        <v>13</v>
      </c>
      <c r="BL2097" s="4">
        <v>99.99</v>
      </c>
      <c r="BM2097" s="4">
        <v>15</v>
      </c>
      <c r="BN2097" s="4">
        <v>114.99</v>
      </c>
      <c r="BO2097" s="4">
        <v>114.99</v>
      </c>
      <c r="BQ2097" t="s">
        <v>121</v>
      </c>
      <c r="BR2097" t="s">
        <v>212</v>
      </c>
      <c r="BS2097" s="3">
        <v>43774</v>
      </c>
      <c r="BT2097" s="5">
        <v>0.4375</v>
      </c>
      <c r="BU2097" t="s">
        <v>2389</v>
      </c>
      <c r="BV2097" t="s">
        <v>86</v>
      </c>
      <c r="BY2097">
        <v>63909.32</v>
      </c>
      <c r="CA2097" t="s">
        <v>797</v>
      </c>
      <c r="CC2097" t="s">
        <v>1651</v>
      </c>
      <c r="CD2097">
        <v>1490</v>
      </c>
      <c r="CE2097" t="s">
        <v>88</v>
      </c>
      <c r="CF2097" s="3">
        <v>43775</v>
      </c>
      <c r="CI2097">
        <v>1</v>
      </c>
      <c r="CJ2097">
        <v>1</v>
      </c>
      <c r="CK2097" t="s">
        <v>289</v>
      </c>
      <c r="CL2097" t="s">
        <v>89</v>
      </c>
    </row>
    <row r="2098" spans="1:90">
      <c r="A2098" t="s">
        <v>72</v>
      </c>
      <c r="B2098" t="s">
        <v>73</v>
      </c>
      <c r="C2098" t="s">
        <v>74</v>
      </c>
      <c r="E2098" t="str">
        <f>"FES1162721370"</f>
        <v>FES1162721370</v>
      </c>
      <c r="F2098" s="3">
        <v>43774</v>
      </c>
      <c r="G2098">
        <v>202005</v>
      </c>
      <c r="H2098" t="s">
        <v>75</v>
      </c>
      <c r="I2098" t="s">
        <v>76</v>
      </c>
      <c r="J2098" t="s">
        <v>211</v>
      </c>
      <c r="K2098" t="s">
        <v>78</v>
      </c>
      <c r="L2098" t="s">
        <v>405</v>
      </c>
      <c r="M2098" t="s">
        <v>406</v>
      </c>
      <c r="N2098" t="s">
        <v>931</v>
      </c>
      <c r="O2098" t="s">
        <v>282</v>
      </c>
      <c r="P2098" t="str">
        <f>"2170715669                    "</f>
        <v xml:space="preserve">2170715669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16.489999999999998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5.4</v>
      </c>
      <c r="BJ2098">
        <v>11.1</v>
      </c>
      <c r="BK2098">
        <v>12</v>
      </c>
      <c r="BL2098" s="4">
        <v>99.99</v>
      </c>
      <c r="BM2098" s="4">
        <v>15</v>
      </c>
      <c r="BN2098" s="4">
        <v>114.99</v>
      </c>
      <c r="BO2098" s="4">
        <v>114.99</v>
      </c>
      <c r="BQ2098" t="s">
        <v>121</v>
      </c>
      <c r="BR2098" t="s">
        <v>212</v>
      </c>
      <c r="BS2098" s="3">
        <v>43775</v>
      </c>
      <c r="BT2098" s="5">
        <v>0.39027777777777778</v>
      </c>
      <c r="BU2098" t="s">
        <v>933</v>
      </c>
      <c r="BV2098" t="s">
        <v>86</v>
      </c>
      <c r="BY2098">
        <v>55668.71</v>
      </c>
      <c r="CA2098" t="s">
        <v>873</v>
      </c>
      <c r="CC2098" t="s">
        <v>406</v>
      </c>
      <c r="CD2098">
        <v>250</v>
      </c>
      <c r="CE2098" t="s">
        <v>88</v>
      </c>
      <c r="CF2098" s="3">
        <v>43780</v>
      </c>
      <c r="CI2098">
        <v>0</v>
      </c>
      <c r="CJ2098">
        <v>0</v>
      </c>
      <c r="CK2098" t="s">
        <v>289</v>
      </c>
      <c r="CL2098" t="s">
        <v>89</v>
      </c>
    </row>
    <row r="2099" spans="1:90">
      <c r="A2099" t="s">
        <v>72</v>
      </c>
      <c r="B2099" t="s">
        <v>73</v>
      </c>
      <c r="C2099" t="s">
        <v>74</v>
      </c>
      <c r="E2099" t="str">
        <f>"FES1162720992"</f>
        <v>FES1162720992</v>
      </c>
      <c r="F2099" s="3">
        <v>43774</v>
      </c>
      <c r="G2099">
        <v>202005</v>
      </c>
      <c r="H2099" t="s">
        <v>75</v>
      </c>
      <c r="I2099" t="s">
        <v>76</v>
      </c>
      <c r="J2099" t="s">
        <v>211</v>
      </c>
      <c r="K2099" t="s">
        <v>78</v>
      </c>
      <c r="L2099" t="s">
        <v>552</v>
      </c>
      <c r="M2099" t="s">
        <v>553</v>
      </c>
      <c r="N2099" t="s">
        <v>2146</v>
      </c>
      <c r="O2099" t="s">
        <v>282</v>
      </c>
      <c r="P2099" t="str">
        <f>"2170715269                    "</f>
        <v xml:space="preserve">2170715269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15.67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12.6</v>
      </c>
      <c r="BJ2099">
        <v>22.6</v>
      </c>
      <c r="BK2099">
        <v>23</v>
      </c>
      <c r="BL2099" s="4">
        <v>95.31</v>
      </c>
      <c r="BM2099" s="4">
        <v>14.3</v>
      </c>
      <c r="BN2099" s="4">
        <v>109.61</v>
      </c>
      <c r="BO2099" s="4">
        <v>109.61</v>
      </c>
      <c r="BQ2099" t="s">
        <v>121</v>
      </c>
      <c r="BR2099" t="s">
        <v>212</v>
      </c>
      <c r="BS2099" s="3">
        <v>43775</v>
      </c>
      <c r="BT2099" s="5">
        <v>0.375</v>
      </c>
      <c r="BU2099" t="s">
        <v>694</v>
      </c>
      <c r="BV2099" t="s">
        <v>86</v>
      </c>
      <c r="BY2099">
        <v>113134.86</v>
      </c>
      <c r="CA2099" t="s">
        <v>556</v>
      </c>
      <c r="CC2099" t="s">
        <v>553</v>
      </c>
      <c r="CD2099">
        <v>1541</v>
      </c>
      <c r="CE2099" t="s">
        <v>88</v>
      </c>
      <c r="CF2099" s="3">
        <v>43776</v>
      </c>
      <c r="CI2099">
        <v>1</v>
      </c>
      <c r="CJ2099">
        <v>1</v>
      </c>
      <c r="CK2099" t="s">
        <v>379</v>
      </c>
      <c r="CL2099" t="s">
        <v>89</v>
      </c>
    </row>
    <row r="2100" spans="1:90">
      <c r="A2100" t="s">
        <v>72</v>
      </c>
      <c r="B2100" t="s">
        <v>73</v>
      </c>
      <c r="C2100" t="s">
        <v>74</v>
      </c>
      <c r="E2100" t="str">
        <f>"FES1162721636"</f>
        <v>FES1162721636</v>
      </c>
      <c r="F2100" s="3">
        <v>43775</v>
      </c>
      <c r="G2100">
        <v>202005</v>
      </c>
      <c r="H2100" t="s">
        <v>75</v>
      </c>
      <c r="I2100" t="s">
        <v>76</v>
      </c>
      <c r="J2100" t="s">
        <v>211</v>
      </c>
      <c r="K2100" t="s">
        <v>78</v>
      </c>
      <c r="L2100" t="s">
        <v>482</v>
      </c>
      <c r="M2100" t="s">
        <v>483</v>
      </c>
      <c r="N2100" t="s">
        <v>1442</v>
      </c>
      <c r="O2100" t="s">
        <v>282</v>
      </c>
      <c r="P2100" t="str">
        <f>"2170715411                    "</f>
        <v xml:space="preserve">2170715411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14.09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19.3</v>
      </c>
      <c r="BJ2100">
        <v>10.4</v>
      </c>
      <c r="BK2100">
        <v>20</v>
      </c>
      <c r="BL2100" s="4">
        <v>87.82</v>
      </c>
      <c r="BM2100" s="4">
        <v>13.17</v>
      </c>
      <c r="BN2100" s="4">
        <v>100.99</v>
      </c>
      <c r="BO2100" s="4">
        <v>100.99</v>
      </c>
      <c r="BQ2100" t="s">
        <v>121</v>
      </c>
      <c r="BR2100" t="s">
        <v>212</v>
      </c>
      <c r="BS2100" s="3">
        <v>43776</v>
      </c>
      <c r="BT2100" s="5">
        <v>0.29236111111111113</v>
      </c>
      <c r="BU2100" t="s">
        <v>1443</v>
      </c>
      <c r="BV2100" t="s">
        <v>86</v>
      </c>
      <c r="BY2100">
        <v>52143.42</v>
      </c>
      <c r="CC2100" t="s">
        <v>483</v>
      </c>
      <c r="CD2100">
        <v>1460</v>
      </c>
      <c r="CE2100" t="s">
        <v>88</v>
      </c>
      <c r="CF2100" s="3">
        <v>43777</v>
      </c>
      <c r="CI2100">
        <v>1</v>
      </c>
      <c r="CJ2100">
        <v>1</v>
      </c>
      <c r="CK2100" t="s">
        <v>379</v>
      </c>
      <c r="CL2100" t="s">
        <v>89</v>
      </c>
    </row>
    <row r="2101" spans="1:90">
      <c r="A2101" t="s">
        <v>72</v>
      </c>
      <c r="B2101" t="s">
        <v>73</v>
      </c>
      <c r="C2101" t="s">
        <v>74</v>
      </c>
      <c r="E2101" t="str">
        <f>"FES1162719233"</f>
        <v>FES1162719233</v>
      </c>
      <c r="F2101" s="3">
        <v>43774</v>
      </c>
      <c r="G2101">
        <v>202005</v>
      </c>
      <c r="H2101" t="s">
        <v>75</v>
      </c>
      <c r="I2101" t="s">
        <v>76</v>
      </c>
      <c r="J2101" t="s">
        <v>211</v>
      </c>
      <c r="K2101" t="s">
        <v>78</v>
      </c>
      <c r="L2101" t="s">
        <v>825</v>
      </c>
      <c r="M2101" t="s">
        <v>826</v>
      </c>
      <c r="N2101" t="s">
        <v>939</v>
      </c>
      <c r="O2101" t="s">
        <v>282</v>
      </c>
      <c r="P2101" t="str">
        <f>"2170713705                    "</f>
        <v xml:space="preserve">2170713705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13.19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16.2</v>
      </c>
      <c r="BJ2101">
        <v>8.1999999999999993</v>
      </c>
      <c r="BK2101">
        <v>17</v>
      </c>
      <c r="BL2101" s="4">
        <v>81.010000000000005</v>
      </c>
      <c r="BM2101" s="4">
        <v>12.15</v>
      </c>
      <c r="BN2101" s="4">
        <v>93.16</v>
      </c>
      <c r="BO2101" s="4">
        <v>93.16</v>
      </c>
      <c r="BQ2101" t="s">
        <v>121</v>
      </c>
      <c r="BR2101" t="s">
        <v>212</v>
      </c>
      <c r="BS2101" s="3">
        <v>43775</v>
      </c>
      <c r="BT2101" s="5">
        <v>0.375</v>
      </c>
      <c r="BU2101" t="s">
        <v>1577</v>
      </c>
      <c r="BV2101" t="s">
        <v>86</v>
      </c>
      <c r="BY2101">
        <v>40763.82</v>
      </c>
      <c r="CC2101" t="s">
        <v>826</v>
      </c>
      <c r="CD2101">
        <v>1759</v>
      </c>
      <c r="CE2101" t="s">
        <v>2390</v>
      </c>
      <c r="CF2101" s="3">
        <v>43776</v>
      </c>
      <c r="CI2101">
        <v>1</v>
      </c>
      <c r="CJ2101">
        <v>1</v>
      </c>
      <c r="CK2101" t="s">
        <v>379</v>
      </c>
      <c r="CL2101" t="s">
        <v>89</v>
      </c>
    </row>
    <row r="2102" spans="1:90">
      <c r="A2102" t="s">
        <v>72</v>
      </c>
      <c r="B2102" t="s">
        <v>73</v>
      </c>
      <c r="C2102" t="s">
        <v>74</v>
      </c>
      <c r="E2102" t="str">
        <f>"FES1162721931"</f>
        <v>FES1162721931</v>
      </c>
      <c r="F2102" s="3">
        <v>43776</v>
      </c>
      <c r="G2102">
        <v>202005</v>
      </c>
      <c r="H2102" t="s">
        <v>75</v>
      </c>
      <c r="I2102" t="s">
        <v>76</v>
      </c>
      <c r="J2102" t="s">
        <v>211</v>
      </c>
      <c r="K2102" t="s">
        <v>78</v>
      </c>
      <c r="L2102" t="s">
        <v>1651</v>
      </c>
      <c r="M2102" t="s">
        <v>1651</v>
      </c>
      <c r="N2102" t="s">
        <v>1652</v>
      </c>
      <c r="O2102" t="s">
        <v>282</v>
      </c>
      <c r="P2102" t="str">
        <f>"2170715348                    "</f>
        <v xml:space="preserve">2170715348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16.09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2</v>
      </c>
      <c r="BI2102">
        <v>15</v>
      </c>
      <c r="BJ2102">
        <v>7.8</v>
      </c>
      <c r="BK2102">
        <v>15</v>
      </c>
      <c r="BL2102" s="4">
        <v>99.59</v>
      </c>
      <c r="BM2102" s="4">
        <v>14.94</v>
      </c>
      <c r="BN2102" s="4">
        <v>114.53</v>
      </c>
      <c r="BO2102" s="4">
        <v>114.53</v>
      </c>
      <c r="BQ2102" t="s">
        <v>142</v>
      </c>
      <c r="BR2102" t="s">
        <v>212</v>
      </c>
      <c r="BS2102" s="3">
        <v>43777</v>
      </c>
      <c r="BT2102" s="5">
        <v>0.33333333333333331</v>
      </c>
      <c r="BU2102" t="s">
        <v>953</v>
      </c>
      <c r="BV2102" t="s">
        <v>86</v>
      </c>
      <c r="BY2102">
        <v>39025.47</v>
      </c>
      <c r="CA2102" t="s">
        <v>362</v>
      </c>
      <c r="CC2102" t="s">
        <v>1651</v>
      </c>
      <c r="CD2102">
        <v>1490</v>
      </c>
      <c r="CE2102" t="s">
        <v>88</v>
      </c>
      <c r="CF2102" s="3">
        <v>43780</v>
      </c>
      <c r="CI2102">
        <v>1</v>
      </c>
      <c r="CJ2102">
        <v>1</v>
      </c>
      <c r="CK2102" t="s">
        <v>289</v>
      </c>
      <c r="CL2102" t="s">
        <v>89</v>
      </c>
    </row>
    <row r="2103" spans="1:90">
      <c r="A2103" t="s">
        <v>72</v>
      </c>
      <c r="B2103" t="s">
        <v>73</v>
      </c>
      <c r="C2103" t="s">
        <v>74</v>
      </c>
      <c r="E2103" t="str">
        <f>"FES1162722123"</f>
        <v>FES1162722123</v>
      </c>
      <c r="F2103" s="3">
        <v>43777</v>
      </c>
      <c r="G2103">
        <v>202005</v>
      </c>
      <c r="H2103" t="s">
        <v>75</v>
      </c>
      <c r="I2103" t="s">
        <v>76</v>
      </c>
      <c r="J2103" t="s">
        <v>211</v>
      </c>
      <c r="K2103" t="s">
        <v>78</v>
      </c>
      <c r="L2103" t="s">
        <v>1651</v>
      </c>
      <c r="M2103" t="s">
        <v>1651</v>
      </c>
      <c r="N2103" t="s">
        <v>2144</v>
      </c>
      <c r="O2103" t="s">
        <v>282</v>
      </c>
      <c r="P2103" t="str">
        <f>"2170715779                    "</f>
        <v xml:space="preserve">2170715779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16.09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13.9</v>
      </c>
      <c r="BJ2103">
        <v>5.6</v>
      </c>
      <c r="BK2103">
        <v>14</v>
      </c>
      <c r="BL2103" s="4">
        <v>99.59</v>
      </c>
      <c r="BM2103" s="4">
        <v>14.94</v>
      </c>
      <c r="BN2103" s="4">
        <v>114.53</v>
      </c>
      <c r="BO2103" s="4">
        <v>114.53</v>
      </c>
      <c r="BQ2103" t="s">
        <v>121</v>
      </c>
      <c r="BR2103" t="s">
        <v>212</v>
      </c>
      <c r="BS2103" s="3">
        <v>43780</v>
      </c>
      <c r="BT2103" s="5">
        <v>0.4375</v>
      </c>
      <c r="BU2103" t="s">
        <v>2391</v>
      </c>
      <c r="BV2103" t="s">
        <v>86</v>
      </c>
      <c r="BY2103">
        <v>28132.16</v>
      </c>
      <c r="CA2103" t="s">
        <v>123</v>
      </c>
      <c r="CC2103" t="s">
        <v>1651</v>
      </c>
      <c r="CD2103">
        <v>1491</v>
      </c>
      <c r="CE2103" t="s">
        <v>88</v>
      </c>
      <c r="CF2103" s="3">
        <v>43781</v>
      </c>
      <c r="CI2103">
        <v>1</v>
      </c>
      <c r="CJ2103">
        <v>1</v>
      </c>
      <c r="CK2103" t="s">
        <v>289</v>
      </c>
      <c r="CL2103" t="s">
        <v>89</v>
      </c>
    </row>
    <row r="2104" spans="1:90">
      <c r="A2104" t="s">
        <v>72</v>
      </c>
      <c r="B2104" t="s">
        <v>73</v>
      </c>
      <c r="C2104" t="s">
        <v>74</v>
      </c>
      <c r="E2104" t="str">
        <f>"FES1162722107"</f>
        <v>FES1162722107</v>
      </c>
      <c r="F2104" s="3">
        <v>43777</v>
      </c>
      <c r="G2104">
        <v>202005</v>
      </c>
      <c r="H2104" t="s">
        <v>75</v>
      </c>
      <c r="I2104" t="s">
        <v>76</v>
      </c>
      <c r="J2104" t="s">
        <v>211</v>
      </c>
      <c r="K2104" t="s">
        <v>78</v>
      </c>
      <c r="L2104" t="s">
        <v>482</v>
      </c>
      <c r="M2104" t="s">
        <v>483</v>
      </c>
      <c r="N2104" t="s">
        <v>1054</v>
      </c>
      <c r="O2104" t="s">
        <v>282</v>
      </c>
      <c r="P2104" t="str">
        <f>"2170716336                    "</f>
        <v xml:space="preserve">2170716336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18.53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17.100000000000001</v>
      </c>
      <c r="BJ2104">
        <v>31.1</v>
      </c>
      <c r="BK2104">
        <v>31</v>
      </c>
      <c r="BL2104" s="4">
        <v>113.93</v>
      </c>
      <c r="BM2104" s="4">
        <v>17.09</v>
      </c>
      <c r="BN2104" s="4">
        <v>131.02000000000001</v>
      </c>
      <c r="BO2104" s="4">
        <v>131.02000000000001</v>
      </c>
      <c r="BQ2104" t="s">
        <v>121</v>
      </c>
      <c r="BR2104" t="s">
        <v>212</v>
      </c>
      <c r="BS2104" s="3">
        <v>43780</v>
      </c>
      <c r="BT2104" s="5">
        <v>0.31944444444444448</v>
      </c>
      <c r="BU2104" t="s">
        <v>1499</v>
      </c>
      <c r="BV2104" t="s">
        <v>86</v>
      </c>
      <c r="BY2104">
        <v>155280.31</v>
      </c>
      <c r="CC2104" t="s">
        <v>483</v>
      </c>
      <c r="CD2104">
        <v>1459</v>
      </c>
      <c r="CE2104" t="s">
        <v>88</v>
      </c>
      <c r="CF2104" s="3">
        <v>43781</v>
      </c>
      <c r="CI2104">
        <v>1</v>
      </c>
      <c r="CJ2104">
        <v>1</v>
      </c>
      <c r="CK2104" t="s">
        <v>379</v>
      </c>
      <c r="CL2104" t="s">
        <v>89</v>
      </c>
    </row>
    <row r="2105" spans="1:90">
      <c r="A2105" t="s">
        <v>72</v>
      </c>
      <c r="B2105" t="s">
        <v>73</v>
      </c>
      <c r="C2105" t="s">
        <v>74</v>
      </c>
      <c r="E2105" t="str">
        <f>"FES1162721530"</f>
        <v>FES1162721530</v>
      </c>
      <c r="F2105" s="3">
        <v>43775</v>
      </c>
      <c r="G2105">
        <v>202005</v>
      </c>
      <c r="H2105" t="s">
        <v>75</v>
      </c>
      <c r="I2105" t="s">
        <v>76</v>
      </c>
      <c r="J2105" t="s">
        <v>211</v>
      </c>
      <c r="K2105" t="s">
        <v>78</v>
      </c>
      <c r="L2105" t="s">
        <v>172</v>
      </c>
      <c r="M2105" t="s">
        <v>173</v>
      </c>
      <c r="N2105" t="s">
        <v>2392</v>
      </c>
      <c r="O2105" t="s">
        <v>282</v>
      </c>
      <c r="P2105" t="str">
        <f>"21707115711                   "</f>
        <v xml:space="preserve">21707115711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12.88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11.9</v>
      </c>
      <c r="BJ2105">
        <v>16.8</v>
      </c>
      <c r="BK2105">
        <v>17</v>
      </c>
      <c r="BL2105" s="4">
        <v>80.7</v>
      </c>
      <c r="BM2105" s="4">
        <v>12.11</v>
      </c>
      <c r="BN2105" s="4">
        <v>92.81</v>
      </c>
      <c r="BO2105" s="4">
        <v>92.81</v>
      </c>
      <c r="BQ2105" t="s">
        <v>121</v>
      </c>
      <c r="BR2105" t="s">
        <v>212</v>
      </c>
      <c r="BS2105" s="3">
        <v>43776</v>
      </c>
      <c r="BT2105" s="5">
        <v>0.33333333333333331</v>
      </c>
      <c r="BU2105" t="s">
        <v>1767</v>
      </c>
      <c r="BV2105" t="s">
        <v>86</v>
      </c>
      <c r="BY2105">
        <v>84079.88</v>
      </c>
      <c r="CA2105" t="s">
        <v>123</v>
      </c>
      <c r="CC2105" t="s">
        <v>173</v>
      </c>
      <c r="CD2105">
        <v>1739</v>
      </c>
      <c r="CE2105" t="s">
        <v>88</v>
      </c>
      <c r="CF2105" s="3">
        <v>43777</v>
      </c>
      <c r="CI2105">
        <v>1</v>
      </c>
      <c r="CJ2105">
        <v>1</v>
      </c>
      <c r="CK2105" t="s">
        <v>379</v>
      </c>
      <c r="CL2105" t="s">
        <v>89</v>
      </c>
    </row>
    <row r="2106" spans="1:90">
      <c r="A2106" t="s">
        <v>72</v>
      </c>
      <c r="B2106" t="s">
        <v>73</v>
      </c>
      <c r="C2106" t="s">
        <v>74</v>
      </c>
      <c r="E2106" t="str">
        <f>"FES1162721187"</f>
        <v>FES1162721187</v>
      </c>
      <c r="F2106" s="3">
        <v>43774</v>
      </c>
      <c r="G2106">
        <v>202005</v>
      </c>
      <c r="H2106" t="s">
        <v>75</v>
      </c>
      <c r="I2106" t="s">
        <v>76</v>
      </c>
      <c r="J2106" t="s">
        <v>211</v>
      </c>
      <c r="K2106" t="s">
        <v>78</v>
      </c>
      <c r="L2106" t="s">
        <v>552</v>
      </c>
      <c r="M2106" t="s">
        <v>553</v>
      </c>
      <c r="N2106" t="s">
        <v>2146</v>
      </c>
      <c r="O2106" t="s">
        <v>282</v>
      </c>
      <c r="P2106" t="str">
        <f>"2170711477                    "</f>
        <v xml:space="preserve">2170711477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26.84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23.5</v>
      </c>
      <c r="BJ2106">
        <v>49.4</v>
      </c>
      <c r="BK2106">
        <v>50</v>
      </c>
      <c r="BL2106" s="4">
        <v>159.66999999999999</v>
      </c>
      <c r="BM2106" s="4">
        <v>23.95</v>
      </c>
      <c r="BN2106" s="4">
        <v>183.62</v>
      </c>
      <c r="BO2106" s="4">
        <v>183.62</v>
      </c>
      <c r="BQ2106" t="s">
        <v>2147</v>
      </c>
      <c r="BR2106" t="s">
        <v>212</v>
      </c>
      <c r="BS2106" s="3">
        <v>43775</v>
      </c>
      <c r="BT2106" s="5">
        <v>0.375</v>
      </c>
      <c r="BU2106" t="s">
        <v>694</v>
      </c>
      <c r="BV2106" t="s">
        <v>86</v>
      </c>
      <c r="BY2106">
        <v>247172.89</v>
      </c>
      <c r="CA2106" t="s">
        <v>556</v>
      </c>
      <c r="CC2106" t="s">
        <v>553</v>
      </c>
      <c r="CD2106">
        <v>1541</v>
      </c>
      <c r="CE2106" t="s">
        <v>88</v>
      </c>
      <c r="CF2106" s="3">
        <v>43776</v>
      </c>
      <c r="CI2106">
        <v>1</v>
      </c>
      <c r="CJ2106">
        <v>1</v>
      </c>
      <c r="CK2106" t="s">
        <v>379</v>
      </c>
      <c r="CL2106" t="s">
        <v>89</v>
      </c>
    </row>
    <row r="2107" spans="1:90">
      <c r="A2107" t="s">
        <v>72</v>
      </c>
      <c r="B2107" t="s">
        <v>73</v>
      </c>
      <c r="C2107" t="s">
        <v>74</v>
      </c>
      <c r="E2107" t="str">
        <f>"FES1162722362"</f>
        <v>FES1162722362</v>
      </c>
      <c r="F2107" s="3">
        <v>43780</v>
      </c>
      <c r="G2107">
        <v>202005</v>
      </c>
      <c r="H2107" t="s">
        <v>75</v>
      </c>
      <c r="I2107" t="s">
        <v>76</v>
      </c>
      <c r="J2107" t="s">
        <v>211</v>
      </c>
      <c r="K2107" t="s">
        <v>78</v>
      </c>
      <c r="L2107" t="s">
        <v>482</v>
      </c>
      <c r="M2107" t="s">
        <v>483</v>
      </c>
      <c r="N2107" t="s">
        <v>1301</v>
      </c>
      <c r="O2107" t="s">
        <v>282</v>
      </c>
      <c r="P2107" t="str">
        <f>"2170716566                    "</f>
        <v xml:space="preserve">2170716566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18.940000000000001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17.100000000000001</v>
      </c>
      <c r="BJ2107">
        <v>32.1</v>
      </c>
      <c r="BK2107">
        <v>32</v>
      </c>
      <c r="BL2107" s="4">
        <v>116.31</v>
      </c>
      <c r="BM2107" s="4">
        <v>17.45</v>
      </c>
      <c r="BN2107" s="4">
        <v>133.76</v>
      </c>
      <c r="BO2107" s="4">
        <v>133.76</v>
      </c>
      <c r="BQ2107" t="s">
        <v>1302</v>
      </c>
      <c r="BR2107" t="s">
        <v>212</v>
      </c>
      <c r="BS2107" s="3">
        <v>43781</v>
      </c>
      <c r="BT2107" s="5">
        <v>0.35625000000000001</v>
      </c>
      <c r="BU2107" t="s">
        <v>1459</v>
      </c>
      <c r="BV2107" t="s">
        <v>86</v>
      </c>
      <c r="BY2107">
        <v>160293.13</v>
      </c>
      <c r="CA2107" t="s">
        <v>1336</v>
      </c>
      <c r="CC2107" t="s">
        <v>483</v>
      </c>
      <c r="CD2107">
        <v>1459</v>
      </c>
      <c r="CE2107" t="s">
        <v>88</v>
      </c>
      <c r="CF2107" s="3">
        <v>43782</v>
      </c>
      <c r="CI2107">
        <v>1</v>
      </c>
      <c r="CJ2107">
        <v>1</v>
      </c>
      <c r="CK2107" t="s">
        <v>379</v>
      </c>
      <c r="CL2107" t="s">
        <v>89</v>
      </c>
    </row>
    <row r="2108" spans="1:90">
      <c r="A2108" t="s">
        <v>72</v>
      </c>
      <c r="B2108" t="s">
        <v>73</v>
      </c>
      <c r="C2108" t="s">
        <v>74</v>
      </c>
      <c r="E2108" t="str">
        <f>"FES1162720739"</f>
        <v>FES1162720739</v>
      </c>
      <c r="F2108" s="3">
        <v>43770</v>
      </c>
      <c r="G2108">
        <v>202005</v>
      </c>
      <c r="H2108" t="s">
        <v>75</v>
      </c>
      <c r="I2108" t="s">
        <v>76</v>
      </c>
      <c r="J2108" t="s">
        <v>211</v>
      </c>
      <c r="K2108" t="s">
        <v>78</v>
      </c>
      <c r="L2108" t="s">
        <v>95</v>
      </c>
      <c r="M2108" t="s">
        <v>96</v>
      </c>
      <c r="N2108" t="s">
        <v>2393</v>
      </c>
      <c r="O2108" t="s">
        <v>282</v>
      </c>
      <c r="P2108" t="str">
        <f>"2170715114                    "</f>
        <v xml:space="preserve">2170715114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12.36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9.6</v>
      </c>
      <c r="BJ2108">
        <v>6.2</v>
      </c>
      <c r="BK2108">
        <v>10</v>
      </c>
      <c r="BL2108" s="4">
        <v>76.239999999999995</v>
      </c>
      <c r="BM2108" s="4">
        <v>11.44</v>
      </c>
      <c r="BN2108" s="4">
        <v>87.68</v>
      </c>
      <c r="BO2108" s="4">
        <v>87.68</v>
      </c>
      <c r="BP2108" t="s">
        <v>757</v>
      </c>
      <c r="BQ2108" t="s">
        <v>121</v>
      </c>
      <c r="BR2108" t="s">
        <v>212</v>
      </c>
      <c r="BS2108" s="3">
        <v>43773</v>
      </c>
      <c r="BT2108" s="5">
        <v>0.35416666666666669</v>
      </c>
      <c r="BU2108" t="s">
        <v>2394</v>
      </c>
      <c r="BV2108" t="s">
        <v>86</v>
      </c>
      <c r="BY2108">
        <v>30810.799999999999</v>
      </c>
      <c r="CC2108" t="s">
        <v>96</v>
      </c>
      <c r="CD2108">
        <v>1451</v>
      </c>
      <c r="CE2108" t="s">
        <v>88</v>
      </c>
      <c r="CF2108" s="3">
        <v>43783</v>
      </c>
      <c r="CI2108">
        <v>1</v>
      </c>
      <c r="CJ2108">
        <v>1</v>
      </c>
      <c r="CK2108" t="s">
        <v>379</v>
      </c>
      <c r="CL2108" t="s">
        <v>89</v>
      </c>
    </row>
    <row r="2109" spans="1:90">
      <c r="A2109" t="s">
        <v>72</v>
      </c>
      <c r="B2109" t="s">
        <v>73</v>
      </c>
      <c r="C2109" t="s">
        <v>74</v>
      </c>
      <c r="E2109" t="str">
        <f>"FES1162721926"</f>
        <v>FES1162721926</v>
      </c>
      <c r="F2109" s="3">
        <v>43776</v>
      </c>
      <c r="G2109">
        <v>202005</v>
      </c>
      <c r="H2109" t="s">
        <v>75</v>
      </c>
      <c r="I2109" t="s">
        <v>76</v>
      </c>
      <c r="J2109" t="s">
        <v>211</v>
      </c>
      <c r="K2109" t="s">
        <v>78</v>
      </c>
      <c r="L2109" t="s">
        <v>95</v>
      </c>
      <c r="M2109" t="s">
        <v>96</v>
      </c>
      <c r="N2109" t="s">
        <v>557</v>
      </c>
      <c r="O2109" t="s">
        <v>282</v>
      </c>
      <c r="P2109" t="str">
        <f>"2170716125                    "</f>
        <v xml:space="preserve">2170716125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18.13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16.5</v>
      </c>
      <c r="BJ2109">
        <v>29.5</v>
      </c>
      <c r="BK2109">
        <v>30</v>
      </c>
      <c r="BL2109" s="4">
        <v>111.56</v>
      </c>
      <c r="BM2109" s="4">
        <v>16.73</v>
      </c>
      <c r="BN2109" s="4">
        <v>128.29</v>
      </c>
      <c r="BO2109" s="4">
        <v>128.29</v>
      </c>
      <c r="BQ2109" t="s">
        <v>121</v>
      </c>
      <c r="BR2109" t="s">
        <v>212</v>
      </c>
      <c r="BS2109" s="3">
        <v>43777</v>
      </c>
      <c r="BT2109" s="5">
        <v>0.35416666666666669</v>
      </c>
      <c r="BU2109" t="s">
        <v>2395</v>
      </c>
      <c r="BV2109" t="s">
        <v>86</v>
      </c>
      <c r="BY2109">
        <v>147417.73000000001</v>
      </c>
      <c r="CC2109" t="s">
        <v>96</v>
      </c>
      <c r="CD2109">
        <v>1451</v>
      </c>
      <c r="CE2109" t="s">
        <v>88</v>
      </c>
      <c r="CF2109" s="3">
        <v>43780</v>
      </c>
      <c r="CI2109">
        <v>1</v>
      </c>
      <c r="CJ2109">
        <v>1</v>
      </c>
      <c r="CK2109" t="s">
        <v>379</v>
      </c>
      <c r="CL2109" t="s">
        <v>89</v>
      </c>
    </row>
    <row r="2110" spans="1:90">
      <c r="A2110" t="s">
        <v>72</v>
      </c>
      <c r="B2110" t="s">
        <v>73</v>
      </c>
      <c r="C2110" t="s">
        <v>74</v>
      </c>
      <c r="E2110" t="str">
        <f>"RFES1162723558"</f>
        <v>RFES1162723558</v>
      </c>
      <c r="F2110" s="3">
        <v>43790</v>
      </c>
      <c r="G2110">
        <v>202005</v>
      </c>
      <c r="H2110" t="s">
        <v>95</v>
      </c>
      <c r="I2110" t="s">
        <v>96</v>
      </c>
      <c r="J2110" t="s">
        <v>330</v>
      </c>
      <c r="K2110" t="s">
        <v>78</v>
      </c>
      <c r="L2110" t="s">
        <v>75</v>
      </c>
      <c r="M2110" t="s">
        <v>76</v>
      </c>
      <c r="N2110" t="s">
        <v>77</v>
      </c>
      <c r="O2110" t="s">
        <v>82</v>
      </c>
      <c r="P2110" t="str">
        <f>"2170717513                    "</f>
        <v xml:space="preserve">2170717513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6.71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 s="4">
        <v>39.42</v>
      </c>
      <c r="BM2110" s="4">
        <v>5.91</v>
      </c>
      <c r="BN2110" s="4">
        <v>45.33</v>
      </c>
      <c r="BO2110" s="4">
        <v>45.33</v>
      </c>
      <c r="BQ2110" t="s">
        <v>84</v>
      </c>
      <c r="BR2110" t="s">
        <v>109</v>
      </c>
      <c r="BS2110" s="3">
        <v>43791</v>
      </c>
      <c r="BT2110" s="5">
        <v>0.3298611111111111</v>
      </c>
      <c r="BU2110" t="s">
        <v>2396</v>
      </c>
      <c r="BV2110" t="s">
        <v>86</v>
      </c>
      <c r="BY2110">
        <v>1200</v>
      </c>
      <c r="BZ2110" t="s">
        <v>27</v>
      </c>
      <c r="CA2110" t="s">
        <v>198</v>
      </c>
      <c r="CC2110" t="s">
        <v>76</v>
      </c>
      <c r="CD2110">
        <v>1601</v>
      </c>
      <c r="CE2110" t="s">
        <v>147</v>
      </c>
      <c r="CF2110" s="3">
        <v>43794</v>
      </c>
      <c r="CI2110">
        <v>1</v>
      </c>
      <c r="CJ2110">
        <v>1</v>
      </c>
      <c r="CK2110">
        <v>22</v>
      </c>
      <c r="CL2110" t="s">
        <v>89</v>
      </c>
    </row>
    <row r="2111" spans="1:90">
      <c r="A2111" t="s">
        <v>72</v>
      </c>
      <c r="B2111" t="s">
        <v>73</v>
      </c>
      <c r="C2111" t="s">
        <v>74</v>
      </c>
      <c r="E2111" t="str">
        <f>"RFES1162723227"</f>
        <v>RFES1162723227</v>
      </c>
      <c r="F2111" s="3">
        <v>43788</v>
      </c>
      <c r="G2111">
        <v>202005</v>
      </c>
      <c r="H2111" t="s">
        <v>124</v>
      </c>
      <c r="I2111" t="s">
        <v>125</v>
      </c>
      <c r="J2111" t="s">
        <v>2163</v>
      </c>
      <c r="K2111" t="s">
        <v>78</v>
      </c>
      <c r="L2111" t="s">
        <v>75</v>
      </c>
      <c r="M2111" t="s">
        <v>76</v>
      </c>
      <c r="N2111" t="s">
        <v>77</v>
      </c>
      <c r="O2111" t="s">
        <v>82</v>
      </c>
      <c r="P2111" t="str">
        <f>"2170715997                    "</f>
        <v xml:space="preserve">2170715997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6.71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 s="4">
        <v>39.42</v>
      </c>
      <c r="BM2111" s="4">
        <v>5.91</v>
      </c>
      <c r="BN2111" s="4">
        <v>45.33</v>
      </c>
      <c r="BO2111" s="4">
        <v>45.33</v>
      </c>
      <c r="BQ2111" t="s">
        <v>84</v>
      </c>
      <c r="BS2111" s="3">
        <v>43789</v>
      </c>
      <c r="BT2111" s="5">
        <v>0.3743055555555555</v>
      </c>
      <c r="BU2111" t="s">
        <v>1016</v>
      </c>
      <c r="BV2111" t="s">
        <v>86</v>
      </c>
      <c r="BY2111">
        <v>1200</v>
      </c>
      <c r="BZ2111" t="s">
        <v>27</v>
      </c>
      <c r="CA2111" t="s">
        <v>198</v>
      </c>
      <c r="CC2111" t="s">
        <v>76</v>
      </c>
      <c r="CD2111">
        <v>1601</v>
      </c>
      <c r="CE2111" t="s">
        <v>147</v>
      </c>
      <c r="CF2111" s="3">
        <v>43790</v>
      </c>
      <c r="CI2111">
        <v>1</v>
      </c>
      <c r="CJ2111">
        <v>1</v>
      </c>
      <c r="CK2111">
        <v>22</v>
      </c>
      <c r="CL2111" t="s">
        <v>89</v>
      </c>
    </row>
    <row r="2112" spans="1:90">
      <c r="A2112" t="s">
        <v>72</v>
      </c>
      <c r="B2112" t="s">
        <v>73</v>
      </c>
      <c r="C2112" t="s">
        <v>74</v>
      </c>
      <c r="E2112" t="str">
        <f>"RFES1162723336"</f>
        <v>RFES1162723336</v>
      </c>
      <c r="F2112" s="3">
        <v>43788</v>
      </c>
      <c r="G2112">
        <v>202005</v>
      </c>
      <c r="H2112" t="s">
        <v>482</v>
      </c>
      <c r="I2112" t="s">
        <v>483</v>
      </c>
      <c r="J2112" t="s">
        <v>2223</v>
      </c>
      <c r="K2112" t="s">
        <v>78</v>
      </c>
      <c r="L2112" t="s">
        <v>75</v>
      </c>
      <c r="M2112" t="s">
        <v>76</v>
      </c>
      <c r="N2112" t="s">
        <v>77</v>
      </c>
      <c r="O2112" t="s">
        <v>82</v>
      </c>
      <c r="P2112" t="str">
        <f>"2170715551                    "</f>
        <v xml:space="preserve">2170715551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13.94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2.4</v>
      </c>
      <c r="BJ2112">
        <v>6.4</v>
      </c>
      <c r="BK2112">
        <v>6.5</v>
      </c>
      <c r="BL2112" s="4">
        <v>81.93</v>
      </c>
      <c r="BM2112" s="4">
        <v>12.29</v>
      </c>
      <c r="BN2112" s="4">
        <v>94.22</v>
      </c>
      <c r="BO2112" s="4">
        <v>94.22</v>
      </c>
      <c r="BQ2112" t="s">
        <v>84</v>
      </c>
      <c r="BS2112" s="3">
        <v>43789</v>
      </c>
      <c r="BT2112" s="5">
        <v>0.37361111111111112</v>
      </c>
      <c r="BU2112" t="s">
        <v>2397</v>
      </c>
      <c r="BV2112" t="s">
        <v>86</v>
      </c>
      <c r="BY2112">
        <v>31893.119999999999</v>
      </c>
      <c r="CA2112" t="s">
        <v>198</v>
      </c>
      <c r="CC2112" t="s">
        <v>76</v>
      </c>
      <c r="CD2112">
        <v>1601</v>
      </c>
      <c r="CE2112" t="s">
        <v>1598</v>
      </c>
      <c r="CF2112" s="3">
        <v>43790</v>
      </c>
      <c r="CI2112">
        <v>1</v>
      </c>
      <c r="CJ2112">
        <v>1</v>
      </c>
      <c r="CK2112">
        <v>22</v>
      </c>
      <c r="CL2112" t="s">
        <v>89</v>
      </c>
    </row>
    <row r="2113" spans="1:90">
      <c r="A2113" t="s">
        <v>72</v>
      </c>
      <c r="B2113" t="s">
        <v>73</v>
      </c>
      <c r="C2113" t="s">
        <v>74</v>
      </c>
      <c r="E2113" t="str">
        <f>"RFES1162723435"</f>
        <v>RFES1162723435</v>
      </c>
      <c r="F2113" s="3">
        <v>43788</v>
      </c>
      <c r="G2113">
        <v>202005</v>
      </c>
      <c r="H2113" t="s">
        <v>124</v>
      </c>
      <c r="I2113" t="s">
        <v>125</v>
      </c>
      <c r="J2113" t="s">
        <v>2198</v>
      </c>
      <c r="K2113" t="s">
        <v>78</v>
      </c>
      <c r="L2113" t="s">
        <v>75</v>
      </c>
      <c r="M2113" t="s">
        <v>76</v>
      </c>
      <c r="N2113" t="s">
        <v>77</v>
      </c>
      <c r="O2113" t="s">
        <v>82</v>
      </c>
      <c r="P2113" t="str">
        <f>"2170717386                    "</f>
        <v xml:space="preserve">2170717386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6.71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 s="4">
        <v>39.42</v>
      </c>
      <c r="BM2113" s="4">
        <v>5.91</v>
      </c>
      <c r="BN2113" s="4">
        <v>45.33</v>
      </c>
      <c r="BO2113" s="4">
        <v>45.33</v>
      </c>
      <c r="BQ2113" t="s">
        <v>84</v>
      </c>
      <c r="BS2113" s="3">
        <v>43789</v>
      </c>
      <c r="BT2113" s="5">
        <v>0.37361111111111112</v>
      </c>
      <c r="BU2113" t="s">
        <v>1016</v>
      </c>
      <c r="BV2113" t="s">
        <v>86</v>
      </c>
      <c r="BY2113">
        <v>1200</v>
      </c>
      <c r="CA2113" t="s">
        <v>198</v>
      </c>
      <c r="CC2113" t="s">
        <v>76</v>
      </c>
      <c r="CD2113">
        <v>1601</v>
      </c>
      <c r="CE2113" t="s">
        <v>147</v>
      </c>
      <c r="CF2113" s="3">
        <v>43790</v>
      </c>
      <c r="CI2113">
        <v>1</v>
      </c>
      <c r="CJ2113">
        <v>1</v>
      </c>
      <c r="CK2113">
        <v>22</v>
      </c>
      <c r="CL2113" t="s">
        <v>89</v>
      </c>
    </row>
    <row r="2114" spans="1:90">
      <c r="A2114" t="s">
        <v>72</v>
      </c>
      <c r="B2114" t="s">
        <v>73</v>
      </c>
      <c r="C2114" t="s">
        <v>74</v>
      </c>
      <c r="E2114" t="str">
        <f>"FES1162721147"</f>
        <v>FES1162721147</v>
      </c>
      <c r="F2114" s="3">
        <v>43773</v>
      </c>
      <c r="G2114">
        <v>202005</v>
      </c>
      <c r="H2114" t="s">
        <v>75</v>
      </c>
      <c r="I2114" t="s">
        <v>76</v>
      </c>
      <c r="J2114" t="s">
        <v>211</v>
      </c>
      <c r="K2114" t="s">
        <v>78</v>
      </c>
      <c r="L2114" t="s">
        <v>701</v>
      </c>
      <c r="M2114" t="s">
        <v>702</v>
      </c>
      <c r="N2114" t="s">
        <v>2398</v>
      </c>
      <c r="O2114" t="s">
        <v>756</v>
      </c>
      <c r="P2114" t="str">
        <f>"2170715421                    "</f>
        <v xml:space="preserve">2170715421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12.36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0.9</v>
      </c>
      <c r="BJ2114">
        <v>2.6</v>
      </c>
      <c r="BK2114">
        <v>3</v>
      </c>
      <c r="BL2114" s="4">
        <v>71.239999999999995</v>
      </c>
      <c r="BM2114" s="4">
        <v>10.69</v>
      </c>
      <c r="BN2114" s="4">
        <v>81.93</v>
      </c>
      <c r="BO2114" s="4">
        <v>81.93</v>
      </c>
      <c r="BR2114" t="s">
        <v>212</v>
      </c>
      <c r="BS2114" s="3">
        <v>43774</v>
      </c>
      <c r="BT2114" s="5">
        <v>0.3833333333333333</v>
      </c>
      <c r="BU2114" t="s">
        <v>2399</v>
      </c>
      <c r="BV2114" t="s">
        <v>86</v>
      </c>
      <c r="BY2114">
        <v>13239.2</v>
      </c>
      <c r="BZ2114" t="s">
        <v>27</v>
      </c>
      <c r="CA2114" t="s">
        <v>409</v>
      </c>
      <c r="CC2114" t="s">
        <v>702</v>
      </c>
      <c r="CD2114">
        <v>314</v>
      </c>
      <c r="CE2114" t="s">
        <v>147</v>
      </c>
      <c r="CF2114" s="3">
        <v>43776</v>
      </c>
      <c r="CI2114">
        <v>1</v>
      </c>
      <c r="CJ2114">
        <v>1</v>
      </c>
      <c r="CK2114">
        <v>34</v>
      </c>
      <c r="CL2114" t="s">
        <v>89</v>
      </c>
    </row>
    <row r="2115" spans="1:90">
      <c r="A2115" t="s">
        <v>72</v>
      </c>
      <c r="B2115" t="s">
        <v>73</v>
      </c>
      <c r="C2115" t="s">
        <v>74</v>
      </c>
      <c r="E2115" t="str">
        <f>"FES1162723879"</f>
        <v>FES1162723879</v>
      </c>
      <c r="F2115" s="3">
        <v>43788</v>
      </c>
      <c r="G2115">
        <v>202005</v>
      </c>
      <c r="H2115" t="s">
        <v>75</v>
      </c>
      <c r="I2115" t="s">
        <v>76</v>
      </c>
      <c r="J2115" t="s">
        <v>77</v>
      </c>
      <c r="K2115" t="s">
        <v>78</v>
      </c>
      <c r="L2115" t="s">
        <v>124</v>
      </c>
      <c r="M2115" t="s">
        <v>125</v>
      </c>
      <c r="N2115" t="s">
        <v>218</v>
      </c>
      <c r="O2115" t="s">
        <v>82</v>
      </c>
      <c r="P2115" t="str">
        <f>"2170717871                    "</f>
        <v xml:space="preserve">2170717871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6.71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0.8</v>
      </c>
      <c r="BJ2115">
        <v>1.2</v>
      </c>
      <c r="BK2115">
        <v>1.5</v>
      </c>
      <c r="BL2115" s="4">
        <v>39.42</v>
      </c>
      <c r="BM2115" s="4">
        <v>5.91</v>
      </c>
      <c r="BN2115" s="4">
        <v>45.33</v>
      </c>
      <c r="BO2115" s="4">
        <v>45.33</v>
      </c>
      <c r="BQ2115" t="s">
        <v>121</v>
      </c>
      <c r="BR2115" t="s">
        <v>84</v>
      </c>
      <c r="BS2115" s="3">
        <v>43789</v>
      </c>
      <c r="BT2115" s="5">
        <v>0.42638888888888887</v>
      </c>
      <c r="BU2115" t="s">
        <v>1908</v>
      </c>
      <c r="BV2115" t="s">
        <v>86</v>
      </c>
      <c r="BY2115">
        <v>5973.63</v>
      </c>
      <c r="CA2115" t="s">
        <v>837</v>
      </c>
      <c r="CC2115" t="s">
        <v>125</v>
      </c>
      <c r="CD2115">
        <v>2094</v>
      </c>
      <c r="CE2115" t="s">
        <v>88</v>
      </c>
      <c r="CF2115" s="3">
        <v>43790</v>
      </c>
      <c r="CI2115">
        <v>1</v>
      </c>
      <c r="CJ2115">
        <v>1</v>
      </c>
      <c r="CK2115">
        <v>22</v>
      </c>
      <c r="CL2115" t="s">
        <v>89</v>
      </c>
    </row>
    <row r="2116" spans="1:90">
      <c r="A2116" t="s">
        <v>72</v>
      </c>
      <c r="B2116" t="s">
        <v>73</v>
      </c>
      <c r="C2116" t="s">
        <v>74</v>
      </c>
      <c r="E2116" t="str">
        <f>"FES1162723748"</f>
        <v>FES1162723748</v>
      </c>
      <c r="F2116" s="3">
        <v>43788</v>
      </c>
      <c r="G2116">
        <v>202005</v>
      </c>
      <c r="H2116" t="s">
        <v>75</v>
      </c>
      <c r="I2116" t="s">
        <v>76</v>
      </c>
      <c r="J2116" t="s">
        <v>77</v>
      </c>
      <c r="K2116" t="s">
        <v>78</v>
      </c>
      <c r="L2116" t="s">
        <v>106</v>
      </c>
      <c r="M2116" t="s">
        <v>107</v>
      </c>
      <c r="N2116" t="s">
        <v>489</v>
      </c>
      <c r="O2116" t="s">
        <v>82</v>
      </c>
      <c r="P2116" t="str">
        <f>"2170717701                    "</f>
        <v xml:space="preserve">2170717701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12.87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3</v>
      </c>
      <c r="BJ2116">
        <v>1.4</v>
      </c>
      <c r="BK2116">
        <v>3</v>
      </c>
      <c r="BL2116" s="4">
        <v>75.66</v>
      </c>
      <c r="BM2116" s="4">
        <v>11.35</v>
      </c>
      <c r="BN2116" s="4">
        <v>87.01</v>
      </c>
      <c r="BO2116" s="4">
        <v>87.01</v>
      </c>
      <c r="BQ2116" t="s">
        <v>121</v>
      </c>
      <c r="BR2116" t="s">
        <v>84</v>
      </c>
      <c r="BS2116" s="3">
        <v>43789</v>
      </c>
      <c r="BT2116" s="5">
        <v>0.37083333333333335</v>
      </c>
      <c r="BU2116" t="s">
        <v>2400</v>
      </c>
      <c r="BV2116" t="s">
        <v>86</v>
      </c>
      <c r="BY2116">
        <v>7072</v>
      </c>
      <c r="CA2116" t="s">
        <v>773</v>
      </c>
      <c r="CC2116" t="s">
        <v>107</v>
      </c>
      <c r="CD2116">
        <v>6001</v>
      </c>
      <c r="CE2116" t="s">
        <v>88</v>
      </c>
      <c r="CF2116" s="3">
        <v>43790</v>
      </c>
      <c r="CI2116">
        <v>1</v>
      </c>
      <c r="CJ2116">
        <v>1</v>
      </c>
      <c r="CK2116">
        <v>21</v>
      </c>
      <c r="CL2116" t="s">
        <v>89</v>
      </c>
    </row>
    <row r="2117" spans="1:90">
      <c r="A2117" t="s">
        <v>72</v>
      </c>
      <c r="B2117" t="s">
        <v>73</v>
      </c>
      <c r="C2117" t="s">
        <v>74</v>
      </c>
      <c r="E2117" t="str">
        <f>"FES1162723394"</f>
        <v>FES1162723394</v>
      </c>
      <c r="F2117" s="3">
        <v>43788</v>
      </c>
      <c r="G2117">
        <v>202005</v>
      </c>
      <c r="H2117" t="s">
        <v>75</v>
      </c>
      <c r="I2117" t="s">
        <v>76</v>
      </c>
      <c r="J2117" t="s">
        <v>77</v>
      </c>
      <c r="K2117" t="s">
        <v>78</v>
      </c>
      <c r="L2117" t="s">
        <v>482</v>
      </c>
      <c r="M2117" t="s">
        <v>483</v>
      </c>
      <c r="N2117" t="s">
        <v>1054</v>
      </c>
      <c r="O2117" t="s">
        <v>756</v>
      </c>
      <c r="P2117" t="str">
        <f>"2170717341                    "</f>
        <v xml:space="preserve">2170717341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6.71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2.1</v>
      </c>
      <c r="BJ2117">
        <v>1.2</v>
      </c>
      <c r="BK2117">
        <v>3</v>
      </c>
      <c r="BL2117" s="4">
        <v>39.42</v>
      </c>
      <c r="BM2117" s="4">
        <v>5.91</v>
      </c>
      <c r="BN2117" s="4">
        <v>45.33</v>
      </c>
      <c r="BO2117" s="4">
        <v>45.33</v>
      </c>
      <c r="BP2117" t="s">
        <v>757</v>
      </c>
      <c r="BQ2117" t="s">
        <v>109</v>
      </c>
      <c r="BR2117" t="s">
        <v>84</v>
      </c>
      <c r="BS2117" s="3">
        <v>43789</v>
      </c>
      <c r="BT2117" s="5">
        <v>0.37083333333333335</v>
      </c>
      <c r="BU2117" t="s">
        <v>1055</v>
      </c>
      <c r="BV2117" t="s">
        <v>86</v>
      </c>
      <c r="BY2117">
        <v>5969.05</v>
      </c>
      <c r="CA2117" t="s">
        <v>486</v>
      </c>
      <c r="CC2117" t="s">
        <v>483</v>
      </c>
      <c r="CD2117">
        <v>1459</v>
      </c>
      <c r="CE2117" t="s">
        <v>88</v>
      </c>
      <c r="CF2117" s="3">
        <v>43790</v>
      </c>
      <c r="CI2117">
        <v>1</v>
      </c>
      <c r="CJ2117">
        <v>1</v>
      </c>
      <c r="CK2117">
        <v>32</v>
      </c>
      <c r="CL2117" t="s">
        <v>89</v>
      </c>
    </row>
    <row r="2118" spans="1:90">
      <c r="A2118" t="s">
        <v>72</v>
      </c>
      <c r="B2118" t="s">
        <v>73</v>
      </c>
      <c r="C2118" t="s">
        <v>74</v>
      </c>
      <c r="E2118" t="str">
        <f>"FES1162723870"</f>
        <v>FES1162723870</v>
      </c>
      <c r="F2118" s="3">
        <v>43788</v>
      </c>
      <c r="G2118">
        <v>202005</v>
      </c>
      <c r="H2118" t="s">
        <v>75</v>
      </c>
      <c r="I2118" t="s">
        <v>76</v>
      </c>
      <c r="J2118" t="s">
        <v>77</v>
      </c>
      <c r="K2118" t="s">
        <v>78</v>
      </c>
      <c r="L2118" t="s">
        <v>124</v>
      </c>
      <c r="M2118" t="s">
        <v>125</v>
      </c>
      <c r="N2118" t="s">
        <v>126</v>
      </c>
      <c r="O2118" t="s">
        <v>82</v>
      </c>
      <c r="P2118" t="str">
        <f>"2170717853                    "</f>
        <v xml:space="preserve">2170717853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6.71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1.1000000000000001</v>
      </c>
      <c r="BK2118">
        <v>1.5</v>
      </c>
      <c r="BL2118" s="4">
        <v>39.42</v>
      </c>
      <c r="BM2118" s="4">
        <v>5.91</v>
      </c>
      <c r="BN2118" s="4">
        <v>45.33</v>
      </c>
      <c r="BO2118" s="4">
        <v>45.33</v>
      </c>
      <c r="BQ2118" t="s">
        <v>109</v>
      </c>
      <c r="BR2118" t="s">
        <v>84</v>
      </c>
      <c r="BS2118" s="3">
        <v>43789</v>
      </c>
      <c r="BT2118" s="5">
        <v>0.36527777777777781</v>
      </c>
      <c r="BU2118" t="s">
        <v>2401</v>
      </c>
      <c r="BV2118" t="s">
        <v>86</v>
      </c>
      <c r="BY2118">
        <v>5320</v>
      </c>
      <c r="CA2118" t="s">
        <v>837</v>
      </c>
      <c r="CC2118" t="s">
        <v>125</v>
      </c>
      <c r="CD2118">
        <v>2197</v>
      </c>
      <c r="CE2118" t="s">
        <v>88</v>
      </c>
      <c r="CF2118" s="3">
        <v>43790</v>
      </c>
      <c r="CI2118">
        <v>1</v>
      </c>
      <c r="CJ2118">
        <v>1</v>
      </c>
      <c r="CK2118">
        <v>22</v>
      </c>
      <c r="CL2118" t="s">
        <v>89</v>
      </c>
    </row>
    <row r="2119" spans="1:90">
      <c r="A2119" t="s">
        <v>72</v>
      </c>
      <c r="B2119" t="s">
        <v>73</v>
      </c>
      <c r="C2119" t="s">
        <v>74</v>
      </c>
      <c r="E2119" t="str">
        <f>"FES1162723731"</f>
        <v>FES1162723731</v>
      </c>
      <c r="F2119" s="3">
        <v>43788</v>
      </c>
      <c r="G2119">
        <v>202005</v>
      </c>
      <c r="H2119" t="s">
        <v>75</v>
      </c>
      <c r="I2119" t="s">
        <v>76</v>
      </c>
      <c r="J2119" t="s">
        <v>77</v>
      </c>
      <c r="K2119" t="s">
        <v>78</v>
      </c>
      <c r="L2119" t="s">
        <v>270</v>
      </c>
      <c r="M2119" t="s">
        <v>271</v>
      </c>
      <c r="N2119" t="s">
        <v>1478</v>
      </c>
      <c r="O2119" t="s">
        <v>82</v>
      </c>
      <c r="P2119" t="str">
        <f>"217077949                     "</f>
        <v xml:space="preserve">217077949 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25.74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2</v>
      </c>
      <c r="BI2119">
        <v>5.7</v>
      </c>
      <c r="BJ2119">
        <v>3.2</v>
      </c>
      <c r="BK2119">
        <v>6</v>
      </c>
      <c r="BL2119" s="4">
        <v>151.29</v>
      </c>
      <c r="BM2119" s="4">
        <v>22.69</v>
      </c>
      <c r="BN2119" s="4">
        <v>173.98</v>
      </c>
      <c r="BO2119" s="4">
        <v>173.98</v>
      </c>
      <c r="BQ2119" t="s">
        <v>142</v>
      </c>
      <c r="BR2119" t="s">
        <v>84</v>
      </c>
      <c r="BS2119" s="3">
        <v>43789</v>
      </c>
      <c r="BT2119" s="5">
        <v>0.4069444444444445</v>
      </c>
      <c r="BU2119" t="s">
        <v>636</v>
      </c>
      <c r="BV2119" t="s">
        <v>86</v>
      </c>
      <c r="BY2119">
        <v>16065.42</v>
      </c>
      <c r="CA2119" t="s">
        <v>773</v>
      </c>
      <c r="CC2119" t="s">
        <v>271</v>
      </c>
      <c r="CD2119">
        <v>6220</v>
      </c>
      <c r="CE2119" t="s">
        <v>1892</v>
      </c>
      <c r="CF2119" s="3">
        <v>43790</v>
      </c>
      <c r="CI2119">
        <v>1</v>
      </c>
      <c r="CJ2119">
        <v>1</v>
      </c>
      <c r="CK2119">
        <v>21</v>
      </c>
      <c r="CL2119" t="s">
        <v>89</v>
      </c>
    </row>
    <row r="2120" spans="1:90">
      <c r="A2120" t="s">
        <v>72</v>
      </c>
      <c r="B2120" t="s">
        <v>73</v>
      </c>
      <c r="C2120" t="s">
        <v>74</v>
      </c>
      <c r="E2120" t="str">
        <f>"FES41162723874"</f>
        <v>FES41162723874</v>
      </c>
      <c r="F2120" s="3">
        <v>43788</v>
      </c>
      <c r="G2120">
        <v>202005</v>
      </c>
      <c r="H2120" t="s">
        <v>75</v>
      </c>
      <c r="I2120" t="s">
        <v>76</v>
      </c>
      <c r="J2120" t="s">
        <v>77</v>
      </c>
      <c r="K2120" t="s">
        <v>78</v>
      </c>
      <c r="L2120" t="s">
        <v>124</v>
      </c>
      <c r="M2120" t="s">
        <v>125</v>
      </c>
      <c r="N2120" t="s">
        <v>218</v>
      </c>
      <c r="O2120" t="s">
        <v>82</v>
      </c>
      <c r="P2120" t="str">
        <f>"2170717859                    "</f>
        <v xml:space="preserve">2170717859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15.55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7.5</v>
      </c>
      <c r="BJ2120">
        <v>3.1</v>
      </c>
      <c r="BK2120">
        <v>7.5</v>
      </c>
      <c r="BL2120" s="4">
        <v>91.38</v>
      </c>
      <c r="BM2120" s="4">
        <v>13.71</v>
      </c>
      <c r="BN2120" s="4">
        <v>105.09</v>
      </c>
      <c r="BO2120" s="4">
        <v>105.09</v>
      </c>
      <c r="BQ2120" t="s">
        <v>121</v>
      </c>
      <c r="BR2120" t="s">
        <v>84</v>
      </c>
      <c r="BS2120" s="3">
        <v>43789</v>
      </c>
      <c r="BT2120" s="5">
        <v>0.42708333333333331</v>
      </c>
      <c r="BU2120" t="s">
        <v>1908</v>
      </c>
      <c r="BV2120" t="s">
        <v>86</v>
      </c>
      <c r="BY2120">
        <v>15506.58</v>
      </c>
      <c r="CA2120" t="s">
        <v>837</v>
      </c>
      <c r="CC2120" t="s">
        <v>125</v>
      </c>
      <c r="CD2120">
        <v>2094</v>
      </c>
      <c r="CE2120" t="s">
        <v>88</v>
      </c>
      <c r="CF2120" s="3">
        <v>43790</v>
      </c>
      <c r="CI2120">
        <v>1</v>
      </c>
      <c r="CJ2120">
        <v>1</v>
      </c>
      <c r="CK2120">
        <v>22</v>
      </c>
      <c r="CL2120" t="s">
        <v>89</v>
      </c>
    </row>
    <row r="2121" spans="1:90">
      <c r="A2121" t="s">
        <v>72</v>
      </c>
      <c r="B2121" t="s">
        <v>73</v>
      </c>
      <c r="C2121" t="s">
        <v>74</v>
      </c>
      <c r="E2121" t="str">
        <f>"FES1162723892"</f>
        <v>FES1162723892</v>
      </c>
      <c r="F2121" s="3">
        <v>43788</v>
      </c>
      <c r="G2121">
        <v>202005</v>
      </c>
      <c r="H2121" t="s">
        <v>75</v>
      </c>
      <c r="I2121" t="s">
        <v>76</v>
      </c>
      <c r="J2121" t="s">
        <v>77</v>
      </c>
      <c r="K2121" t="s">
        <v>78</v>
      </c>
      <c r="L2121" t="s">
        <v>522</v>
      </c>
      <c r="M2121" t="s">
        <v>523</v>
      </c>
      <c r="N2121" t="s">
        <v>1080</v>
      </c>
      <c r="O2121" t="s">
        <v>82</v>
      </c>
      <c r="P2121" t="str">
        <f>"2170717882                    "</f>
        <v xml:space="preserve">2170717882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20.39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2.4</v>
      </c>
      <c r="BJ2121">
        <v>1</v>
      </c>
      <c r="BK2121">
        <v>2.5</v>
      </c>
      <c r="BL2121" s="4">
        <v>119.83</v>
      </c>
      <c r="BM2121" s="4">
        <v>17.97</v>
      </c>
      <c r="BN2121" s="4">
        <v>137.80000000000001</v>
      </c>
      <c r="BO2121" s="4">
        <v>137.80000000000001</v>
      </c>
      <c r="BQ2121" t="s">
        <v>121</v>
      </c>
      <c r="BR2121" t="s">
        <v>84</v>
      </c>
      <c r="BS2121" s="3">
        <v>43789</v>
      </c>
      <c r="BT2121" s="5">
        <v>0.33333333333333331</v>
      </c>
      <c r="BU2121" t="s">
        <v>2402</v>
      </c>
      <c r="BV2121" t="s">
        <v>86</v>
      </c>
      <c r="BY2121">
        <v>5085.3900000000003</v>
      </c>
      <c r="CA2121" t="s">
        <v>526</v>
      </c>
      <c r="CC2121" t="s">
        <v>523</v>
      </c>
      <c r="CD2121">
        <v>1911</v>
      </c>
      <c r="CE2121" t="s">
        <v>88</v>
      </c>
      <c r="CI2121">
        <v>1</v>
      </c>
      <c r="CJ2121">
        <v>1</v>
      </c>
      <c r="CK2121">
        <v>23</v>
      </c>
      <c r="CL2121" t="s">
        <v>89</v>
      </c>
    </row>
    <row r="2122" spans="1:90">
      <c r="A2122" t="s">
        <v>72</v>
      </c>
      <c r="B2122" t="s">
        <v>73</v>
      </c>
      <c r="C2122" t="s">
        <v>74</v>
      </c>
      <c r="E2122" t="str">
        <f>"FES1162723805"</f>
        <v>FES1162723805</v>
      </c>
      <c r="F2122" s="3">
        <v>43788</v>
      </c>
      <c r="G2122">
        <v>202005</v>
      </c>
      <c r="H2122" t="s">
        <v>75</v>
      </c>
      <c r="I2122" t="s">
        <v>76</v>
      </c>
      <c r="J2122" t="s">
        <v>77</v>
      </c>
      <c r="K2122" t="s">
        <v>78</v>
      </c>
      <c r="L2122" t="s">
        <v>118</v>
      </c>
      <c r="M2122" t="s">
        <v>119</v>
      </c>
      <c r="N2122" t="s">
        <v>248</v>
      </c>
      <c r="O2122" t="s">
        <v>82</v>
      </c>
      <c r="P2122" t="str">
        <f>"2170717783                    "</f>
        <v xml:space="preserve">2170717783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8.58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 s="4">
        <v>50.45</v>
      </c>
      <c r="BM2122" s="4">
        <v>7.57</v>
      </c>
      <c r="BN2122" s="4">
        <v>58.02</v>
      </c>
      <c r="BO2122" s="4">
        <v>58.02</v>
      </c>
      <c r="BQ2122" t="s">
        <v>121</v>
      </c>
      <c r="BR2122" t="s">
        <v>84</v>
      </c>
      <c r="BS2122" s="3">
        <v>43789</v>
      </c>
      <c r="BT2122" s="5">
        <v>0.35486111111111113</v>
      </c>
      <c r="BU2122" t="s">
        <v>2338</v>
      </c>
      <c r="BV2122" t="s">
        <v>86</v>
      </c>
      <c r="BY2122">
        <v>1200</v>
      </c>
      <c r="CA2122" t="s">
        <v>435</v>
      </c>
      <c r="CC2122" t="s">
        <v>119</v>
      </c>
      <c r="CD2122">
        <v>3212</v>
      </c>
      <c r="CE2122" t="s">
        <v>147</v>
      </c>
      <c r="CF2122" s="3">
        <v>43790</v>
      </c>
      <c r="CI2122">
        <v>1</v>
      </c>
      <c r="CJ2122">
        <v>1</v>
      </c>
      <c r="CK2122">
        <v>21</v>
      </c>
      <c r="CL2122" t="s">
        <v>89</v>
      </c>
    </row>
    <row r="2123" spans="1:90">
      <c r="A2123" t="s">
        <v>72</v>
      </c>
      <c r="B2123" t="s">
        <v>73</v>
      </c>
      <c r="C2123" t="s">
        <v>74</v>
      </c>
      <c r="E2123" t="str">
        <f>"FES1162723885"</f>
        <v>FES1162723885</v>
      </c>
      <c r="F2123" s="3">
        <v>43788</v>
      </c>
      <c r="G2123">
        <v>202005</v>
      </c>
      <c r="H2123" t="s">
        <v>75</v>
      </c>
      <c r="I2123" t="s">
        <v>76</v>
      </c>
      <c r="J2123" t="s">
        <v>77</v>
      </c>
      <c r="K2123" t="s">
        <v>78</v>
      </c>
      <c r="L2123" t="s">
        <v>124</v>
      </c>
      <c r="M2123" t="s">
        <v>125</v>
      </c>
      <c r="N2123" t="s">
        <v>218</v>
      </c>
      <c r="O2123" t="s">
        <v>82</v>
      </c>
      <c r="P2123" t="str">
        <f>"217071877                     "</f>
        <v xml:space="preserve">217071877 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6.71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 s="4">
        <v>39.42</v>
      </c>
      <c r="BM2123" s="4">
        <v>5.91</v>
      </c>
      <c r="BN2123" s="4">
        <v>45.33</v>
      </c>
      <c r="BO2123" s="4">
        <v>45.33</v>
      </c>
      <c r="BQ2123" t="s">
        <v>121</v>
      </c>
      <c r="BR2123" t="s">
        <v>84</v>
      </c>
      <c r="BS2123" s="3">
        <v>43789</v>
      </c>
      <c r="BT2123" s="5">
        <v>0.42569444444444443</v>
      </c>
      <c r="BU2123" t="s">
        <v>1908</v>
      </c>
      <c r="BV2123" t="s">
        <v>86</v>
      </c>
      <c r="BY2123">
        <v>1200</v>
      </c>
      <c r="CA2123" t="s">
        <v>837</v>
      </c>
      <c r="CC2123" t="s">
        <v>125</v>
      </c>
      <c r="CD2123">
        <v>2094</v>
      </c>
      <c r="CE2123" t="s">
        <v>147</v>
      </c>
      <c r="CF2123" s="3">
        <v>43790</v>
      </c>
      <c r="CI2123">
        <v>1</v>
      </c>
      <c r="CJ2123">
        <v>1</v>
      </c>
      <c r="CK2123">
        <v>22</v>
      </c>
      <c r="CL2123" t="s">
        <v>89</v>
      </c>
    </row>
    <row r="2124" spans="1:90">
      <c r="A2124" t="s">
        <v>72</v>
      </c>
      <c r="B2124" t="s">
        <v>73</v>
      </c>
      <c r="C2124" t="s">
        <v>74</v>
      </c>
      <c r="E2124" t="str">
        <f>"FES1162723792"</f>
        <v>FES1162723792</v>
      </c>
      <c r="F2124" s="3">
        <v>43788</v>
      </c>
      <c r="G2124">
        <v>202005</v>
      </c>
      <c r="H2124" t="s">
        <v>75</v>
      </c>
      <c r="I2124" t="s">
        <v>76</v>
      </c>
      <c r="J2124" t="s">
        <v>77</v>
      </c>
      <c r="K2124" t="s">
        <v>78</v>
      </c>
      <c r="L2124" t="s">
        <v>90</v>
      </c>
      <c r="M2124" t="s">
        <v>91</v>
      </c>
      <c r="N2124" t="s">
        <v>2403</v>
      </c>
      <c r="O2124" t="s">
        <v>82</v>
      </c>
      <c r="P2124" t="str">
        <f>"2170717764                    "</f>
        <v xml:space="preserve">2170717764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8.58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 s="4">
        <v>50.45</v>
      </c>
      <c r="BM2124" s="4">
        <v>7.57</v>
      </c>
      <c r="BN2124" s="4">
        <v>58.02</v>
      </c>
      <c r="BO2124" s="4">
        <v>58.02</v>
      </c>
      <c r="BQ2124" t="s">
        <v>2404</v>
      </c>
      <c r="BR2124" t="s">
        <v>84</v>
      </c>
      <c r="BS2124" s="3">
        <v>43789</v>
      </c>
      <c r="BT2124" s="5">
        <v>0.34583333333333338</v>
      </c>
      <c r="BU2124" t="s">
        <v>2405</v>
      </c>
      <c r="BV2124" t="s">
        <v>86</v>
      </c>
      <c r="BY2124">
        <v>1200</v>
      </c>
      <c r="CA2124" t="s">
        <v>717</v>
      </c>
      <c r="CC2124" t="s">
        <v>91</v>
      </c>
      <c r="CD2124">
        <v>7925</v>
      </c>
      <c r="CE2124" t="s">
        <v>147</v>
      </c>
      <c r="CF2124" s="3">
        <v>43790</v>
      </c>
      <c r="CI2124">
        <v>1</v>
      </c>
      <c r="CJ2124">
        <v>1</v>
      </c>
      <c r="CK2124">
        <v>21</v>
      </c>
      <c r="CL2124" t="s">
        <v>89</v>
      </c>
    </row>
    <row r="2125" spans="1:90">
      <c r="A2125" t="s">
        <v>72</v>
      </c>
      <c r="B2125" t="s">
        <v>73</v>
      </c>
      <c r="C2125" t="s">
        <v>74</v>
      </c>
      <c r="E2125" t="str">
        <f>"FES1162723896"</f>
        <v>FES1162723896</v>
      </c>
      <c r="F2125" s="3">
        <v>43788</v>
      </c>
      <c r="G2125">
        <v>202005</v>
      </c>
      <c r="H2125" t="s">
        <v>75</v>
      </c>
      <c r="I2125" t="s">
        <v>76</v>
      </c>
      <c r="J2125" t="s">
        <v>77</v>
      </c>
      <c r="K2125" t="s">
        <v>78</v>
      </c>
      <c r="L2125" t="s">
        <v>605</v>
      </c>
      <c r="M2125" t="s">
        <v>606</v>
      </c>
      <c r="N2125" t="s">
        <v>607</v>
      </c>
      <c r="O2125" t="s">
        <v>82</v>
      </c>
      <c r="P2125" t="str">
        <f>"217071855                     "</f>
        <v xml:space="preserve">217071855 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12.07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 s="4">
        <v>70.95</v>
      </c>
      <c r="BM2125" s="4">
        <v>10.64</v>
      </c>
      <c r="BN2125" s="4">
        <v>81.59</v>
      </c>
      <c r="BO2125" s="4">
        <v>81.59</v>
      </c>
      <c r="BQ2125" t="s">
        <v>608</v>
      </c>
      <c r="BR2125" t="s">
        <v>84</v>
      </c>
      <c r="BS2125" s="3">
        <v>43790</v>
      </c>
      <c r="BT2125" s="5">
        <v>0.43402777777777773</v>
      </c>
      <c r="BU2125" t="s">
        <v>2406</v>
      </c>
      <c r="BV2125" t="s">
        <v>89</v>
      </c>
      <c r="BY2125">
        <v>1200</v>
      </c>
      <c r="CA2125" t="s">
        <v>610</v>
      </c>
      <c r="CC2125" t="s">
        <v>606</v>
      </c>
      <c r="CD2125">
        <v>208</v>
      </c>
      <c r="CE2125" t="s">
        <v>147</v>
      </c>
      <c r="CF2125" s="3">
        <v>43794</v>
      </c>
      <c r="CI2125">
        <v>1</v>
      </c>
      <c r="CJ2125">
        <v>2</v>
      </c>
      <c r="CK2125">
        <v>24</v>
      </c>
      <c r="CL2125" t="s">
        <v>89</v>
      </c>
    </row>
    <row r="2126" spans="1:90">
      <c r="A2126" t="s">
        <v>72</v>
      </c>
      <c r="B2126" t="s">
        <v>73</v>
      </c>
      <c r="C2126" t="s">
        <v>74</v>
      </c>
      <c r="E2126" t="str">
        <f>"FES1162723791"</f>
        <v>FES1162723791</v>
      </c>
      <c r="F2126" s="3">
        <v>43788</v>
      </c>
      <c r="G2126">
        <v>202005</v>
      </c>
      <c r="H2126" t="s">
        <v>75</v>
      </c>
      <c r="I2126" t="s">
        <v>76</v>
      </c>
      <c r="J2126" t="s">
        <v>77</v>
      </c>
      <c r="K2126" t="s">
        <v>78</v>
      </c>
      <c r="L2126" t="s">
        <v>101</v>
      </c>
      <c r="M2126" t="s">
        <v>102</v>
      </c>
      <c r="N2126" t="s">
        <v>181</v>
      </c>
      <c r="O2126" t="s">
        <v>82</v>
      </c>
      <c r="P2126" t="str">
        <f>"2170717763                    "</f>
        <v xml:space="preserve">2170717763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8.58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 s="4">
        <v>50.45</v>
      </c>
      <c r="BM2126" s="4">
        <v>7.57</v>
      </c>
      <c r="BN2126" s="4">
        <v>58.02</v>
      </c>
      <c r="BO2126" s="4">
        <v>58.02</v>
      </c>
      <c r="BQ2126" t="s">
        <v>121</v>
      </c>
      <c r="BR2126" t="s">
        <v>84</v>
      </c>
      <c r="BS2126" s="3">
        <v>43789</v>
      </c>
      <c r="BT2126" s="5">
        <v>0.38541666666666669</v>
      </c>
      <c r="BU2126" t="s">
        <v>2407</v>
      </c>
      <c r="BV2126" t="s">
        <v>86</v>
      </c>
      <c r="BY2126">
        <v>1200</v>
      </c>
      <c r="CC2126" t="s">
        <v>102</v>
      </c>
      <c r="CD2126">
        <v>200</v>
      </c>
      <c r="CE2126" t="s">
        <v>147</v>
      </c>
      <c r="CI2126">
        <v>1</v>
      </c>
      <c r="CJ2126">
        <v>1</v>
      </c>
      <c r="CK2126">
        <v>21</v>
      </c>
      <c r="CL2126" t="s">
        <v>89</v>
      </c>
    </row>
    <row r="2127" spans="1:90">
      <c r="A2127" t="s">
        <v>72</v>
      </c>
      <c r="B2127" t="s">
        <v>73</v>
      </c>
      <c r="C2127" t="s">
        <v>74</v>
      </c>
      <c r="E2127" t="str">
        <f>"FES1162723895"</f>
        <v>FES1162723895</v>
      </c>
      <c r="F2127" s="3">
        <v>43788</v>
      </c>
      <c r="G2127">
        <v>202005</v>
      </c>
      <c r="H2127" t="s">
        <v>75</v>
      </c>
      <c r="I2127" t="s">
        <v>76</v>
      </c>
      <c r="J2127" t="s">
        <v>77</v>
      </c>
      <c r="K2127" t="s">
        <v>78</v>
      </c>
      <c r="L2127" t="s">
        <v>1651</v>
      </c>
      <c r="M2127" t="s">
        <v>1651</v>
      </c>
      <c r="N2127" t="s">
        <v>204</v>
      </c>
      <c r="O2127" t="s">
        <v>82</v>
      </c>
      <c r="P2127" t="str">
        <f>"2170717898                    "</f>
        <v xml:space="preserve">2170717898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12.07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 s="4">
        <v>70.95</v>
      </c>
      <c r="BM2127" s="4">
        <v>10.64</v>
      </c>
      <c r="BN2127" s="4">
        <v>81.59</v>
      </c>
      <c r="BO2127" s="4">
        <v>81.59</v>
      </c>
      <c r="BQ2127" t="s">
        <v>109</v>
      </c>
      <c r="BR2127" t="s">
        <v>84</v>
      </c>
      <c r="BS2127" s="3">
        <v>43789</v>
      </c>
      <c r="BT2127" s="5">
        <v>0.41666666666666669</v>
      </c>
      <c r="BU2127" t="s">
        <v>2408</v>
      </c>
      <c r="BV2127" t="s">
        <v>86</v>
      </c>
      <c r="BY2127">
        <v>1200</v>
      </c>
      <c r="CA2127" t="s">
        <v>362</v>
      </c>
      <c r="CC2127" t="s">
        <v>1651</v>
      </c>
      <c r="CD2127">
        <v>1491</v>
      </c>
      <c r="CE2127" t="s">
        <v>147</v>
      </c>
      <c r="CF2127" s="3">
        <v>43790</v>
      </c>
      <c r="CI2127">
        <v>1</v>
      </c>
      <c r="CJ2127">
        <v>1</v>
      </c>
      <c r="CK2127">
        <v>24</v>
      </c>
      <c r="CL2127" t="s">
        <v>89</v>
      </c>
    </row>
    <row r="2128" spans="1:90">
      <c r="A2128" t="s">
        <v>72</v>
      </c>
      <c r="B2128" t="s">
        <v>73</v>
      </c>
      <c r="C2128" t="s">
        <v>74</v>
      </c>
      <c r="E2128" t="str">
        <f>"FES1162723803"</f>
        <v>FES1162723803</v>
      </c>
      <c r="F2128" s="3">
        <v>43788</v>
      </c>
      <c r="G2128">
        <v>202005</v>
      </c>
      <c r="H2128" t="s">
        <v>75</v>
      </c>
      <c r="I2128" t="s">
        <v>76</v>
      </c>
      <c r="J2128" t="s">
        <v>77</v>
      </c>
      <c r="K2128" t="s">
        <v>78</v>
      </c>
      <c r="L2128" t="s">
        <v>90</v>
      </c>
      <c r="M2128" t="s">
        <v>91</v>
      </c>
      <c r="N2128" t="s">
        <v>538</v>
      </c>
      <c r="O2128" t="s">
        <v>82</v>
      </c>
      <c r="P2128" t="str">
        <f>"2170717778                    "</f>
        <v xml:space="preserve">2170717778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8.58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 s="4">
        <v>50.45</v>
      </c>
      <c r="BM2128" s="4">
        <v>7.57</v>
      </c>
      <c r="BN2128" s="4">
        <v>58.02</v>
      </c>
      <c r="BO2128" s="4">
        <v>58.02</v>
      </c>
      <c r="BQ2128" t="s">
        <v>109</v>
      </c>
      <c r="BR2128" t="s">
        <v>84</v>
      </c>
      <c r="BS2128" s="3">
        <v>43789</v>
      </c>
      <c r="BT2128" s="5">
        <v>0.31041666666666667</v>
      </c>
      <c r="BU2128" t="s">
        <v>2409</v>
      </c>
      <c r="BV2128" t="s">
        <v>86</v>
      </c>
      <c r="BY2128">
        <v>1200</v>
      </c>
      <c r="CA2128" t="s">
        <v>140</v>
      </c>
      <c r="CC2128" t="s">
        <v>91</v>
      </c>
      <c r="CD2128">
        <v>7530</v>
      </c>
      <c r="CE2128" t="s">
        <v>147</v>
      </c>
      <c r="CF2128" s="3">
        <v>43790</v>
      </c>
      <c r="CI2128">
        <v>1</v>
      </c>
      <c r="CJ2128">
        <v>1</v>
      </c>
      <c r="CK2128">
        <v>21</v>
      </c>
      <c r="CL2128" t="s">
        <v>89</v>
      </c>
    </row>
    <row r="2129" spans="1:90">
      <c r="A2129" t="s">
        <v>72</v>
      </c>
      <c r="B2129" t="s">
        <v>73</v>
      </c>
      <c r="C2129" t="s">
        <v>74</v>
      </c>
      <c r="E2129" t="str">
        <f>"FES1162723888"</f>
        <v>FES1162723888</v>
      </c>
      <c r="F2129" s="3">
        <v>43788</v>
      </c>
      <c r="G2129">
        <v>202005</v>
      </c>
      <c r="H2129" t="s">
        <v>75</v>
      </c>
      <c r="I2129" t="s">
        <v>76</v>
      </c>
      <c r="J2129" t="s">
        <v>77</v>
      </c>
      <c r="K2129" t="s">
        <v>78</v>
      </c>
      <c r="L2129" t="s">
        <v>90</v>
      </c>
      <c r="M2129" t="s">
        <v>91</v>
      </c>
      <c r="N2129" t="s">
        <v>576</v>
      </c>
      <c r="O2129" t="s">
        <v>82</v>
      </c>
      <c r="P2129" t="str">
        <f>"217071643                     "</f>
        <v xml:space="preserve">217071643 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8.58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 s="4">
        <v>50.45</v>
      </c>
      <c r="BM2129" s="4">
        <v>7.57</v>
      </c>
      <c r="BN2129" s="4">
        <v>58.02</v>
      </c>
      <c r="BO2129" s="4">
        <v>58.02</v>
      </c>
      <c r="BQ2129" t="s">
        <v>109</v>
      </c>
      <c r="BR2129" t="s">
        <v>84</v>
      </c>
      <c r="BS2129" s="3">
        <v>43789</v>
      </c>
      <c r="BT2129" s="5">
        <v>0.34861111111111115</v>
      </c>
      <c r="BU2129" t="s">
        <v>2266</v>
      </c>
      <c r="BV2129" t="s">
        <v>86</v>
      </c>
      <c r="BY2129">
        <v>1200</v>
      </c>
      <c r="CA2129" t="s">
        <v>213</v>
      </c>
      <c r="CC2129" t="s">
        <v>91</v>
      </c>
      <c r="CD2129">
        <v>7441</v>
      </c>
      <c r="CE2129" t="s">
        <v>147</v>
      </c>
      <c r="CF2129" s="3">
        <v>43790</v>
      </c>
      <c r="CI2129">
        <v>1</v>
      </c>
      <c r="CJ2129">
        <v>1</v>
      </c>
      <c r="CK2129">
        <v>21</v>
      </c>
      <c r="CL2129" t="s">
        <v>89</v>
      </c>
    </row>
    <row r="2130" spans="1:90">
      <c r="A2130" t="s">
        <v>72</v>
      </c>
      <c r="B2130" t="s">
        <v>73</v>
      </c>
      <c r="C2130" t="s">
        <v>74</v>
      </c>
      <c r="E2130" t="str">
        <f>"FES1162723773"</f>
        <v>FES1162723773</v>
      </c>
      <c r="F2130" s="3">
        <v>43788</v>
      </c>
      <c r="G2130">
        <v>202005</v>
      </c>
      <c r="H2130" t="s">
        <v>75</v>
      </c>
      <c r="I2130" t="s">
        <v>76</v>
      </c>
      <c r="J2130" t="s">
        <v>77</v>
      </c>
      <c r="K2130" t="s">
        <v>78</v>
      </c>
      <c r="L2130" t="s">
        <v>90</v>
      </c>
      <c r="M2130" t="s">
        <v>91</v>
      </c>
      <c r="N2130" t="s">
        <v>505</v>
      </c>
      <c r="O2130" t="s">
        <v>82</v>
      </c>
      <c r="P2130" t="str">
        <f>"2170717728                    "</f>
        <v xml:space="preserve">2170717728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8.58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 s="4">
        <v>50.45</v>
      </c>
      <c r="BM2130" s="4">
        <v>7.57</v>
      </c>
      <c r="BN2130" s="4">
        <v>58.02</v>
      </c>
      <c r="BO2130" s="4">
        <v>58.02</v>
      </c>
      <c r="BQ2130" t="s">
        <v>121</v>
      </c>
      <c r="BR2130" t="s">
        <v>84</v>
      </c>
      <c r="BS2130" s="3">
        <v>43789</v>
      </c>
      <c r="BT2130" s="5">
        <v>0.35486111111111113</v>
      </c>
      <c r="BU2130" t="s">
        <v>2410</v>
      </c>
      <c r="BV2130" t="s">
        <v>86</v>
      </c>
      <c r="BY2130">
        <v>1200</v>
      </c>
      <c r="CA2130" t="s">
        <v>507</v>
      </c>
      <c r="CC2130" t="s">
        <v>91</v>
      </c>
      <c r="CD2130">
        <v>7764</v>
      </c>
      <c r="CE2130" t="s">
        <v>147</v>
      </c>
      <c r="CF2130" s="3">
        <v>43790</v>
      </c>
      <c r="CI2130">
        <v>1</v>
      </c>
      <c r="CJ2130">
        <v>1</v>
      </c>
      <c r="CK2130">
        <v>21</v>
      </c>
      <c r="CL2130" t="s">
        <v>89</v>
      </c>
    </row>
    <row r="2131" spans="1:90">
      <c r="A2131" t="s">
        <v>72</v>
      </c>
      <c r="B2131" t="s">
        <v>73</v>
      </c>
      <c r="C2131" t="s">
        <v>74</v>
      </c>
      <c r="E2131" t="str">
        <f>"FES1162723887"</f>
        <v>FES1162723887</v>
      </c>
      <c r="F2131" s="3">
        <v>43788</v>
      </c>
      <c r="G2131">
        <v>202005</v>
      </c>
      <c r="H2131" t="s">
        <v>75</v>
      </c>
      <c r="I2131" t="s">
        <v>76</v>
      </c>
      <c r="J2131" t="s">
        <v>77</v>
      </c>
      <c r="K2131" t="s">
        <v>78</v>
      </c>
      <c r="L2131" t="s">
        <v>90</v>
      </c>
      <c r="M2131" t="s">
        <v>91</v>
      </c>
      <c r="N2131" t="s">
        <v>576</v>
      </c>
      <c r="O2131" t="s">
        <v>82</v>
      </c>
      <c r="P2131" t="str">
        <f>"21707136548                   "</f>
        <v xml:space="preserve">21707136548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8.58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 s="4">
        <v>50.45</v>
      </c>
      <c r="BM2131" s="4">
        <v>7.57</v>
      </c>
      <c r="BN2131" s="4">
        <v>58.02</v>
      </c>
      <c r="BO2131" s="4">
        <v>58.02</v>
      </c>
      <c r="BQ2131" t="s">
        <v>109</v>
      </c>
      <c r="BR2131" t="s">
        <v>84</v>
      </c>
      <c r="BS2131" s="3">
        <v>43789</v>
      </c>
      <c r="BT2131" s="5">
        <v>0.34861111111111115</v>
      </c>
      <c r="BU2131" t="s">
        <v>2266</v>
      </c>
      <c r="BV2131" t="s">
        <v>86</v>
      </c>
      <c r="BY2131">
        <v>1200</v>
      </c>
      <c r="CA2131" t="s">
        <v>213</v>
      </c>
      <c r="CC2131" t="s">
        <v>91</v>
      </c>
      <c r="CD2131">
        <v>7441</v>
      </c>
      <c r="CE2131" t="s">
        <v>147</v>
      </c>
      <c r="CF2131" s="3">
        <v>43790</v>
      </c>
      <c r="CI2131">
        <v>1</v>
      </c>
      <c r="CJ2131">
        <v>1</v>
      </c>
      <c r="CK2131">
        <v>21</v>
      </c>
      <c r="CL2131" t="s">
        <v>89</v>
      </c>
    </row>
    <row r="2132" spans="1:90">
      <c r="A2132" t="s">
        <v>72</v>
      </c>
      <c r="B2132" t="s">
        <v>73</v>
      </c>
      <c r="C2132" t="s">
        <v>74</v>
      </c>
      <c r="E2132" t="str">
        <f>"FES1162723822"</f>
        <v>FES1162723822</v>
      </c>
      <c r="F2132" s="3">
        <v>43788</v>
      </c>
      <c r="G2132">
        <v>202005</v>
      </c>
      <c r="H2132" t="s">
        <v>75</v>
      </c>
      <c r="I2132" t="s">
        <v>76</v>
      </c>
      <c r="J2132" t="s">
        <v>77</v>
      </c>
      <c r="K2132" t="s">
        <v>78</v>
      </c>
      <c r="L2132" t="s">
        <v>101</v>
      </c>
      <c r="M2132" t="s">
        <v>102</v>
      </c>
      <c r="N2132" t="s">
        <v>2411</v>
      </c>
      <c r="O2132" t="s">
        <v>82</v>
      </c>
      <c r="P2132" t="str">
        <f>"2170717794                    "</f>
        <v xml:space="preserve">2170717794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8.58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 s="4">
        <v>50.45</v>
      </c>
      <c r="BM2132" s="4">
        <v>7.57</v>
      </c>
      <c r="BN2132" s="4">
        <v>58.02</v>
      </c>
      <c r="BO2132" s="4">
        <v>58.02</v>
      </c>
      <c r="BQ2132" t="s">
        <v>121</v>
      </c>
      <c r="BR2132" t="s">
        <v>84</v>
      </c>
      <c r="BS2132" s="3">
        <v>43789</v>
      </c>
      <c r="BT2132" s="5">
        <v>0.4236111111111111</v>
      </c>
      <c r="BU2132" t="s">
        <v>2412</v>
      </c>
      <c r="BV2132" t="s">
        <v>86</v>
      </c>
      <c r="BY2132">
        <v>1200</v>
      </c>
      <c r="CC2132" t="s">
        <v>102</v>
      </c>
      <c r="CD2132">
        <v>200</v>
      </c>
      <c r="CE2132" t="s">
        <v>147</v>
      </c>
      <c r="CF2132" s="3">
        <v>43791</v>
      </c>
      <c r="CI2132">
        <v>1</v>
      </c>
      <c r="CJ2132">
        <v>1</v>
      </c>
      <c r="CK2132">
        <v>21</v>
      </c>
      <c r="CL2132" t="s">
        <v>89</v>
      </c>
    </row>
    <row r="2133" spans="1:90">
      <c r="A2133" t="s">
        <v>72</v>
      </c>
      <c r="B2133" t="s">
        <v>73</v>
      </c>
      <c r="C2133" t="s">
        <v>74</v>
      </c>
      <c r="E2133" t="str">
        <f>"FES1162723981"</f>
        <v>FES1162723981</v>
      </c>
      <c r="F2133" s="3">
        <v>43788</v>
      </c>
      <c r="G2133">
        <v>202005</v>
      </c>
      <c r="H2133" t="s">
        <v>75</v>
      </c>
      <c r="I2133" t="s">
        <v>76</v>
      </c>
      <c r="J2133" t="s">
        <v>77</v>
      </c>
      <c r="K2133" t="s">
        <v>78</v>
      </c>
      <c r="L2133" t="s">
        <v>106</v>
      </c>
      <c r="M2133" t="s">
        <v>107</v>
      </c>
      <c r="N2133" t="s">
        <v>2413</v>
      </c>
      <c r="O2133" t="s">
        <v>82</v>
      </c>
      <c r="P2133" t="str">
        <f>"2170717880                    "</f>
        <v xml:space="preserve">2170717880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36.46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5.4</v>
      </c>
      <c r="BJ2133">
        <v>8.3000000000000007</v>
      </c>
      <c r="BK2133">
        <v>8.5</v>
      </c>
      <c r="BL2133" s="4">
        <v>214.31</v>
      </c>
      <c r="BM2133" s="4">
        <v>32.15</v>
      </c>
      <c r="BN2133" s="4">
        <v>246.46</v>
      </c>
      <c r="BO2133" s="4">
        <v>246.46</v>
      </c>
      <c r="BQ2133" t="s">
        <v>109</v>
      </c>
      <c r="BR2133" t="s">
        <v>84</v>
      </c>
      <c r="BS2133" s="3">
        <v>43789</v>
      </c>
      <c r="BT2133" s="5">
        <v>0.40347222222222223</v>
      </c>
      <c r="BU2133" t="s">
        <v>2414</v>
      </c>
      <c r="BV2133" t="s">
        <v>86</v>
      </c>
      <c r="BY2133">
        <v>41649.339999999997</v>
      </c>
      <c r="CA2133" t="s">
        <v>2415</v>
      </c>
      <c r="CC2133" t="s">
        <v>107</v>
      </c>
      <c r="CD2133">
        <v>6001</v>
      </c>
      <c r="CE2133" t="s">
        <v>88</v>
      </c>
      <c r="CI2133">
        <v>1</v>
      </c>
      <c r="CJ2133">
        <v>1</v>
      </c>
      <c r="CK2133">
        <v>21</v>
      </c>
      <c r="CL2133" t="s">
        <v>89</v>
      </c>
    </row>
    <row r="2134" spans="1:90">
      <c r="A2134" t="s">
        <v>72</v>
      </c>
      <c r="B2134" t="s">
        <v>73</v>
      </c>
      <c r="C2134" t="s">
        <v>74</v>
      </c>
      <c r="E2134" t="str">
        <f>"FES1162723836"</f>
        <v>FES1162723836</v>
      </c>
      <c r="F2134" s="3">
        <v>43788</v>
      </c>
      <c r="G2134">
        <v>202005</v>
      </c>
      <c r="H2134" t="s">
        <v>75</v>
      </c>
      <c r="I2134" t="s">
        <v>76</v>
      </c>
      <c r="J2134" t="s">
        <v>77</v>
      </c>
      <c r="K2134" t="s">
        <v>78</v>
      </c>
      <c r="L2134" t="s">
        <v>552</v>
      </c>
      <c r="M2134" t="s">
        <v>553</v>
      </c>
      <c r="N2134" t="s">
        <v>554</v>
      </c>
      <c r="O2134" t="s">
        <v>82</v>
      </c>
      <c r="P2134" t="str">
        <f>"2170717818                    "</f>
        <v xml:space="preserve">2170717818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20.37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10.5</v>
      </c>
      <c r="BJ2134">
        <v>1.4</v>
      </c>
      <c r="BK2134">
        <v>10.5</v>
      </c>
      <c r="BL2134" s="4">
        <v>119.72</v>
      </c>
      <c r="BM2134" s="4">
        <v>17.96</v>
      </c>
      <c r="BN2134" s="4">
        <v>137.68</v>
      </c>
      <c r="BO2134" s="4">
        <v>137.68</v>
      </c>
      <c r="BQ2134" t="s">
        <v>109</v>
      </c>
      <c r="BR2134" t="s">
        <v>84</v>
      </c>
      <c r="BS2134" s="3">
        <v>43789</v>
      </c>
      <c r="BT2134" s="5">
        <v>0.41319444444444442</v>
      </c>
      <c r="BU2134" t="s">
        <v>555</v>
      </c>
      <c r="BV2134" t="s">
        <v>86</v>
      </c>
      <c r="BY2134">
        <v>6781.32</v>
      </c>
      <c r="CA2134" t="s">
        <v>556</v>
      </c>
      <c r="CC2134" t="s">
        <v>553</v>
      </c>
      <c r="CD2134">
        <v>1540</v>
      </c>
      <c r="CE2134" t="s">
        <v>88</v>
      </c>
      <c r="CF2134" s="3">
        <v>43790</v>
      </c>
      <c r="CI2134">
        <v>1</v>
      </c>
      <c r="CJ2134">
        <v>1</v>
      </c>
      <c r="CK2134">
        <v>22</v>
      </c>
      <c r="CL2134" t="s">
        <v>89</v>
      </c>
    </row>
    <row r="2135" spans="1:90">
      <c r="A2135" t="s">
        <v>72</v>
      </c>
      <c r="B2135" t="s">
        <v>73</v>
      </c>
      <c r="C2135" t="s">
        <v>74</v>
      </c>
      <c r="E2135" t="str">
        <f>"FES1162723852"</f>
        <v>FES1162723852</v>
      </c>
      <c r="F2135" s="3">
        <v>43788</v>
      </c>
      <c r="G2135">
        <v>202005</v>
      </c>
      <c r="H2135" t="s">
        <v>75</v>
      </c>
      <c r="I2135" t="s">
        <v>76</v>
      </c>
      <c r="J2135" t="s">
        <v>77</v>
      </c>
      <c r="K2135" t="s">
        <v>78</v>
      </c>
      <c r="L2135" t="s">
        <v>124</v>
      </c>
      <c r="M2135" t="s">
        <v>125</v>
      </c>
      <c r="N2135" t="s">
        <v>2416</v>
      </c>
      <c r="O2135" t="s">
        <v>82</v>
      </c>
      <c r="P2135" t="str">
        <f>"2170717839                    "</f>
        <v xml:space="preserve">2170717839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6.71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0.9</v>
      </c>
      <c r="BK2135">
        <v>1</v>
      </c>
      <c r="BL2135" s="4">
        <v>39.42</v>
      </c>
      <c r="BM2135" s="4">
        <v>5.91</v>
      </c>
      <c r="BN2135" s="4">
        <v>45.33</v>
      </c>
      <c r="BO2135" s="4">
        <v>45.33</v>
      </c>
      <c r="BQ2135" t="s">
        <v>109</v>
      </c>
      <c r="BR2135" t="s">
        <v>84</v>
      </c>
      <c r="BS2135" s="3">
        <v>43789</v>
      </c>
      <c r="BT2135" s="5">
        <v>0.375</v>
      </c>
      <c r="BU2135" t="s">
        <v>2417</v>
      </c>
      <c r="BV2135" t="s">
        <v>86</v>
      </c>
      <c r="BY2135">
        <v>4510.4399999999996</v>
      </c>
      <c r="CC2135" t="s">
        <v>125</v>
      </c>
      <c r="CD2135">
        <v>2013</v>
      </c>
      <c r="CE2135" t="s">
        <v>88</v>
      </c>
      <c r="CF2135" s="3">
        <v>43790</v>
      </c>
      <c r="CI2135">
        <v>1</v>
      </c>
      <c r="CJ2135">
        <v>1</v>
      </c>
      <c r="CK2135">
        <v>22</v>
      </c>
      <c r="CL2135" t="s">
        <v>89</v>
      </c>
    </row>
    <row r="2136" spans="1:90">
      <c r="A2136" t="s">
        <v>72</v>
      </c>
      <c r="B2136" t="s">
        <v>73</v>
      </c>
      <c r="C2136" t="s">
        <v>74</v>
      </c>
      <c r="E2136" t="str">
        <f>"FES1162723835"</f>
        <v>FES1162723835</v>
      </c>
      <c r="F2136" s="3">
        <v>43788</v>
      </c>
      <c r="G2136">
        <v>202005</v>
      </c>
      <c r="H2136" t="s">
        <v>75</v>
      </c>
      <c r="I2136" t="s">
        <v>76</v>
      </c>
      <c r="J2136" t="s">
        <v>77</v>
      </c>
      <c r="K2136" t="s">
        <v>78</v>
      </c>
      <c r="L2136" t="s">
        <v>90</v>
      </c>
      <c r="M2136" t="s">
        <v>91</v>
      </c>
      <c r="N2136" t="s">
        <v>401</v>
      </c>
      <c r="O2136" t="s">
        <v>82</v>
      </c>
      <c r="P2136" t="str">
        <f>"2170717815                    "</f>
        <v xml:space="preserve">2170717815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23.59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5.0999999999999996</v>
      </c>
      <c r="BJ2136">
        <v>1.6</v>
      </c>
      <c r="BK2136">
        <v>5.5</v>
      </c>
      <c r="BL2136" s="4">
        <v>138.68</v>
      </c>
      <c r="BM2136" s="4">
        <v>20.8</v>
      </c>
      <c r="BN2136" s="4">
        <v>159.47999999999999</v>
      </c>
      <c r="BO2136" s="4">
        <v>159.47999999999999</v>
      </c>
      <c r="BQ2136" t="s">
        <v>109</v>
      </c>
      <c r="BR2136" t="s">
        <v>84</v>
      </c>
      <c r="BS2136" s="3">
        <v>43789</v>
      </c>
      <c r="BT2136" s="5">
        <v>0.33749999999999997</v>
      </c>
      <c r="BU2136" t="s">
        <v>402</v>
      </c>
      <c r="BV2136" t="s">
        <v>86</v>
      </c>
      <c r="BY2136">
        <v>7818.27</v>
      </c>
      <c r="CA2136" t="s">
        <v>221</v>
      </c>
      <c r="CC2136" t="s">
        <v>91</v>
      </c>
      <c r="CD2136">
        <v>7441</v>
      </c>
      <c r="CE2136" t="s">
        <v>88</v>
      </c>
      <c r="CF2136" s="3">
        <v>43790</v>
      </c>
      <c r="CI2136">
        <v>1</v>
      </c>
      <c r="CJ2136">
        <v>1</v>
      </c>
      <c r="CK2136">
        <v>21</v>
      </c>
      <c r="CL2136" t="s">
        <v>89</v>
      </c>
    </row>
    <row r="2137" spans="1:90">
      <c r="A2137" t="s">
        <v>72</v>
      </c>
      <c r="B2137" t="s">
        <v>73</v>
      </c>
      <c r="C2137" t="s">
        <v>74</v>
      </c>
      <c r="E2137" t="str">
        <f>"FES1162723808"</f>
        <v>FES1162723808</v>
      </c>
      <c r="F2137" s="3">
        <v>43788</v>
      </c>
      <c r="G2137">
        <v>202005</v>
      </c>
      <c r="H2137" t="s">
        <v>75</v>
      </c>
      <c r="I2137" t="s">
        <v>76</v>
      </c>
      <c r="J2137" t="s">
        <v>77</v>
      </c>
      <c r="K2137" t="s">
        <v>78</v>
      </c>
      <c r="L2137" t="s">
        <v>124</v>
      </c>
      <c r="M2137" t="s">
        <v>125</v>
      </c>
      <c r="N2137" t="s">
        <v>2328</v>
      </c>
      <c r="O2137" t="s">
        <v>82</v>
      </c>
      <c r="P2137" t="str">
        <f>"2170717787                    "</f>
        <v xml:space="preserve">2170717787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6.71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1.5</v>
      </c>
      <c r="BJ2137">
        <v>0.9</v>
      </c>
      <c r="BK2137">
        <v>1.5</v>
      </c>
      <c r="BL2137" s="4">
        <v>39.42</v>
      </c>
      <c r="BM2137" s="4">
        <v>5.91</v>
      </c>
      <c r="BN2137" s="4">
        <v>45.33</v>
      </c>
      <c r="BO2137" s="4">
        <v>45.33</v>
      </c>
      <c r="BQ2137" t="s">
        <v>109</v>
      </c>
      <c r="BR2137" t="s">
        <v>84</v>
      </c>
      <c r="BS2137" s="3">
        <v>43789</v>
      </c>
      <c r="BT2137" s="5">
        <v>0.35416666666666669</v>
      </c>
      <c r="BU2137" t="s">
        <v>2418</v>
      </c>
      <c r="BV2137" t="s">
        <v>86</v>
      </c>
      <c r="BY2137">
        <v>4674.68</v>
      </c>
      <c r="CC2137" t="s">
        <v>125</v>
      </c>
      <c r="CD2137">
        <v>2042</v>
      </c>
      <c r="CE2137" t="s">
        <v>88</v>
      </c>
      <c r="CF2137" s="3">
        <v>43790</v>
      </c>
      <c r="CI2137">
        <v>1</v>
      </c>
      <c r="CJ2137">
        <v>1</v>
      </c>
      <c r="CK2137">
        <v>22</v>
      </c>
      <c r="CL2137" t="s">
        <v>89</v>
      </c>
    </row>
    <row r="2138" spans="1:90">
      <c r="A2138" t="s">
        <v>72</v>
      </c>
      <c r="B2138" t="s">
        <v>73</v>
      </c>
      <c r="C2138" t="s">
        <v>74</v>
      </c>
      <c r="E2138" t="str">
        <f>"FES1162723816"</f>
        <v>FES1162723816</v>
      </c>
      <c r="F2138" s="3">
        <v>43788</v>
      </c>
      <c r="G2138">
        <v>202005</v>
      </c>
      <c r="H2138" t="s">
        <v>75</v>
      </c>
      <c r="I2138" t="s">
        <v>76</v>
      </c>
      <c r="J2138" t="s">
        <v>77</v>
      </c>
      <c r="K2138" t="s">
        <v>78</v>
      </c>
      <c r="L2138" t="s">
        <v>662</v>
      </c>
      <c r="M2138" t="s">
        <v>663</v>
      </c>
      <c r="N2138" t="s">
        <v>2419</v>
      </c>
      <c r="O2138" t="s">
        <v>82</v>
      </c>
      <c r="P2138" t="str">
        <f>"2170717788                    "</f>
        <v xml:space="preserve">2170717788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46.67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2.9</v>
      </c>
      <c r="BJ2138">
        <v>5.9</v>
      </c>
      <c r="BK2138">
        <v>6</v>
      </c>
      <c r="BL2138" s="4">
        <v>274.35000000000002</v>
      </c>
      <c r="BM2138" s="4">
        <v>41.15</v>
      </c>
      <c r="BN2138" s="4">
        <v>315.5</v>
      </c>
      <c r="BO2138" s="4">
        <v>315.5</v>
      </c>
      <c r="BQ2138" t="s">
        <v>2420</v>
      </c>
      <c r="BR2138" t="s">
        <v>84</v>
      </c>
      <c r="BS2138" s="3">
        <v>43789</v>
      </c>
      <c r="BT2138" s="5">
        <v>0.41666666666666669</v>
      </c>
      <c r="BU2138" t="s">
        <v>1645</v>
      </c>
      <c r="BV2138" t="s">
        <v>86</v>
      </c>
      <c r="BY2138">
        <v>29500.58</v>
      </c>
      <c r="CC2138" t="s">
        <v>663</v>
      </c>
      <c r="CD2138">
        <v>6506</v>
      </c>
      <c r="CE2138" t="s">
        <v>88</v>
      </c>
      <c r="CF2138" s="3">
        <v>43790</v>
      </c>
      <c r="CI2138">
        <v>1</v>
      </c>
      <c r="CJ2138">
        <v>1</v>
      </c>
      <c r="CK2138">
        <v>23</v>
      </c>
      <c r="CL2138" t="s">
        <v>89</v>
      </c>
    </row>
    <row r="2139" spans="1:90">
      <c r="A2139" t="s">
        <v>72</v>
      </c>
      <c r="B2139" t="s">
        <v>73</v>
      </c>
      <c r="C2139" t="s">
        <v>74</v>
      </c>
      <c r="E2139" t="str">
        <f>"FES1162723801"</f>
        <v>FES1162723801</v>
      </c>
      <c r="F2139" s="3">
        <v>43788</v>
      </c>
      <c r="G2139">
        <v>202005</v>
      </c>
      <c r="H2139" t="s">
        <v>75</v>
      </c>
      <c r="I2139" t="s">
        <v>76</v>
      </c>
      <c r="J2139" t="s">
        <v>77</v>
      </c>
      <c r="K2139" t="s">
        <v>78</v>
      </c>
      <c r="L2139" t="s">
        <v>124</v>
      </c>
      <c r="M2139" t="s">
        <v>125</v>
      </c>
      <c r="N2139" t="s">
        <v>218</v>
      </c>
      <c r="O2139" t="s">
        <v>82</v>
      </c>
      <c r="P2139" t="str">
        <f>"2170717775                    "</f>
        <v xml:space="preserve">2170717775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8.31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1.5</v>
      </c>
      <c r="BJ2139">
        <v>3</v>
      </c>
      <c r="BK2139">
        <v>3</v>
      </c>
      <c r="BL2139" s="4">
        <v>48.86</v>
      </c>
      <c r="BM2139" s="4">
        <v>7.33</v>
      </c>
      <c r="BN2139" s="4">
        <v>56.19</v>
      </c>
      <c r="BO2139" s="4">
        <v>56.19</v>
      </c>
      <c r="BQ2139" t="s">
        <v>121</v>
      </c>
      <c r="BR2139" t="s">
        <v>84</v>
      </c>
      <c r="BS2139" s="3">
        <v>43789</v>
      </c>
      <c r="BT2139" s="5">
        <v>0.42569444444444443</v>
      </c>
      <c r="BU2139" t="s">
        <v>1908</v>
      </c>
      <c r="BV2139" t="s">
        <v>86</v>
      </c>
      <c r="BY2139">
        <v>15214.73</v>
      </c>
      <c r="CA2139" t="s">
        <v>837</v>
      </c>
      <c r="CC2139" t="s">
        <v>125</v>
      </c>
      <c r="CD2139">
        <v>2094</v>
      </c>
      <c r="CE2139" t="s">
        <v>88</v>
      </c>
      <c r="CF2139" s="3">
        <v>43790</v>
      </c>
      <c r="CI2139">
        <v>1</v>
      </c>
      <c r="CJ2139">
        <v>1</v>
      </c>
      <c r="CK2139">
        <v>22</v>
      </c>
      <c r="CL2139" t="s">
        <v>89</v>
      </c>
    </row>
    <row r="2140" spans="1:90">
      <c r="A2140" t="s">
        <v>72</v>
      </c>
      <c r="B2140" t="s">
        <v>73</v>
      </c>
      <c r="C2140" t="s">
        <v>74</v>
      </c>
      <c r="E2140" t="str">
        <f>"FES1162723861"</f>
        <v>FES1162723861</v>
      </c>
      <c r="F2140" s="3">
        <v>43788</v>
      </c>
      <c r="G2140">
        <v>202005</v>
      </c>
      <c r="H2140" t="s">
        <v>75</v>
      </c>
      <c r="I2140" t="s">
        <v>76</v>
      </c>
      <c r="J2140" t="s">
        <v>77</v>
      </c>
      <c r="K2140" t="s">
        <v>78</v>
      </c>
      <c r="L2140" t="s">
        <v>75</v>
      </c>
      <c r="M2140" t="s">
        <v>76</v>
      </c>
      <c r="N2140" t="s">
        <v>2421</v>
      </c>
      <c r="O2140" t="s">
        <v>82</v>
      </c>
      <c r="P2140" t="str">
        <f>"2170717847                    "</f>
        <v xml:space="preserve">2170717847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6.71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 s="4">
        <v>39.42</v>
      </c>
      <c r="BM2140" s="4">
        <v>5.91</v>
      </c>
      <c r="BN2140" s="4">
        <v>45.33</v>
      </c>
      <c r="BO2140" s="4">
        <v>45.33</v>
      </c>
      <c r="BQ2140" t="s">
        <v>2422</v>
      </c>
      <c r="BR2140" t="s">
        <v>84</v>
      </c>
      <c r="BS2140" s="3">
        <v>43789</v>
      </c>
      <c r="BT2140" s="5">
        <v>0.4375</v>
      </c>
      <c r="BU2140" t="s">
        <v>694</v>
      </c>
      <c r="BV2140" t="s">
        <v>86</v>
      </c>
      <c r="BY2140">
        <v>1200</v>
      </c>
      <c r="CC2140" t="s">
        <v>76</v>
      </c>
      <c r="CD2140">
        <v>1609</v>
      </c>
      <c r="CE2140" t="s">
        <v>147</v>
      </c>
      <c r="CF2140" s="3">
        <v>43790</v>
      </c>
      <c r="CI2140">
        <v>1</v>
      </c>
      <c r="CJ2140">
        <v>1</v>
      </c>
      <c r="CK2140">
        <v>22</v>
      </c>
      <c r="CL2140" t="s">
        <v>89</v>
      </c>
    </row>
    <row r="2141" spans="1:90">
      <c r="A2141" t="s">
        <v>72</v>
      </c>
      <c r="B2141" t="s">
        <v>73</v>
      </c>
      <c r="C2141" t="s">
        <v>74</v>
      </c>
      <c r="E2141" t="str">
        <f>"FES1162723857"</f>
        <v>FES1162723857</v>
      </c>
      <c r="F2141" s="3">
        <v>43788</v>
      </c>
      <c r="G2141">
        <v>202005</v>
      </c>
      <c r="H2141" t="s">
        <v>75</v>
      </c>
      <c r="I2141" t="s">
        <v>76</v>
      </c>
      <c r="J2141" t="s">
        <v>77</v>
      </c>
      <c r="K2141" t="s">
        <v>78</v>
      </c>
      <c r="L2141" t="s">
        <v>75</v>
      </c>
      <c r="M2141" t="s">
        <v>76</v>
      </c>
      <c r="N2141" t="s">
        <v>1859</v>
      </c>
      <c r="O2141" t="s">
        <v>82</v>
      </c>
      <c r="P2141" t="str">
        <f>"2170716865                    "</f>
        <v xml:space="preserve">2170716865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6.71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 s="4">
        <v>39.42</v>
      </c>
      <c r="BM2141" s="4">
        <v>5.91</v>
      </c>
      <c r="BN2141" s="4">
        <v>45.33</v>
      </c>
      <c r="BO2141" s="4">
        <v>45.33</v>
      </c>
      <c r="BQ2141" t="s">
        <v>109</v>
      </c>
      <c r="BR2141" t="s">
        <v>84</v>
      </c>
      <c r="BS2141" s="3">
        <v>43789</v>
      </c>
      <c r="BT2141" s="5">
        <v>0.375</v>
      </c>
      <c r="BU2141" t="s">
        <v>2423</v>
      </c>
      <c r="BV2141" t="s">
        <v>86</v>
      </c>
      <c r="BY2141">
        <v>1200</v>
      </c>
      <c r="CC2141" t="s">
        <v>76</v>
      </c>
      <c r="CD2141">
        <v>1619</v>
      </c>
      <c r="CE2141" t="s">
        <v>147</v>
      </c>
      <c r="CF2141" s="3">
        <v>43790</v>
      </c>
      <c r="CI2141">
        <v>1</v>
      </c>
      <c r="CJ2141">
        <v>1</v>
      </c>
      <c r="CK2141">
        <v>22</v>
      </c>
      <c r="CL2141" t="s">
        <v>89</v>
      </c>
    </row>
    <row r="2142" spans="1:90">
      <c r="A2142" t="s">
        <v>72</v>
      </c>
      <c r="B2142" t="s">
        <v>73</v>
      </c>
      <c r="C2142" t="s">
        <v>74</v>
      </c>
      <c r="E2142" t="str">
        <f>"FES1162723855"</f>
        <v>FES1162723855</v>
      </c>
      <c r="F2142" s="3">
        <v>43788</v>
      </c>
      <c r="G2142">
        <v>202005</v>
      </c>
      <c r="H2142" t="s">
        <v>75</v>
      </c>
      <c r="I2142" t="s">
        <v>76</v>
      </c>
      <c r="J2142" t="s">
        <v>77</v>
      </c>
      <c r="K2142" t="s">
        <v>78</v>
      </c>
      <c r="L2142" t="s">
        <v>124</v>
      </c>
      <c r="M2142" t="s">
        <v>125</v>
      </c>
      <c r="N2142" t="s">
        <v>218</v>
      </c>
      <c r="O2142" t="s">
        <v>82</v>
      </c>
      <c r="P2142" t="str">
        <f>"2170717842                    "</f>
        <v xml:space="preserve">2170717842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6.71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 s="4">
        <v>39.42</v>
      </c>
      <c r="BM2142" s="4">
        <v>5.91</v>
      </c>
      <c r="BN2142" s="4">
        <v>45.33</v>
      </c>
      <c r="BO2142" s="4">
        <v>45.33</v>
      </c>
      <c r="BQ2142" t="s">
        <v>121</v>
      </c>
      <c r="BR2142" t="s">
        <v>84</v>
      </c>
      <c r="BS2142" s="3">
        <v>43789</v>
      </c>
      <c r="BT2142" s="5">
        <v>0.4284722222222222</v>
      </c>
      <c r="BU2142" t="s">
        <v>1800</v>
      </c>
      <c r="BV2142" t="s">
        <v>86</v>
      </c>
      <c r="BY2142">
        <v>1200</v>
      </c>
      <c r="CA2142" t="s">
        <v>837</v>
      </c>
      <c r="CC2142" t="s">
        <v>125</v>
      </c>
      <c r="CD2142">
        <v>2094</v>
      </c>
      <c r="CE2142" t="s">
        <v>147</v>
      </c>
      <c r="CF2142" s="3">
        <v>43790</v>
      </c>
      <c r="CI2142">
        <v>1</v>
      </c>
      <c r="CJ2142">
        <v>1</v>
      </c>
      <c r="CK2142">
        <v>22</v>
      </c>
      <c r="CL2142" t="s">
        <v>89</v>
      </c>
    </row>
    <row r="2143" spans="1:90">
      <c r="A2143" t="s">
        <v>72</v>
      </c>
      <c r="B2143" t="s">
        <v>73</v>
      </c>
      <c r="C2143" t="s">
        <v>74</v>
      </c>
      <c r="E2143" t="str">
        <f>"FES1162723859"</f>
        <v>FES1162723859</v>
      </c>
      <c r="F2143" s="3">
        <v>43788</v>
      </c>
      <c r="G2143">
        <v>202005</v>
      </c>
      <c r="H2143" t="s">
        <v>75</v>
      </c>
      <c r="I2143" t="s">
        <v>76</v>
      </c>
      <c r="J2143" t="s">
        <v>77</v>
      </c>
      <c r="K2143" t="s">
        <v>78</v>
      </c>
      <c r="L2143" t="s">
        <v>75</v>
      </c>
      <c r="M2143" t="s">
        <v>76</v>
      </c>
      <c r="N2143" t="s">
        <v>995</v>
      </c>
      <c r="O2143" t="s">
        <v>82</v>
      </c>
      <c r="P2143" t="str">
        <f>"2170717752                    "</f>
        <v xml:space="preserve">2170717752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6.71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 s="4">
        <v>39.42</v>
      </c>
      <c r="BM2143" s="4">
        <v>5.91</v>
      </c>
      <c r="BN2143" s="4">
        <v>45.33</v>
      </c>
      <c r="BO2143" s="4">
        <v>45.33</v>
      </c>
      <c r="BQ2143" t="s">
        <v>121</v>
      </c>
      <c r="BR2143" t="s">
        <v>84</v>
      </c>
      <c r="BS2143" s="3">
        <v>43789</v>
      </c>
      <c r="BT2143" s="5">
        <v>0.34375</v>
      </c>
      <c r="BU2143" t="s">
        <v>2424</v>
      </c>
      <c r="BV2143" t="s">
        <v>86</v>
      </c>
      <c r="BY2143">
        <v>1200</v>
      </c>
      <c r="CA2143" t="s">
        <v>368</v>
      </c>
      <c r="CC2143" t="s">
        <v>76</v>
      </c>
      <c r="CD2143">
        <v>1600</v>
      </c>
      <c r="CE2143" t="s">
        <v>147</v>
      </c>
      <c r="CF2143" s="3">
        <v>43790</v>
      </c>
      <c r="CI2143">
        <v>1</v>
      </c>
      <c r="CJ2143">
        <v>1</v>
      </c>
      <c r="CK2143">
        <v>22</v>
      </c>
      <c r="CL2143" t="s">
        <v>89</v>
      </c>
    </row>
    <row r="2144" spans="1:90">
      <c r="A2144" t="s">
        <v>72</v>
      </c>
      <c r="B2144" t="s">
        <v>73</v>
      </c>
      <c r="C2144" t="s">
        <v>74</v>
      </c>
      <c r="E2144" t="str">
        <f>"FES1162723868"</f>
        <v>FES1162723868</v>
      </c>
      <c r="F2144" s="3">
        <v>43788</v>
      </c>
      <c r="G2144">
        <v>202005</v>
      </c>
      <c r="H2144" t="s">
        <v>75</v>
      </c>
      <c r="I2144" t="s">
        <v>76</v>
      </c>
      <c r="J2144" t="s">
        <v>77</v>
      </c>
      <c r="K2144" t="s">
        <v>78</v>
      </c>
      <c r="L2144" t="s">
        <v>112</v>
      </c>
      <c r="M2144" t="s">
        <v>113</v>
      </c>
      <c r="N2144" t="s">
        <v>2425</v>
      </c>
      <c r="O2144" t="s">
        <v>82</v>
      </c>
      <c r="P2144" t="str">
        <f>"2170717861                    "</f>
        <v xml:space="preserve">2170717861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8.58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 s="4">
        <v>50.45</v>
      </c>
      <c r="BM2144" s="4">
        <v>7.57</v>
      </c>
      <c r="BN2144" s="4">
        <v>58.02</v>
      </c>
      <c r="BO2144" s="4">
        <v>58.02</v>
      </c>
      <c r="BQ2144" t="s">
        <v>121</v>
      </c>
      <c r="BR2144" t="s">
        <v>84</v>
      </c>
      <c r="BS2144" s="3">
        <v>43789</v>
      </c>
      <c r="BT2144" s="5">
        <v>0.4465277777777778</v>
      </c>
      <c r="BU2144" t="s">
        <v>2426</v>
      </c>
      <c r="BV2144" t="s">
        <v>89</v>
      </c>
      <c r="BW2144" t="s">
        <v>144</v>
      </c>
      <c r="BX2144" t="s">
        <v>145</v>
      </c>
      <c r="BY2144">
        <v>1200</v>
      </c>
      <c r="CA2144" t="s">
        <v>2212</v>
      </c>
      <c r="CC2144" t="s">
        <v>113</v>
      </c>
      <c r="CD2144">
        <v>4001</v>
      </c>
      <c r="CE2144" t="s">
        <v>147</v>
      </c>
      <c r="CF2144" s="3">
        <v>43790</v>
      </c>
      <c r="CI2144">
        <v>1</v>
      </c>
      <c r="CJ2144">
        <v>1</v>
      </c>
      <c r="CK2144">
        <v>21</v>
      </c>
      <c r="CL2144" t="s">
        <v>89</v>
      </c>
    </row>
    <row r="2145" spans="1:90">
      <c r="A2145" t="s">
        <v>72</v>
      </c>
      <c r="B2145" t="s">
        <v>73</v>
      </c>
      <c r="C2145" t="s">
        <v>74</v>
      </c>
      <c r="E2145" t="str">
        <f>"FES1162723854"</f>
        <v>FES1162723854</v>
      </c>
      <c r="F2145" s="3">
        <v>43788</v>
      </c>
      <c r="G2145">
        <v>202005</v>
      </c>
      <c r="H2145" t="s">
        <v>75</v>
      </c>
      <c r="I2145" t="s">
        <v>76</v>
      </c>
      <c r="J2145" t="s">
        <v>77</v>
      </c>
      <c r="K2145" t="s">
        <v>78</v>
      </c>
      <c r="L2145" t="s">
        <v>90</v>
      </c>
      <c r="M2145" t="s">
        <v>91</v>
      </c>
      <c r="N2145" t="s">
        <v>538</v>
      </c>
      <c r="O2145" t="s">
        <v>82</v>
      </c>
      <c r="P2145" t="str">
        <f>"2170717841                    "</f>
        <v xml:space="preserve">2170717841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8.58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 s="4">
        <v>50.45</v>
      </c>
      <c r="BM2145" s="4">
        <v>7.57</v>
      </c>
      <c r="BN2145" s="4">
        <v>58.02</v>
      </c>
      <c r="BO2145" s="4">
        <v>58.02</v>
      </c>
      <c r="BQ2145" t="s">
        <v>109</v>
      </c>
      <c r="BR2145" t="s">
        <v>84</v>
      </c>
      <c r="BS2145" s="3">
        <v>43789</v>
      </c>
      <c r="BT2145" s="5">
        <v>0.31041666666666667</v>
      </c>
      <c r="BU2145" t="s">
        <v>2409</v>
      </c>
      <c r="BV2145" t="s">
        <v>86</v>
      </c>
      <c r="BY2145">
        <v>1200</v>
      </c>
      <c r="CA2145" t="s">
        <v>140</v>
      </c>
      <c r="CC2145" t="s">
        <v>91</v>
      </c>
      <c r="CD2145">
        <v>7530</v>
      </c>
      <c r="CE2145" t="s">
        <v>147</v>
      </c>
      <c r="CF2145" s="3">
        <v>43790</v>
      </c>
      <c r="CI2145">
        <v>1</v>
      </c>
      <c r="CJ2145">
        <v>1</v>
      </c>
      <c r="CK2145">
        <v>21</v>
      </c>
      <c r="CL2145" t="s">
        <v>89</v>
      </c>
    </row>
    <row r="2146" spans="1:90">
      <c r="A2146" t="s">
        <v>72</v>
      </c>
      <c r="B2146" t="s">
        <v>73</v>
      </c>
      <c r="C2146" t="s">
        <v>74</v>
      </c>
      <c r="E2146" t="str">
        <f>"FES1162723842"</f>
        <v>FES1162723842</v>
      </c>
      <c r="F2146" s="3">
        <v>43788</v>
      </c>
      <c r="G2146">
        <v>202005</v>
      </c>
      <c r="H2146" t="s">
        <v>75</v>
      </c>
      <c r="I2146" t="s">
        <v>76</v>
      </c>
      <c r="J2146" t="s">
        <v>77</v>
      </c>
      <c r="K2146" t="s">
        <v>78</v>
      </c>
      <c r="L2146" t="s">
        <v>75</v>
      </c>
      <c r="M2146" t="s">
        <v>76</v>
      </c>
      <c r="N2146" t="s">
        <v>360</v>
      </c>
      <c r="O2146" t="s">
        <v>82</v>
      </c>
      <c r="P2146" t="str">
        <f>"2170717825                    "</f>
        <v xml:space="preserve">2170717825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6.71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 s="4">
        <v>39.42</v>
      </c>
      <c r="BM2146" s="4">
        <v>5.91</v>
      </c>
      <c r="BN2146" s="4">
        <v>45.33</v>
      </c>
      <c r="BO2146" s="4">
        <v>45.33</v>
      </c>
      <c r="BQ2146" t="s">
        <v>109</v>
      </c>
      <c r="BR2146" t="s">
        <v>84</v>
      </c>
      <c r="BS2146" s="3">
        <v>43789</v>
      </c>
      <c r="BT2146" s="5">
        <v>0.33333333333333331</v>
      </c>
      <c r="BU2146" t="s">
        <v>815</v>
      </c>
      <c r="BV2146" t="s">
        <v>86</v>
      </c>
      <c r="BY2146">
        <v>1200</v>
      </c>
      <c r="CA2146" t="s">
        <v>797</v>
      </c>
      <c r="CC2146" t="s">
        <v>76</v>
      </c>
      <c r="CD2146">
        <v>1645</v>
      </c>
      <c r="CE2146" t="s">
        <v>147</v>
      </c>
      <c r="CF2146" s="3">
        <v>43790</v>
      </c>
      <c r="CI2146">
        <v>1</v>
      </c>
      <c r="CJ2146">
        <v>1</v>
      </c>
      <c r="CK2146">
        <v>22</v>
      </c>
      <c r="CL2146" t="s">
        <v>89</v>
      </c>
    </row>
    <row r="2147" spans="1:90">
      <c r="A2147" t="s">
        <v>72</v>
      </c>
      <c r="B2147" t="s">
        <v>73</v>
      </c>
      <c r="C2147" t="s">
        <v>74</v>
      </c>
      <c r="E2147" t="str">
        <f>"FES1162723831"</f>
        <v>FES1162723831</v>
      </c>
      <c r="F2147" s="3">
        <v>43788</v>
      </c>
      <c r="G2147">
        <v>202005</v>
      </c>
      <c r="H2147" t="s">
        <v>75</v>
      </c>
      <c r="I2147" t="s">
        <v>76</v>
      </c>
      <c r="J2147" t="s">
        <v>77</v>
      </c>
      <c r="K2147" t="s">
        <v>78</v>
      </c>
      <c r="L2147" t="s">
        <v>90</v>
      </c>
      <c r="M2147" t="s">
        <v>91</v>
      </c>
      <c r="N2147" t="s">
        <v>576</v>
      </c>
      <c r="O2147" t="s">
        <v>82</v>
      </c>
      <c r="P2147" t="str">
        <f>"2170707810                    "</f>
        <v xml:space="preserve">2170707810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8.58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 s="4">
        <v>50.45</v>
      </c>
      <c r="BM2147" s="4">
        <v>7.57</v>
      </c>
      <c r="BN2147" s="4">
        <v>58.02</v>
      </c>
      <c r="BO2147" s="4">
        <v>58.02</v>
      </c>
      <c r="BQ2147" t="s">
        <v>109</v>
      </c>
      <c r="BR2147" t="s">
        <v>84</v>
      </c>
      <c r="BS2147" s="3">
        <v>43789</v>
      </c>
      <c r="BT2147" s="5">
        <v>0.34861111111111115</v>
      </c>
      <c r="BU2147" t="s">
        <v>2266</v>
      </c>
      <c r="BV2147" t="s">
        <v>86</v>
      </c>
      <c r="BY2147">
        <v>1200</v>
      </c>
      <c r="CA2147" t="s">
        <v>213</v>
      </c>
      <c r="CC2147" t="s">
        <v>91</v>
      </c>
      <c r="CD2147">
        <v>7441</v>
      </c>
      <c r="CE2147" t="s">
        <v>147</v>
      </c>
      <c r="CF2147" s="3">
        <v>43790</v>
      </c>
      <c r="CI2147">
        <v>1</v>
      </c>
      <c r="CJ2147">
        <v>1</v>
      </c>
      <c r="CK2147">
        <v>21</v>
      </c>
      <c r="CL2147" t="s">
        <v>89</v>
      </c>
    </row>
    <row r="2148" spans="1:90">
      <c r="A2148" t="s">
        <v>72</v>
      </c>
      <c r="B2148" t="s">
        <v>73</v>
      </c>
      <c r="C2148" t="s">
        <v>74</v>
      </c>
      <c r="E2148" t="str">
        <f>"FES1162723851"</f>
        <v>FES1162723851</v>
      </c>
      <c r="F2148" s="3">
        <v>43788</v>
      </c>
      <c r="G2148">
        <v>202005</v>
      </c>
      <c r="H2148" t="s">
        <v>75</v>
      </c>
      <c r="I2148" t="s">
        <v>76</v>
      </c>
      <c r="J2148" t="s">
        <v>77</v>
      </c>
      <c r="K2148" t="s">
        <v>78</v>
      </c>
      <c r="L2148" t="s">
        <v>90</v>
      </c>
      <c r="M2148" t="s">
        <v>91</v>
      </c>
      <c r="N2148" t="s">
        <v>527</v>
      </c>
      <c r="O2148" t="s">
        <v>82</v>
      </c>
      <c r="P2148" t="str">
        <f>"2170717838                    "</f>
        <v xml:space="preserve">2170717838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8.58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 s="4">
        <v>50.45</v>
      </c>
      <c r="BM2148" s="4">
        <v>7.57</v>
      </c>
      <c r="BN2148" s="4">
        <v>58.02</v>
      </c>
      <c r="BO2148" s="4">
        <v>58.02</v>
      </c>
      <c r="BQ2148" t="s">
        <v>109</v>
      </c>
      <c r="BR2148" t="s">
        <v>84</v>
      </c>
      <c r="BS2148" s="3">
        <v>43789</v>
      </c>
      <c r="BT2148" s="5">
        <v>0.31111111111111112</v>
      </c>
      <c r="BU2148" t="s">
        <v>2427</v>
      </c>
      <c r="BV2148" t="s">
        <v>86</v>
      </c>
      <c r="BY2148">
        <v>1200</v>
      </c>
      <c r="CA2148" t="s">
        <v>221</v>
      </c>
      <c r="CC2148" t="s">
        <v>91</v>
      </c>
      <c r="CD2148">
        <v>7405</v>
      </c>
      <c r="CE2148" t="s">
        <v>147</v>
      </c>
      <c r="CF2148" s="3">
        <v>43790</v>
      </c>
      <c r="CI2148">
        <v>1</v>
      </c>
      <c r="CJ2148">
        <v>1</v>
      </c>
      <c r="CK2148">
        <v>21</v>
      </c>
      <c r="CL2148" t="s">
        <v>89</v>
      </c>
    </row>
    <row r="2149" spans="1:90">
      <c r="A2149" t="s">
        <v>72</v>
      </c>
      <c r="B2149" t="s">
        <v>73</v>
      </c>
      <c r="C2149" t="s">
        <v>74</v>
      </c>
      <c r="E2149" t="str">
        <f>"FES1162723843"</f>
        <v>FES1162723843</v>
      </c>
      <c r="F2149" s="3">
        <v>43788</v>
      </c>
      <c r="G2149">
        <v>202005</v>
      </c>
      <c r="H2149" t="s">
        <v>75</v>
      </c>
      <c r="I2149" t="s">
        <v>76</v>
      </c>
      <c r="J2149" t="s">
        <v>77</v>
      </c>
      <c r="K2149" t="s">
        <v>78</v>
      </c>
      <c r="L2149" t="s">
        <v>90</v>
      </c>
      <c r="M2149" t="s">
        <v>91</v>
      </c>
      <c r="N2149" t="s">
        <v>538</v>
      </c>
      <c r="O2149" t="s">
        <v>82</v>
      </c>
      <c r="P2149" t="str">
        <f>"2170717826                    "</f>
        <v xml:space="preserve">2170717826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8.58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 s="4">
        <v>50.45</v>
      </c>
      <c r="BM2149" s="4">
        <v>7.57</v>
      </c>
      <c r="BN2149" s="4">
        <v>58.02</v>
      </c>
      <c r="BO2149" s="4">
        <v>58.02</v>
      </c>
      <c r="BQ2149" t="s">
        <v>109</v>
      </c>
      <c r="BR2149" t="s">
        <v>84</v>
      </c>
      <c r="BS2149" s="3">
        <v>43789</v>
      </c>
      <c r="BT2149" s="5">
        <v>0.31041666666666667</v>
      </c>
      <c r="BU2149" t="s">
        <v>2409</v>
      </c>
      <c r="BV2149" t="s">
        <v>86</v>
      </c>
      <c r="BY2149">
        <v>1200</v>
      </c>
      <c r="CA2149" t="s">
        <v>140</v>
      </c>
      <c r="CC2149" t="s">
        <v>91</v>
      </c>
      <c r="CD2149">
        <v>7530</v>
      </c>
      <c r="CE2149" t="s">
        <v>147</v>
      </c>
      <c r="CF2149" s="3">
        <v>43790</v>
      </c>
      <c r="CI2149">
        <v>1</v>
      </c>
      <c r="CJ2149">
        <v>1</v>
      </c>
      <c r="CK2149">
        <v>21</v>
      </c>
      <c r="CL2149" t="s">
        <v>89</v>
      </c>
    </row>
    <row r="2150" spans="1:90">
      <c r="A2150" t="s">
        <v>72</v>
      </c>
      <c r="B2150" t="s">
        <v>73</v>
      </c>
      <c r="C2150" t="s">
        <v>74</v>
      </c>
      <c r="E2150" t="str">
        <f>"FES1162723862"</f>
        <v>FES1162723862</v>
      </c>
      <c r="F2150" s="3">
        <v>43788</v>
      </c>
      <c r="G2150">
        <v>202005</v>
      </c>
      <c r="H2150" t="s">
        <v>75</v>
      </c>
      <c r="I2150" t="s">
        <v>76</v>
      </c>
      <c r="J2150" t="s">
        <v>77</v>
      </c>
      <c r="K2150" t="s">
        <v>78</v>
      </c>
      <c r="L2150" t="s">
        <v>106</v>
      </c>
      <c r="M2150" t="s">
        <v>107</v>
      </c>
      <c r="N2150" t="s">
        <v>242</v>
      </c>
      <c r="O2150" t="s">
        <v>82</v>
      </c>
      <c r="P2150" t="str">
        <f>"2170717848                    "</f>
        <v xml:space="preserve">2170717848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8.58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 s="4">
        <v>50.45</v>
      </c>
      <c r="BM2150" s="4">
        <v>7.57</v>
      </c>
      <c r="BN2150" s="4">
        <v>58.02</v>
      </c>
      <c r="BO2150" s="4">
        <v>58.02</v>
      </c>
      <c r="BQ2150" t="s">
        <v>109</v>
      </c>
      <c r="BR2150" t="s">
        <v>84</v>
      </c>
      <c r="BS2150" s="3">
        <v>43789</v>
      </c>
      <c r="BT2150" s="5">
        <v>0.40138888888888885</v>
      </c>
      <c r="BU2150" t="s">
        <v>499</v>
      </c>
      <c r="BV2150" t="s">
        <v>86</v>
      </c>
      <c r="BY2150">
        <v>1200</v>
      </c>
      <c r="CA2150" t="s">
        <v>244</v>
      </c>
      <c r="CC2150" t="s">
        <v>107</v>
      </c>
      <c r="CD2150">
        <v>6001</v>
      </c>
      <c r="CE2150" t="s">
        <v>147</v>
      </c>
      <c r="CF2150" s="3">
        <v>43790</v>
      </c>
      <c r="CI2150">
        <v>1</v>
      </c>
      <c r="CJ2150">
        <v>1</v>
      </c>
      <c r="CK2150">
        <v>21</v>
      </c>
      <c r="CL2150" t="s">
        <v>89</v>
      </c>
    </row>
    <row r="2151" spans="1:90">
      <c r="A2151" t="s">
        <v>72</v>
      </c>
      <c r="B2151" t="s">
        <v>73</v>
      </c>
      <c r="C2151" t="s">
        <v>74</v>
      </c>
      <c r="E2151" t="str">
        <f>"FES1162723860"</f>
        <v>FES1162723860</v>
      </c>
      <c r="F2151" s="3">
        <v>43788</v>
      </c>
      <c r="G2151">
        <v>202005</v>
      </c>
      <c r="H2151" t="s">
        <v>75</v>
      </c>
      <c r="I2151" t="s">
        <v>76</v>
      </c>
      <c r="J2151" t="s">
        <v>77</v>
      </c>
      <c r="K2151" t="s">
        <v>78</v>
      </c>
      <c r="L2151" t="s">
        <v>192</v>
      </c>
      <c r="M2151" t="s">
        <v>193</v>
      </c>
      <c r="N2151" t="s">
        <v>558</v>
      </c>
      <c r="O2151" t="s">
        <v>82</v>
      </c>
      <c r="P2151" t="str">
        <f>"2170717846                    "</f>
        <v xml:space="preserve">2170717846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16.63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 s="4">
        <v>97.75</v>
      </c>
      <c r="BM2151" s="4">
        <v>14.66</v>
      </c>
      <c r="BN2151" s="4">
        <v>112.41</v>
      </c>
      <c r="BO2151" s="4">
        <v>112.41</v>
      </c>
      <c r="BQ2151" t="s">
        <v>121</v>
      </c>
      <c r="BR2151" t="s">
        <v>84</v>
      </c>
      <c r="BS2151" s="3">
        <v>43789</v>
      </c>
      <c r="BT2151" s="5">
        <v>0.51388888888888895</v>
      </c>
      <c r="BU2151" t="s">
        <v>2428</v>
      </c>
      <c r="BV2151" t="s">
        <v>86</v>
      </c>
      <c r="BY2151">
        <v>1200</v>
      </c>
      <c r="CA2151" t="s">
        <v>1364</v>
      </c>
      <c r="CC2151" t="s">
        <v>193</v>
      </c>
      <c r="CD2151">
        <v>7130</v>
      </c>
      <c r="CE2151" t="s">
        <v>147</v>
      </c>
      <c r="CF2151" s="3">
        <v>43790</v>
      </c>
      <c r="CI2151">
        <v>1</v>
      </c>
      <c r="CJ2151">
        <v>1</v>
      </c>
      <c r="CK2151">
        <v>23</v>
      </c>
      <c r="CL2151" t="s">
        <v>89</v>
      </c>
    </row>
    <row r="2152" spans="1:90">
      <c r="A2152" t="s">
        <v>72</v>
      </c>
      <c r="B2152" t="s">
        <v>73</v>
      </c>
      <c r="C2152" t="s">
        <v>74</v>
      </c>
      <c r="E2152" t="str">
        <f>"FES1162723845"</f>
        <v>FES1162723845</v>
      </c>
      <c r="F2152" s="3">
        <v>43788</v>
      </c>
      <c r="G2152">
        <v>202005</v>
      </c>
      <c r="H2152" t="s">
        <v>75</v>
      </c>
      <c r="I2152" t="s">
        <v>76</v>
      </c>
      <c r="J2152" t="s">
        <v>77</v>
      </c>
      <c r="K2152" t="s">
        <v>78</v>
      </c>
      <c r="L2152" t="s">
        <v>90</v>
      </c>
      <c r="M2152" t="s">
        <v>91</v>
      </c>
      <c r="N2152" t="s">
        <v>190</v>
      </c>
      <c r="O2152" t="s">
        <v>82</v>
      </c>
      <c r="P2152" t="str">
        <f>"2170717829                    "</f>
        <v xml:space="preserve">2170717829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8.58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 s="4">
        <v>50.45</v>
      </c>
      <c r="BM2152" s="4">
        <v>7.57</v>
      </c>
      <c r="BN2152" s="4">
        <v>58.02</v>
      </c>
      <c r="BO2152" s="4">
        <v>58.02</v>
      </c>
      <c r="BQ2152" t="s">
        <v>109</v>
      </c>
      <c r="BR2152" t="s">
        <v>84</v>
      </c>
      <c r="BS2152" s="3">
        <v>43789</v>
      </c>
      <c r="BT2152" s="5">
        <v>0.39097222222222222</v>
      </c>
      <c r="BU2152" t="s">
        <v>2429</v>
      </c>
      <c r="BV2152" t="s">
        <v>86</v>
      </c>
      <c r="BY2152">
        <v>1200</v>
      </c>
      <c r="CA2152" t="s">
        <v>213</v>
      </c>
      <c r="CC2152" t="s">
        <v>91</v>
      </c>
      <c r="CD2152">
        <v>7441</v>
      </c>
      <c r="CE2152" t="s">
        <v>147</v>
      </c>
      <c r="CF2152" s="3">
        <v>43790</v>
      </c>
      <c r="CI2152">
        <v>1</v>
      </c>
      <c r="CJ2152">
        <v>1</v>
      </c>
      <c r="CK2152">
        <v>21</v>
      </c>
      <c r="CL2152" t="s">
        <v>89</v>
      </c>
    </row>
    <row r="2153" spans="1:90">
      <c r="A2153" t="s">
        <v>72</v>
      </c>
      <c r="B2153" t="s">
        <v>73</v>
      </c>
      <c r="C2153" t="s">
        <v>74</v>
      </c>
      <c r="E2153" t="str">
        <f>"FES1162723849"</f>
        <v>FES1162723849</v>
      </c>
      <c r="F2153" s="3">
        <v>43788</v>
      </c>
      <c r="G2153">
        <v>202005</v>
      </c>
      <c r="H2153" t="s">
        <v>75</v>
      </c>
      <c r="I2153" t="s">
        <v>76</v>
      </c>
      <c r="J2153" t="s">
        <v>77</v>
      </c>
      <c r="K2153" t="s">
        <v>78</v>
      </c>
      <c r="L2153" t="s">
        <v>296</v>
      </c>
      <c r="M2153" t="s">
        <v>297</v>
      </c>
      <c r="N2153" t="s">
        <v>672</v>
      </c>
      <c r="O2153" t="s">
        <v>82</v>
      </c>
      <c r="P2153" t="str">
        <f>"21870717836                   "</f>
        <v xml:space="preserve">21870717836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16.63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 s="4">
        <v>97.75</v>
      </c>
      <c r="BM2153" s="4">
        <v>14.66</v>
      </c>
      <c r="BN2153" s="4">
        <v>112.41</v>
      </c>
      <c r="BO2153" s="4">
        <v>112.41</v>
      </c>
      <c r="BQ2153" t="s">
        <v>142</v>
      </c>
      <c r="BR2153" t="s">
        <v>84</v>
      </c>
      <c r="BS2153" s="3">
        <v>43790</v>
      </c>
      <c r="BT2153" s="5">
        <v>0.36458333333333331</v>
      </c>
      <c r="BU2153" t="s">
        <v>690</v>
      </c>
      <c r="BV2153" t="s">
        <v>86</v>
      </c>
      <c r="BY2153">
        <v>1200</v>
      </c>
      <c r="CA2153" t="s">
        <v>300</v>
      </c>
      <c r="CC2153" t="s">
        <v>297</v>
      </c>
      <c r="CD2153">
        <v>6850</v>
      </c>
      <c r="CE2153" t="s">
        <v>147</v>
      </c>
      <c r="CF2153" s="3">
        <v>43791</v>
      </c>
      <c r="CI2153">
        <v>3</v>
      </c>
      <c r="CJ2153">
        <v>2</v>
      </c>
      <c r="CK2153">
        <v>23</v>
      </c>
      <c r="CL2153" t="s">
        <v>89</v>
      </c>
    </row>
    <row r="2154" spans="1:90">
      <c r="A2154" t="s">
        <v>72</v>
      </c>
      <c r="B2154" t="s">
        <v>73</v>
      </c>
      <c r="C2154" t="s">
        <v>74</v>
      </c>
      <c r="E2154" t="str">
        <f>"FES1162723814"</f>
        <v>FES1162723814</v>
      </c>
      <c r="F2154" s="3">
        <v>43788</v>
      </c>
      <c r="G2154">
        <v>202005</v>
      </c>
      <c r="H2154" t="s">
        <v>75</v>
      </c>
      <c r="I2154" t="s">
        <v>76</v>
      </c>
      <c r="J2154" t="s">
        <v>77</v>
      </c>
      <c r="K2154" t="s">
        <v>78</v>
      </c>
      <c r="L2154" t="s">
        <v>2138</v>
      </c>
      <c r="M2154" t="s">
        <v>2139</v>
      </c>
      <c r="N2154" t="s">
        <v>2108</v>
      </c>
      <c r="O2154" t="s">
        <v>82</v>
      </c>
      <c r="P2154" t="str">
        <f>"2170717482                    "</f>
        <v xml:space="preserve">2170717482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27.9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3.5</v>
      </c>
      <c r="BJ2154">
        <v>1.5</v>
      </c>
      <c r="BK2154">
        <v>3.5</v>
      </c>
      <c r="BL2154" s="4">
        <v>163.98</v>
      </c>
      <c r="BM2154" s="4">
        <v>24.6</v>
      </c>
      <c r="BN2154" s="4">
        <v>188.58</v>
      </c>
      <c r="BO2154" s="4">
        <v>188.58</v>
      </c>
      <c r="BQ2154" t="s">
        <v>121</v>
      </c>
      <c r="BR2154" t="s">
        <v>84</v>
      </c>
      <c r="BS2154" s="3">
        <v>43789</v>
      </c>
      <c r="BT2154" s="5">
        <v>0.41666666666666669</v>
      </c>
      <c r="BU2154" t="s">
        <v>1039</v>
      </c>
      <c r="BV2154" t="s">
        <v>86</v>
      </c>
      <c r="BY2154">
        <v>7675.37</v>
      </c>
      <c r="CA2154" t="s">
        <v>123</v>
      </c>
      <c r="CC2154" t="s">
        <v>2139</v>
      </c>
      <c r="CD2154">
        <v>9499</v>
      </c>
      <c r="CE2154" t="s">
        <v>88</v>
      </c>
      <c r="CF2154" s="3">
        <v>43791</v>
      </c>
      <c r="CI2154">
        <v>1</v>
      </c>
      <c r="CJ2154">
        <v>1</v>
      </c>
      <c r="CK2154">
        <v>23</v>
      </c>
      <c r="CL2154" t="s">
        <v>89</v>
      </c>
    </row>
    <row r="2155" spans="1:90">
      <c r="A2155" t="s">
        <v>72</v>
      </c>
      <c r="B2155" t="s">
        <v>73</v>
      </c>
      <c r="C2155" t="s">
        <v>74</v>
      </c>
      <c r="E2155" t="str">
        <f>"FES1162723866"</f>
        <v>FES1162723866</v>
      </c>
      <c r="F2155" s="3">
        <v>43788</v>
      </c>
      <c r="G2155">
        <v>202005</v>
      </c>
      <c r="H2155" t="s">
        <v>75</v>
      </c>
      <c r="I2155" t="s">
        <v>76</v>
      </c>
      <c r="J2155" t="s">
        <v>77</v>
      </c>
      <c r="K2155" t="s">
        <v>78</v>
      </c>
      <c r="L2155" t="s">
        <v>546</v>
      </c>
      <c r="M2155" t="s">
        <v>547</v>
      </c>
      <c r="N2155" t="s">
        <v>830</v>
      </c>
      <c r="O2155" t="s">
        <v>82</v>
      </c>
      <c r="P2155" t="str">
        <f>"2170717851                    "</f>
        <v xml:space="preserve">2170717851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8.31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2.9</v>
      </c>
      <c r="BJ2155">
        <v>1.3</v>
      </c>
      <c r="BK2155">
        <v>3</v>
      </c>
      <c r="BL2155" s="4">
        <v>48.86</v>
      </c>
      <c r="BM2155" s="4">
        <v>7.33</v>
      </c>
      <c r="BN2155" s="4">
        <v>56.19</v>
      </c>
      <c r="BO2155" s="4">
        <v>56.19</v>
      </c>
      <c r="BQ2155" t="s">
        <v>121</v>
      </c>
      <c r="BR2155" t="s">
        <v>84</v>
      </c>
      <c r="BS2155" s="3">
        <v>43789</v>
      </c>
      <c r="BT2155" s="5">
        <v>0.38194444444444442</v>
      </c>
      <c r="BU2155" t="s">
        <v>2430</v>
      </c>
      <c r="BV2155" t="s">
        <v>86</v>
      </c>
      <c r="BY2155">
        <v>6634.43</v>
      </c>
      <c r="CC2155" t="s">
        <v>547</v>
      </c>
      <c r="CD2155">
        <v>1709</v>
      </c>
      <c r="CE2155" t="s">
        <v>88</v>
      </c>
      <c r="CF2155" s="3">
        <v>43790</v>
      </c>
      <c r="CI2155">
        <v>1</v>
      </c>
      <c r="CJ2155">
        <v>1</v>
      </c>
      <c r="CK2155">
        <v>22</v>
      </c>
      <c r="CL2155" t="s">
        <v>89</v>
      </c>
    </row>
    <row r="2156" spans="1:90">
      <c r="A2156" t="s">
        <v>72</v>
      </c>
      <c r="B2156" t="s">
        <v>73</v>
      </c>
      <c r="C2156" t="s">
        <v>74</v>
      </c>
      <c r="E2156" t="str">
        <f>"FES1162723853"</f>
        <v>FES1162723853</v>
      </c>
      <c r="F2156" s="3">
        <v>43788</v>
      </c>
      <c r="G2156">
        <v>202005</v>
      </c>
      <c r="H2156" t="s">
        <v>75</v>
      </c>
      <c r="I2156" t="s">
        <v>76</v>
      </c>
      <c r="J2156" t="s">
        <v>77</v>
      </c>
      <c r="K2156" t="s">
        <v>78</v>
      </c>
      <c r="L2156" t="s">
        <v>106</v>
      </c>
      <c r="M2156" t="s">
        <v>107</v>
      </c>
      <c r="N2156" t="s">
        <v>2431</v>
      </c>
      <c r="O2156" t="s">
        <v>82</v>
      </c>
      <c r="P2156" t="str">
        <f>"2170717840                    "</f>
        <v xml:space="preserve">2170717840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30.03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6.8</v>
      </c>
      <c r="BJ2156">
        <v>3.4</v>
      </c>
      <c r="BK2156">
        <v>7</v>
      </c>
      <c r="BL2156" s="4">
        <v>176.5</v>
      </c>
      <c r="BM2156" s="4">
        <v>26.48</v>
      </c>
      <c r="BN2156" s="4">
        <v>202.98</v>
      </c>
      <c r="BO2156" s="4">
        <v>202.98</v>
      </c>
      <c r="BQ2156" t="s">
        <v>121</v>
      </c>
      <c r="BR2156" t="s">
        <v>84</v>
      </c>
      <c r="BS2156" s="3">
        <v>43789</v>
      </c>
      <c r="BT2156" s="5">
        <v>0.3520833333333333</v>
      </c>
      <c r="BU2156" t="s">
        <v>2432</v>
      </c>
      <c r="BV2156" t="s">
        <v>86</v>
      </c>
      <c r="BY2156">
        <v>17028.57</v>
      </c>
      <c r="CA2156" t="s">
        <v>2415</v>
      </c>
      <c r="CC2156" t="s">
        <v>107</v>
      </c>
      <c r="CD2156">
        <v>6001</v>
      </c>
      <c r="CE2156" t="s">
        <v>88</v>
      </c>
      <c r="CF2156" s="3">
        <v>43790</v>
      </c>
      <c r="CI2156">
        <v>1</v>
      </c>
      <c r="CJ2156">
        <v>1</v>
      </c>
      <c r="CK2156">
        <v>21</v>
      </c>
      <c r="CL2156" t="s">
        <v>89</v>
      </c>
    </row>
    <row r="2157" spans="1:90">
      <c r="A2157" t="s">
        <v>72</v>
      </c>
      <c r="B2157" t="s">
        <v>73</v>
      </c>
      <c r="C2157" t="s">
        <v>74</v>
      </c>
      <c r="E2157" t="str">
        <f>"FES1162723815"</f>
        <v>FES1162723815</v>
      </c>
      <c r="F2157" s="3">
        <v>43788</v>
      </c>
      <c r="G2157">
        <v>202005</v>
      </c>
      <c r="H2157" t="s">
        <v>75</v>
      </c>
      <c r="I2157" t="s">
        <v>76</v>
      </c>
      <c r="J2157" t="s">
        <v>77</v>
      </c>
      <c r="K2157" t="s">
        <v>78</v>
      </c>
      <c r="L2157" t="s">
        <v>133</v>
      </c>
      <c r="M2157" t="s">
        <v>134</v>
      </c>
      <c r="N2157" t="s">
        <v>1201</v>
      </c>
      <c r="O2157" t="s">
        <v>82</v>
      </c>
      <c r="P2157" t="str">
        <f>"2170717587                    "</f>
        <v xml:space="preserve">2170717587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51.47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11.9</v>
      </c>
      <c r="BJ2157">
        <v>4.2</v>
      </c>
      <c r="BK2157">
        <v>12</v>
      </c>
      <c r="BL2157" s="4">
        <v>302.54000000000002</v>
      </c>
      <c r="BM2157" s="4">
        <v>45.38</v>
      </c>
      <c r="BN2157" s="4">
        <v>347.92</v>
      </c>
      <c r="BO2157" s="4">
        <v>347.92</v>
      </c>
      <c r="BQ2157" t="s">
        <v>109</v>
      </c>
      <c r="BR2157" t="s">
        <v>84</v>
      </c>
      <c r="BS2157" s="3">
        <v>43789</v>
      </c>
      <c r="BT2157" s="5">
        <v>0.41666666666666669</v>
      </c>
      <c r="BU2157" t="s">
        <v>2433</v>
      </c>
      <c r="BV2157" t="s">
        <v>86</v>
      </c>
      <c r="BY2157">
        <v>20818.34</v>
      </c>
      <c r="CA2157" t="s">
        <v>2434</v>
      </c>
      <c r="CC2157" t="s">
        <v>134</v>
      </c>
      <c r="CD2157">
        <v>5201</v>
      </c>
      <c r="CE2157" t="s">
        <v>88</v>
      </c>
      <c r="CF2157" s="3">
        <v>43791</v>
      </c>
      <c r="CI2157">
        <v>1</v>
      </c>
      <c r="CJ2157">
        <v>1</v>
      </c>
      <c r="CK2157">
        <v>21</v>
      </c>
      <c r="CL2157" t="s">
        <v>89</v>
      </c>
    </row>
    <row r="2158" spans="1:90">
      <c r="A2158" t="s">
        <v>72</v>
      </c>
      <c r="B2158" t="s">
        <v>73</v>
      </c>
      <c r="C2158" t="s">
        <v>74</v>
      </c>
      <c r="E2158" t="str">
        <f>"FES1162723865"</f>
        <v>FES1162723865</v>
      </c>
      <c r="F2158" s="3">
        <v>43788</v>
      </c>
      <c r="G2158">
        <v>202005</v>
      </c>
      <c r="H2158" t="s">
        <v>75</v>
      </c>
      <c r="I2158" t="s">
        <v>76</v>
      </c>
      <c r="J2158" t="s">
        <v>77</v>
      </c>
      <c r="K2158" t="s">
        <v>78</v>
      </c>
      <c r="L2158" t="s">
        <v>101</v>
      </c>
      <c r="M2158" t="s">
        <v>102</v>
      </c>
      <c r="N2158" t="s">
        <v>2435</v>
      </c>
      <c r="O2158" t="s">
        <v>82</v>
      </c>
      <c r="P2158" t="str">
        <f>"2170717850                    "</f>
        <v xml:space="preserve">2170717850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10.73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1.3</v>
      </c>
      <c r="BJ2158">
        <v>2.2999999999999998</v>
      </c>
      <c r="BK2158">
        <v>2.5</v>
      </c>
      <c r="BL2158" s="4">
        <v>63.06</v>
      </c>
      <c r="BM2158" s="4">
        <v>9.4600000000000009</v>
      </c>
      <c r="BN2158" s="4">
        <v>72.52</v>
      </c>
      <c r="BO2158" s="4">
        <v>72.52</v>
      </c>
      <c r="BQ2158" t="s">
        <v>121</v>
      </c>
      <c r="BR2158" t="s">
        <v>84</v>
      </c>
      <c r="BS2158" s="3">
        <v>43789</v>
      </c>
      <c r="BT2158" s="5">
        <v>0.41666666666666669</v>
      </c>
      <c r="BU2158" t="s">
        <v>2436</v>
      </c>
      <c r="BV2158" t="s">
        <v>86</v>
      </c>
      <c r="BY2158">
        <v>11639.55</v>
      </c>
      <c r="CA2158" t="s">
        <v>105</v>
      </c>
      <c r="CC2158" t="s">
        <v>102</v>
      </c>
      <c r="CD2158">
        <v>183</v>
      </c>
      <c r="CE2158" t="s">
        <v>88</v>
      </c>
      <c r="CF2158" s="3">
        <v>43791</v>
      </c>
      <c r="CI2158">
        <v>1</v>
      </c>
      <c r="CJ2158">
        <v>1</v>
      </c>
      <c r="CK2158">
        <v>21</v>
      </c>
      <c r="CL2158" t="s">
        <v>89</v>
      </c>
    </row>
    <row r="2159" spans="1:90">
      <c r="A2159" t="s">
        <v>72</v>
      </c>
      <c r="B2159" t="s">
        <v>73</v>
      </c>
      <c r="C2159" t="s">
        <v>74</v>
      </c>
      <c r="E2159" t="str">
        <f>"009935712095"</f>
        <v>009935712095</v>
      </c>
      <c r="F2159" s="3">
        <v>43788</v>
      </c>
      <c r="G2159">
        <v>202005</v>
      </c>
      <c r="H2159" t="s">
        <v>75</v>
      </c>
      <c r="I2159" t="s">
        <v>76</v>
      </c>
      <c r="J2159" t="s">
        <v>77</v>
      </c>
      <c r="K2159" t="s">
        <v>78</v>
      </c>
      <c r="L2159" t="s">
        <v>133</v>
      </c>
      <c r="M2159" t="s">
        <v>134</v>
      </c>
      <c r="N2159" t="s">
        <v>135</v>
      </c>
      <c r="O2159" t="s">
        <v>82</v>
      </c>
      <c r="P2159" t="str">
        <f>"1162723643                    "</f>
        <v xml:space="preserve">1162723643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8.58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 s="4">
        <v>50.45</v>
      </c>
      <c r="BM2159" s="4">
        <v>7.57</v>
      </c>
      <c r="BN2159" s="4">
        <v>58.02</v>
      </c>
      <c r="BO2159" s="4">
        <v>58.02</v>
      </c>
      <c r="BP2159" t="s">
        <v>2437</v>
      </c>
      <c r="BQ2159" t="s">
        <v>109</v>
      </c>
      <c r="BR2159" t="s">
        <v>84</v>
      </c>
      <c r="BS2159" s="3">
        <v>43789</v>
      </c>
      <c r="BT2159" s="5">
        <v>0.43402777777777773</v>
      </c>
      <c r="BU2159" t="s">
        <v>2438</v>
      </c>
      <c r="BV2159" t="s">
        <v>86</v>
      </c>
      <c r="BY2159">
        <v>1200</v>
      </c>
      <c r="CA2159" t="s">
        <v>137</v>
      </c>
      <c r="CC2159" t="s">
        <v>134</v>
      </c>
      <c r="CD2159">
        <v>5201</v>
      </c>
      <c r="CE2159" t="s">
        <v>147</v>
      </c>
      <c r="CI2159">
        <v>1</v>
      </c>
      <c r="CJ2159">
        <v>1</v>
      </c>
      <c r="CK2159">
        <v>21</v>
      </c>
      <c r="CL2159" t="s">
        <v>89</v>
      </c>
    </row>
    <row r="2160" spans="1:90">
      <c r="A2160" t="s">
        <v>72</v>
      </c>
      <c r="B2160" t="s">
        <v>73</v>
      </c>
      <c r="C2160" t="s">
        <v>74</v>
      </c>
      <c r="E2160" t="str">
        <f>"FES1162723877"</f>
        <v>FES1162723877</v>
      </c>
      <c r="F2160" s="3">
        <v>43788</v>
      </c>
      <c r="G2160">
        <v>202005</v>
      </c>
      <c r="H2160" t="s">
        <v>75</v>
      </c>
      <c r="I2160" t="s">
        <v>76</v>
      </c>
      <c r="J2160" t="s">
        <v>77</v>
      </c>
      <c r="K2160" t="s">
        <v>78</v>
      </c>
      <c r="L2160" t="s">
        <v>2439</v>
      </c>
      <c r="M2160" t="s">
        <v>2440</v>
      </c>
      <c r="N2160" t="s">
        <v>2441</v>
      </c>
      <c r="O2160" t="s">
        <v>82</v>
      </c>
      <c r="P2160" t="str">
        <f>"2170717866                    "</f>
        <v xml:space="preserve">2170717866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16.63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 s="4">
        <v>97.75</v>
      </c>
      <c r="BM2160" s="4">
        <v>14.66</v>
      </c>
      <c r="BN2160" s="4">
        <v>112.41</v>
      </c>
      <c r="BO2160" s="4">
        <v>112.41</v>
      </c>
      <c r="BQ2160" t="s">
        <v>246</v>
      </c>
      <c r="BR2160" t="s">
        <v>84</v>
      </c>
      <c r="BS2160" s="3">
        <v>43789</v>
      </c>
      <c r="BT2160" s="5">
        <v>0.66249999999999998</v>
      </c>
      <c r="BU2160" t="s">
        <v>2442</v>
      </c>
      <c r="BV2160" t="s">
        <v>86</v>
      </c>
      <c r="BY2160">
        <v>1200</v>
      </c>
      <c r="CA2160" t="s">
        <v>123</v>
      </c>
      <c r="CC2160" t="s">
        <v>2440</v>
      </c>
      <c r="CD2160">
        <v>4960</v>
      </c>
      <c r="CE2160" t="s">
        <v>147</v>
      </c>
      <c r="CF2160" s="3">
        <v>43794</v>
      </c>
      <c r="CI2160">
        <v>3</v>
      </c>
      <c r="CJ2160">
        <v>1</v>
      </c>
      <c r="CK2160">
        <v>23</v>
      </c>
      <c r="CL2160" t="s">
        <v>89</v>
      </c>
    </row>
    <row r="2161" spans="1:90">
      <c r="A2161" t="s">
        <v>72</v>
      </c>
      <c r="B2161" t="s">
        <v>73</v>
      </c>
      <c r="C2161" t="s">
        <v>74</v>
      </c>
      <c r="E2161" t="str">
        <f>"FES1162723863"</f>
        <v>FES1162723863</v>
      </c>
      <c r="F2161" s="3">
        <v>43788</v>
      </c>
      <c r="G2161">
        <v>202005</v>
      </c>
      <c r="H2161" t="s">
        <v>75</v>
      </c>
      <c r="I2161" t="s">
        <v>76</v>
      </c>
      <c r="J2161" t="s">
        <v>77</v>
      </c>
      <c r="K2161" t="s">
        <v>78</v>
      </c>
      <c r="L2161" t="s">
        <v>202</v>
      </c>
      <c r="M2161" t="s">
        <v>203</v>
      </c>
      <c r="N2161" t="s">
        <v>1170</v>
      </c>
      <c r="O2161" t="s">
        <v>82</v>
      </c>
      <c r="P2161" t="str">
        <f>"2170714820                    "</f>
        <v xml:space="preserve">2170714820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6.71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 s="4">
        <v>39.42</v>
      </c>
      <c r="BM2161" s="4">
        <v>5.91</v>
      </c>
      <c r="BN2161" s="4">
        <v>45.33</v>
      </c>
      <c r="BO2161" s="4">
        <v>45.33</v>
      </c>
      <c r="BQ2161" t="s">
        <v>337</v>
      </c>
      <c r="BR2161" t="s">
        <v>84</v>
      </c>
      <c r="BS2161" s="3">
        <v>43789</v>
      </c>
      <c r="BT2161" s="5">
        <v>0.37152777777777773</v>
      </c>
      <c r="BU2161" t="s">
        <v>2162</v>
      </c>
      <c r="BV2161" t="s">
        <v>86</v>
      </c>
      <c r="BY2161">
        <v>1200</v>
      </c>
      <c r="CC2161" t="s">
        <v>203</v>
      </c>
      <c r="CD2161">
        <v>1401</v>
      </c>
      <c r="CE2161" t="s">
        <v>147</v>
      </c>
      <c r="CF2161" s="3">
        <v>43791</v>
      </c>
      <c r="CI2161">
        <v>1</v>
      </c>
      <c r="CJ2161">
        <v>1</v>
      </c>
      <c r="CK2161">
        <v>22</v>
      </c>
      <c r="CL2161" t="s">
        <v>89</v>
      </c>
    </row>
    <row r="2162" spans="1:90">
      <c r="A2162" t="s">
        <v>72</v>
      </c>
      <c r="B2162" t="s">
        <v>73</v>
      </c>
      <c r="C2162" t="s">
        <v>74</v>
      </c>
      <c r="E2162" t="str">
        <f>"FES1162720286"</f>
        <v>FES1162720286</v>
      </c>
      <c r="F2162" s="3">
        <v>43788</v>
      </c>
      <c r="G2162">
        <v>202005</v>
      </c>
      <c r="H2162" t="s">
        <v>75</v>
      </c>
      <c r="I2162" t="s">
        <v>76</v>
      </c>
      <c r="J2162" t="s">
        <v>77</v>
      </c>
      <c r="K2162" t="s">
        <v>78</v>
      </c>
      <c r="L2162" t="s">
        <v>124</v>
      </c>
      <c r="M2162" t="s">
        <v>125</v>
      </c>
      <c r="N2162" t="s">
        <v>218</v>
      </c>
      <c r="O2162" t="s">
        <v>82</v>
      </c>
      <c r="P2162" t="str">
        <f>"2170714782                    "</f>
        <v xml:space="preserve">2170714782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6.71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 s="4">
        <v>39.42</v>
      </c>
      <c r="BM2162" s="4">
        <v>5.91</v>
      </c>
      <c r="BN2162" s="4">
        <v>45.33</v>
      </c>
      <c r="BO2162" s="4">
        <v>45.33</v>
      </c>
      <c r="BQ2162" t="s">
        <v>121</v>
      </c>
      <c r="BR2162" t="s">
        <v>84</v>
      </c>
      <c r="BS2162" s="3">
        <v>43789</v>
      </c>
      <c r="BT2162" s="5">
        <v>0.42777777777777781</v>
      </c>
      <c r="BU2162" t="s">
        <v>1800</v>
      </c>
      <c r="BV2162" t="s">
        <v>86</v>
      </c>
      <c r="BY2162">
        <v>1200</v>
      </c>
      <c r="CA2162" t="s">
        <v>837</v>
      </c>
      <c r="CC2162" t="s">
        <v>125</v>
      </c>
      <c r="CD2162">
        <v>2094</v>
      </c>
      <c r="CE2162" t="s">
        <v>147</v>
      </c>
      <c r="CF2162" s="3">
        <v>43790</v>
      </c>
      <c r="CI2162">
        <v>1</v>
      </c>
      <c r="CJ2162">
        <v>1</v>
      </c>
      <c r="CK2162">
        <v>22</v>
      </c>
      <c r="CL2162" t="s">
        <v>89</v>
      </c>
    </row>
    <row r="2163" spans="1:90">
      <c r="A2163" t="s">
        <v>72</v>
      </c>
      <c r="B2163" t="s">
        <v>73</v>
      </c>
      <c r="C2163" t="s">
        <v>74</v>
      </c>
      <c r="E2163" t="str">
        <f>"FES1162723880"</f>
        <v>FES1162723880</v>
      </c>
      <c r="F2163" s="3">
        <v>43788</v>
      </c>
      <c r="G2163">
        <v>202005</v>
      </c>
      <c r="H2163" t="s">
        <v>75</v>
      </c>
      <c r="I2163" t="s">
        <v>76</v>
      </c>
      <c r="J2163" t="s">
        <v>77</v>
      </c>
      <c r="K2163" t="s">
        <v>78</v>
      </c>
      <c r="L2163" t="s">
        <v>106</v>
      </c>
      <c r="M2163" t="s">
        <v>107</v>
      </c>
      <c r="N2163" t="s">
        <v>108</v>
      </c>
      <c r="O2163" t="s">
        <v>82</v>
      </c>
      <c r="P2163" t="str">
        <f>"2170717872                    "</f>
        <v xml:space="preserve">2170717872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27.88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6.3</v>
      </c>
      <c r="BJ2163">
        <v>1.3</v>
      </c>
      <c r="BK2163">
        <v>6.5</v>
      </c>
      <c r="BL2163" s="4">
        <v>163.89</v>
      </c>
      <c r="BM2163" s="4">
        <v>24.58</v>
      </c>
      <c r="BN2163" s="4">
        <v>188.47</v>
      </c>
      <c r="BO2163" s="4">
        <v>188.47</v>
      </c>
      <c r="BQ2163" t="s">
        <v>109</v>
      </c>
      <c r="BR2163" t="s">
        <v>84</v>
      </c>
      <c r="BS2163" s="3">
        <v>43789</v>
      </c>
      <c r="BT2163" s="5">
        <v>0.3611111111111111</v>
      </c>
      <c r="BU2163" t="s">
        <v>2443</v>
      </c>
      <c r="BV2163" t="s">
        <v>86</v>
      </c>
      <c r="BY2163">
        <v>6678</v>
      </c>
      <c r="CA2163" t="s">
        <v>2415</v>
      </c>
      <c r="CC2163" t="s">
        <v>107</v>
      </c>
      <c r="CD2163">
        <v>6001</v>
      </c>
      <c r="CE2163" t="s">
        <v>88</v>
      </c>
      <c r="CF2163" s="3">
        <v>43790</v>
      </c>
      <c r="CI2163">
        <v>1</v>
      </c>
      <c r="CJ2163">
        <v>1</v>
      </c>
      <c r="CK2163">
        <v>21</v>
      </c>
      <c r="CL2163" t="s">
        <v>89</v>
      </c>
    </row>
    <row r="2164" spans="1:90">
      <c r="A2164" t="s">
        <v>72</v>
      </c>
      <c r="B2164" t="s">
        <v>73</v>
      </c>
      <c r="C2164" t="s">
        <v>74</v>
      </c>
      <c r="E2164" t="str">
        <f>"FES1162723771"</f>
        <v>FES1162723771</v>
      </c>
      <c r="F2164" s="3">
        <v>43788</v>
      </c>
      <c r="G2164">
        <v>202005</v>
      </c>
      <c r="H2164" t="s">
        <v>75</v>
      </c>
      <c r="I2164" t="s">
        <v>76</v>
      </c>
      <c r="J2164" t="s">
        <v>77</v>
      </c>
      <c r="K2164" t="s">
        <v>78</v>
      </c>
      <c r="L2164" t="s">
        <v>90</v>
      </c>
      <c r="M2164" t="s">
        <v>91</v>
      </c>
      <c r="N2164" t="s">
        <v>393</v>
      </c>
      <c r="O2164" t="s">
        <v>82</v>
      </c>
      <c r="P2164" t="str">
        <f>"2170717707                    "</f>
        <v xml:space="preserve">2170717707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8.58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 s="4">
        <v>50.45</v>
      </c>
      <c r="BM2164" s="4">
        <v>7.57</v>
      </c>
      <c r="BN2164" s="4">
        <v>58.02</v>
      </c>
      <c r="BO2164" s="4">
        <v>58.02</v>
      </c>
      <c r="BQ2164" t="s">
        <v>1630</v>
      </c>
      <c r="BR2164" t="s">
        <v>84</v>
      </c>
      <c r="BS2164" s="3">
        <v>43789</v>
      </c>
      <c r="BT2164" s="5">
        <v>0.2986111111111111</v>
      </c>
      <c r="BU2164" t="s">
        <v>2033</v>
      </c>
      <c r="BV2164" t="s">
        <v>86</v>
      </c>
      <c r="BY2164">
        <v>1200</v>
      </c>
      <c r="CA2164" t="s">
        <v>221</v>
      </c>
      <c r="CC2164" t="s">
        <v>91</v>
      </c>
      <c r="CD2164">
        <v>7405</v>
      </c>
      <c r="CE2164" t="s">
        <v>147</v>
      </c>
      <c r="CF2164" s="3">
        <v>43790</v>
      </c>
      <c r="CI2164">
        <v>1</v>
      </c>
      <c r="CJ2164">
        <v>1</v>
      </c>
      <c r="CK2164">
        <v>21</v>
      </c>
      <c r="CL2164" t="s">
        <v>89</v>
      </c>
    </row>
    <row r="2165" spans="1:90">
      <c r="A2165" t="s">
        <v>72</v>
      </c>
      <c r="B2165" t="s">
        <v>73</v>
      </c>
      <c r="C2165" t="s">
        <v>74</v>
      </c>
      <c r="E2165" t="str">
        <f>"FES1162723872"</f>
        <v>FES1162723872</v>
      </c>
      <c r="F2165" s="3">
        <v>43788</v>
      </c>
      <c r="G2165">
        <v>202005</v>
      </c>
      <c r="H2165" t="s">
        <v>75</v>
      </c>
      <c r="I2165" t="s">
        <v>76</v>
      </c>
      <c r="J2165" t="s">
        <v>77</v>
      </c>
      <c r="K2165" t="s">
        <v>78</v>
      </c>
      <c r="L2165" t="s">
        <v>124</v>
      </c>
      <c r="M2165" t="s">
        <v>125</v>
      </c>
      <c r="N2165" t="s">
        <v>126</v>
      </c>
      <c r="O2165" t="s">
        <v>82</v>
      </c>
      <c r="P2165" t="str">
        <f>"2170717857                    "</f>
        <v xml:space="preserve">2170717857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6.71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 s="4">
        <v>39.42</v>
      </c>
      <c r="BM2165" s="4">
        <v>5.91</v>
      </c>
      <c r="BN2165" s="4">
        <v>45.33</v>
      </c>
      <c r="BO2165" s="4">
        <v>45.33</v>
      </c>
      <c r="BQ2165" t="s">
        <v>109</v>
      </c>
      <c r="BR2165" t="s">
        <v>84</v>
      </c>
      <c r="BS2165" s="3">
        <v>43789</v>
      </c>
      <c r="BT2165" s="5">
        <v>0.36527777777777781</v>
      </c>
      <c r="BU2165" t="s">
        <v>2401</v>
      </c>
      <c r="BV2165" t="s">
        <v>86</v>
      </c>
      <c r="BY2165">
        <v>1200</v>
      </c>
      <c r="CA2165" t="s">
        <v>837</v>
      </c>
      <c r="CC2165" t="s">
        <v>125</v>
      </c>
      <c r="CD2165">
        <v>2197</v>
      </c>
      <c r="CE2165" t="s">
        <v>147</v>
      </c>
      <c r="CF2165" s="3">
        <v>43790</v>
      </c>
      <c r="CI2165">
        <v>1</v>
      </c>
      <c r="CJ2165">
        <v>1</v>
      </c>
      <c r="CK2165">
        <v>22</v>
      </c>
      <c r="CL2165" t="s">
        <v>89</v>
      </c>
    </row>
    <row r="2166" spans="1:90">
      <c r="A2166" t="s">
        <v>72</v>
      </c>
      <c r="B2166" t="s">
        <v>73</v>
      </c>
      <c r="C2166" t="s">
        <v>74</v>
      </c>
      <c r="E2166" t="str">
        <f>"FES1162723884"</f>
        <v>FES1162723884</v>
      </c>
      <c r="F2166" s="3">
        <v>43788</v>
      </c>
      <c r="G2166">
        <v>202005</v>
      </c>
      <c r="H2166" t="s">
        <v>75</v>
      </c>
      <c r="I2166" t="s">
        <v>76</v>
      </c>
      <c r="J2166" t="s">
        <v>77</v>
      </c>
      <c r="K2166" t="s">
        <v>78</v>
      </c>
      <c r="L2166" t="s">
        <v>90</v>
      </c>
      <c r="M2166" t="s">
        <v>91</v>
      </c>
      <c r="N2166" t="s">
        <v>1632</v>
      </c>
      <c r="O2166" t="s">
        <v>82</v>
      </c>
      <c r="P2166" t="str">
        <f>"2170717878                    "</f>
        <v xml:space="preserve">2170717878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8.58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 s="4">
        <v>50.45</v>
      </c>
      <c r="BM2166" s="4">
        <v>7.57</v>
      </c>
      <c r="BN2166" s="4">
        <v>58.02</v>
      </c>
      <c r="BO2166" s="4">
        <v>58.02</v>
      </c>
      <c r="BQ2166" t="s">
        <v>109</v>
      </c>
      <c r="BR2166" t="s">
        <v>84</v>
      </c>
      <c r="BS2166" s="3">
        <v>43789</v>
      </c>
      <c r="BT2166" s="5">
        <v>0.39305555555555555</v>
      </c>
      <c r="BU2166" t="s">
        <v>2444</v>
      </c>
      <c r="BV2166" t="s">
        <v>86</v>
      </c>
      <c r="BY2166">
        <v>1200</v>
      </c>
      <c r="CA2166" t="s">
        <v>323</v>
      </c>
      <c r="CC2166" t="s">
        <v>91</v>
      </c>
      <c r="CD2166">
        <v>7460</v>
      </c>
      <c r="CE2166" t="s">
        <v>147</v>
      </c>
      <c r="CF2166" s="3">
        <v>43790</v>
      </c>
      <c r="CI2166">
        <v>1</v>
      </c>
      <c r="CJ2166">
        <v>1</v>
      </c>
      <c r="CK2166">
        <v>21</v>
      </c>
      <c r="CL2166" t="s">
        <v>89</v>
      </c>
    </row>
    <row r="2167" spans="1:90">
      <c r="A2167" t="s">
        <v>72</v>
      </c>
      <c r="B2167" t="s">
        <v>73</v>
      </c>
      <c r="C2167" t="s">
        <v>74</v>
      </c>
      <c r="E2167" t="str">
        <f>"FES1162723878"</f>
        <v>FES1162723878</v>
      </c>
      <c r="F2167" s="3">
        <v>43788</v>
      </c>
      <c r="G2167">
        <v>202005</v>
      </c>
      <c r="H2167" t="s">
        <v>75</v>
      </c>
      <c r="I2167" t="s">
        <v>76</v>
      </c>
      <c r="J2167" t="s">
        <v>77</v>
      </c>
      <c r="K2167" t="s">
        <v>78</v>
      </c>
      <c r="L2167" t="s">
        <v>90</v>
      </c>
      <c r="M2167" t="s">
        <v>91</v>
      </c>
      <c r="N2167" t="s">
        <v>401</v>
      </c>
      <c r="O2167" t="s">
        <v>82</v>
      </c>
      <c r="P2167" t="str">
        <f>"2170717868                    "</f>
        <v xml:space="preserve">2170717868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8.58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 s="4">
        <v>50.45</v>
      </c>
      <c r="BM2167" s="4">
        <v>7.57</v>
      </c>
      <c r="BN2167" s="4">
        <v>58.02</v>
      </c>
      <c r="BO2167" s="4">
        <v>58.02</v>
      </c>
      <c r="BQ2167" t="s">
        <v>109</v>
      </c>
      <c r="BR2167" t="s">
        <v>84</v>
      </c>
      <c r="BS2167" s="3">
        <v>43789</v>
      </c>
      <c r="BT2167" s="5">
        <v>0.33749999999999997</v>
      </c>
      <c r="BU2167" t="s">
        <v>402</v>
      </c>
      <c r="BV2167" t="s">
        <v>86</v>
      </c>
      <c r="BY2167">
        <v>1200</v>
      </c>
      <c r="CA2167" t="s">
        <v>221</v>
      </c>
      <c r="CC2167" t="s">
        <v>91</v>
      </c>
      <c r="CD2167">
        <v>7441</v>
      </c>
      <c r="CE2167" t="s">
        <v>147</v>
      </c>
      <c r="CF2167" s="3">
        <v>43790</v>
      </c>
      <c r="CI2167">
        <v>1</v>
      </c>
      <c r="CJ2167">
        <v>1</v>
      </c>
      <c r="CK2167">
        <v>21</v>
      </c>
      <c r="CL2167" t="s">
        <v>89</v>
      </c>
    </row>
    <row r="2168" spans="1:90">
      <c r="A2168" t="s">
        <v>72</v>
      </c>
      <c r="B2168" t="s">
        <v>73</v>
      </c>
      <c r="C2168" t="s">
        <v>74</v>
      </c>
      <c r="E2168" t="str">
        <f>"FES1162723871"</f>
        <v>FES1162723871</v>
      </c>
      <c r="F2168" s="3">
        <v>43788</v>
      </c>
      <c r="G2168">
        <v>202005</v>
      </c>
      <c r="H2168" t="s">
        <v>75</v>
      </c>
      <c r="I2168" t="s">
        <v>76</v>
      </c>
      <c r="J2168" t="s">
        <v>77</v>
      </c>
      <c r="K2168" t="s">
        <v>78</v>
      </c>
      <c r="L2168" t="s">
        <v>106</v>
      </c>
      <c r="M2168" t="s">
        <v>107</v>
      </c>
      <c r="N2168" t="s">
        <v>421</v>
      </c>
      <c r="O2168" t="s">
        <v>798</v>
      </c>
      <c r="P2168" t="str">
        <f>"217071856                     "</f>
        <v xml:space="preserve">217071856 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437.5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98.27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 s="4">
        <v>577.64</v>
      </c>
      <c r="BM2168" s="4">
        <v>86.65</v>
      </c>
      <c r="BN2168" s="4">
        <v>664.29</v>
      </c>
      <c r="BO2168" s="4">
        <v>664.29</v>
      </c>
      <c r="BP2168" t="s">
        <v>2445</v>
      </c>
      <c r="BQ2168" t="s">
        <v>2446</v>
      </c>
      <c r="BR2168" t="s">
        <v>84</v>
      </c>
      <c r="BS2168" s="3">
        <v>43788</v>
      </c>
      <c r="BT2168" s="5">
        <v>0.93055555555555547</v>
      </c>
      <c r="BU2168" t="s">
        <v>2447</v>
      </c>
      <c r="BV2168" t="s">
        <v>86</v>
      </c>
      <c r="BY2168">
        <v>1200</v>
      </c>
      <c r="BZ2168" t="s">
        <v>24</v>
      </c>
      <c r="CC2168" t="s">
        <v>107</v>
      </c>
      <c r="CD2168">
        <v>6014</v>
      </c>
      <c r="CE2168" t="s">
        <v>147</v>
      </c>
      <c r="CF2168" s="3">
        <v>43790</v>
      </c>
      <c r="CI2168">
        <v>0</v>
      </c>
      <c r="CJ2168">
        <v>0</v>
      </c>
      <c r="CK2168">
        <v>21</v>
      </c>
      <c r="CL2168" t="s">
        <v>89</v>
      </c>
    </row>
    <row r="2169" spans="1:90">
      <c r="A2169" t="s">
        <v>72</v>
      </c>
      <c r="B2169" t="s">
        <v>73</v>
      </c>
      <c r="C2169" t="s">
        <v>74</v>
      </c>
      <c r="E2169" t="str">
        <f>"FES1162723867"</f>
        <v>FES1162723867</v>
      </c>
      <c r="F2169" s="3">
        <v>43788</v>
      </c>
      <c r="G2169">
        <v>202005</v>
      </c>
      <c r="H2169" t="s">
        <v>75</v>
      </c>
      <c r="I2169" t="s">
        <v>76</v>
      </c>
      <c r="J2169" t="s">
        <v>77</v>
      </c>
      <c r="K2169" t="s">
        <v>78</v>
      </c>
      <c r="L2169" t="s">
        <v>691</v>
      </c>
      <c r="M2169" t="s">
        <v>692</v>
      </c>
      <c r="N2169" t="s">
        <v>521</v>
      </c>
      <c r="O2169" t="s">
        <v>82</v>
      </c>
      <c r="P2169" t="str">
        <f>"2170717852                    "</f>
        <v xml:space="preserve">2170717852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6.71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 s="4">
        <v>39.42</v>
      </c>
      <c r="BM2169" s="4">
        <v>5.91</v>
      </c>
      <c r="BN2169" s="4">
        <v>45.33</v>
      </c>
      <c r="BO2169" s="4">
        <v>45.33</v>
      </c>
      <c r="BQ2169" t="s">
        <v>109</v>
      </c>
      <c r="BR2169" t="s">
        <v>84</v>
      </c>
      <c r="BS2169" s="3">
        <v>43789</v>
      </c>
      <c r="BT2169" s="5">
        <v>0.33333333333333331</v>
      </c>
      <c r="BU2169" t="s">
        <v>370</v>
      </c>
      <c r="BV2169" t="s">
        <v>86</v>
      </c>
      <c r="BY2169">
        <v>1200</v>
      </c>
      <c r="CC2169" t="s">
        <v>692</v>
      </c>
      <c r="CD2169">
        <v>1559</v>
      </c>
      <c r="CE2169" t="s">
        <v>147</v>
      </c>
      <c r="CF2169" s="3">
        <v>43791</v>
      </c>
      <c r="CI2169">
        <v>1</v>
      </c>
      <c r="CJ2169">
        <v>1</v>
      </c>
      <c r="CK2169">
        <v>22</v>
      </c>
      <c r="CL2169" t="s">
        <v>89</v>
      </c>
    </row>
    <row r="2170" spans="1:90">
      <c r="A2170" t="s">
        <v>72</v>
      </c>
      <c r="B2170" t="s">
        <v>73</v>
      </c>
      <c r="C2170" t="s">
        <v>74</v>
      </c>
      <c r="E2170" t="str">
        <f>"FES1162723873"</f>
        <v>FES1162723873</v>
      </c>
      <c r="F2170" s="3">
        <v>43788</v>
      </c>
      <c r="G2170">
        <v>202005</v>
      </c>
      <c r="H2170" t="s">
        <v>75</v>
      </c>
      <c r="I2170" t="s">
        <v>76</v>
      </c>
      <c r="J2170" t="s">
        <v>77</v>
      </c>
      <c r="K2170" t="s">
        <v>78</v>
      </c>
      <c r="L2170" t="s">
        <v>95</v>
      </c>
      <c r="M2170" t="s">
        <v>96</v>
      </c>
      <c r="N2170" t="s">
        <v>330</v>
      </c>
      <c r="O2170" t="s">
        <v>82</v>
      </c>
      <c r="P2170" t="str">
        <f>"2170717858                    "</f>
        <v xml:space="preserve">2170717858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6.71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 s="4">
        <v>39.42</v>
      </c>
      <c r="BM2170" s="4">
        <v>5.91</v>
      </c>
      <c r="BN2170" s="4">
        <v>45.33</v>
      </c>
      <c r="BO2170" s="4">
        <v>45.33</v>
      </c>
      <c r="BQ2170" t="s">
        <v>109</v>
      </c>
      <c r="BR2170" t="s">
        <v>84</v>
      </c>
      <c r="BS2170" s="3">
        <v>43789</v>
      </c>
      <c r="BT2170" s="5">
        <v>0.38541666666666669</v>
      </c>
      <c r="BU2170" t="s">
        <v>694</v>
      </c>
      <c r="BV2170" t="s">
        <v>86</v>
      </c>
      <c r="BY2170">
        <v>1200</v>
      </c>
      <c r="CC2170" t="s">
        <v>96</v>
      </c>
      <c r="CD2170">
        <v>1451</v>
      </c>
      <c r="CE2170" t="s">
        <v>147</v>
      </c>
      <c r="CF2170" s="3">
        <v>43790</v>
      </c>
      <c r="CI2170">
        <v>1</v>
      </c>
      <c r="CJ2170">
        <v>1</v>
      </c>
      <c r="CK2170">
        <v>22</v>
      </c>
      <c r="CL2170" t="s">
        <v>89</v>
      </c>
    </row>
    <row r="2171" spans="1:90">
      <c r="A2171" t="s">
        <v>72</v>
      </c>
      <c r="B2171" t="s">
        <v>73</v>
      </c>
      <c r="C2171" t="s">
        <v>74</v>
      </c>
      <c r="E2171" t="str">
        <f>"FES1162723890"</f>
        <v>FES1162723890</v>
      </c>
      <c r="F2171" s="3">
        <v>43788</v>
      </c>
      <c r="G2171">
        <v>202005</v>
      </c>
      <c r="H2171" t="s">
        <v>75</v>
      </c>
      <c r="I2171" t="s">
        <v>76</v>
      </c>
      <c r="J2171" t="s">
        <v>77</v>
      </c>
      <c r="K2171" t="s">
        <v>78</v>
      </c>
      <c r="L2171" t="s">
        <v>112</v>
      </c>
      <c r="M2171" t="s">
        <v>113</v>
      </c>
      <c r="N2171" t="s">
        <v>206</v>
      </c>
      <c r="O2171" t="s">
        <v>82</v>
      </c>
      <c r="P2171" t="str">
        <f>"2170718886                    "</f>
        <v xml:space="preserve">2170718886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8.58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 s="4">
        <v>50.45</v>
      </c>
      <c r="BM2171" s="4">
        <v>7.57</v>
      </c>
      <c r="BN2171" s="4">
        <v>58.02</v>
      </c>
      <c r="BO2171" s="4">
        <v>58.02</v>
      </c>
      <c r="BQ2171" t="s">
        <v>109</v>
      </c>
      <c r="BR2171" t="s">
        <v>84</v>
      </c>
      <c r="BS2171" s="3">
        <v>43789</v>
      </c>
      <c r="BT2171" s="5">
        <v>0.43124999999999997</v>
      </c>
      <c r="BU2171" t="s">
        <v>2448</v>
      </c>
      <c r="BV2171" t="s">
        <v>86</v>
      </c>
      <c r="BY2171">
        <v>1200</v>
      </c>
      <c r="CA2171" t="s">
        <v>2212</v>
      </c>
      <c r="CC2171" t="s">
        <v>113</v>
      </c>
      <c r="CD2171">
        <v>4001</v>
      </c>
      <c r="CE2171" t="s">
        <v>147</v>
      </c>
      <c r="CF2171" s="3">
        <v>43790</v>
      </c>
      <c r="CI2171">
        <v>1</v>
      </c>
      <c r="CJ2171">
        <v>1</v>
      </c>
      <c r="CK2171">
        <v>21</v>
      </c>
      <c r="CL2171" t="s">
        <v>89</v>
      </c>
    </row>
    <row r="2172" spans="1:90">
      <c r="A2172" t="s">
        <v>72</v>
      </c>
      <c r="B2172" t="s">
        <v>73</v>
      </c>
      <c r="C2172" t="s">
        <v>74</v>
      </c>
      <c r="E2172" t="str">
        <f>"FES1162723889"</f>
        <v>FES1162723889</v>
      </c>
      <c r="F2172" s="3">
        <v>43788</v>
      </c>
      <c r="G2172">
        <v>202005</v>
      </c>
      <c r="H2172" t="s">
        <v>75</v>
      </c>
      <c r="I2172" t="s">
        <v>76</v>
      </c>
      <c r="J2172" t="s">
        <v>77</v>
      </c>
      <c r="K2172" t="s">
        <v>78</v>
      </c>
      <c r="L2172" t="s">
        <v>106</v>
      </c>
      <c r="M2172" t="s">
        <v>107</v>
      </c>
      <c r="N2172" t="s">
        <v>771</v>
      </c>
      <c r="O2172" t="s">
        <v>82</v>
      </c>
      <c r="P2172" t="str">
        <f>"2170717885                    "</f>
        <v xml:space="preserve">2170717885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8.58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 s="4">
        <v>50.45</v>
      </c>
      <c r="BM2172" s="4">
        <v>7.57</v>
      </c>
      <c r="BN2172" s="4">
        <v>58.02</v>
      </c>
      <c r="BO2172" s="4">
        <v>58.02</v>
      </c>
      <c r="BQ2172" t="s">
        <v>109</v>
      </c>
      <c r="BR2172" t="s">
        <v>84</v>
      </c>
      <c r="BS2172" s="3">
        <v>43789</v>
      </c>
      <c r="BT2172" s="5">
        <v>0.39583333333333331</v>
      </c>
      <c r="BU2172" t="s">
        <v>2449</v>
      </c>
      <c r="BV2172" t="s">
        <v>86</v>
      </c>
      <c r="BY2172">
        <v>1200</v>
      </c>
      <c r="CA2172" t="s">
        <v>773</v>
      </c>
      <c r="CC2172" t="s">
        <v>107</v>
      </c>
      <c r="CD2172">
        <v>6012</v>
      </c>
      <c r="CE2172" t="s">
        <v>147</v>
      </c>
      <c r="CF2172" s="3">
        <v>43790</v>
      </c>
      <c r="CI2172">
        <v>1</v>
      </c>
      <c r="CJ2172">
        <v>1</v>
      </c>
      <c r="CK2172">
        <v>21</v>
      </c>
      <c r="CL2172" t="s">
        <v>89</v>
      </c>
    </row>
    <row r="2173" spans="1:90">
      <c r="A2173" t="s">
        <v>72</v>
      </c>
      <c r="B2173" t="s">
        <v>73</v>
      </c>
      <c r="C2173" t="s">
        <v>74</v>
      </c>
      <c r="E2173" t="str">
        <f>"FES1162723876"</f>
        <v>FES1162723876</v>
      </c>
      <c r="F2173" s="3">
        <v>43788</v>
      </c>
      <c r="G2173">
        <v>202005</v>
      </c>
      <c r="H2173" t="s">
        <v>75</v>
      </c>
      <c r="I2173" t="s">
        <v>76</v>
      </c>
      <c r="J2173" t="s">
        <v>77</v>
      </c>
      <c r="K2173" t="s">
        <v>78</v>
      </c>
      <c r="L2173" t="s">
        <v>482</v>
      </c>
      <c r="M2173" t="s">
        <v>483</v>
      </c>
      <c r="N2173" t="s">
        <v>544</v>
      </c>
      <c r="O2173" t="s">
        <v>82</v>
      </c>
      <c r="P2173" t="str">
        <f>"2170717865                    "</f>
        <v xml:space="preserve">2170717865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6.71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 s="4">
        <v>39.42</v>
      </c>
      <c r="BM2173" s="4">
        <v>5.91</v>
      </c>
      <c r="BN2173" s="4">
        <v>45.33</v>
      </c>
      <c r="BO2173" s="4">
        <v>45.33</v>
      </c>
      <c r="BQ2173" t="s">
        <v>545</v>
      </c>
      <c r="BR2173" t="s">
        <v>84</v>
      </c>
      <c r="BS2173" s="3">
        <v>43789</v>
      </c>
      <c r="BT2173" s="5">
        <v>0.36805555555555558</v>
      </c>
      <c r="BU2173" t="s">
        <v>978</v>
      </c>
      <c r="BV2173" t="s">
        <v>86</v>
      </c>
      <c r="BY2173">
        <v>1200</v>
      </c>
      <c r="CA2173" t="s">
        <v>556</v>
      </c>
      <c r="CC2173" t="s">
        <v>483</v>
      </c>
      <c r="CD2173">
        <v>1459</v>
      </c>
      <c r="CE2173" t="s">
        <v>147</v>
      </c>
      <c r="CF2173" s="3">
        <v>43790</v>
      </c>
      <c r="CI2173">
        <v>1</v>
      </c>
      <c r="CJ2173">
        <v>1</v>
      </c>
      <c r="CK2173">
        <v>22</v>
      </c>
      <c r="CL2173" t="s">
        <v>89</v>
      </c>
    </row>
    <row r="2174" spans="1:90">
      <c r="A2174" t="s">
        <v>72</v>
      </c>
      <c r="B2174" t="s">
        <v>73</v>
      </c>
      <c r="C2174" t="s">
        <v>74</v>
      </c>
      <c r="E2174" t="str">
        <f>"FES1162723886"</f>
        <v>FES1162723886</v>
      </c>
      <c r="F2174" s="3">
        <v>43788</v>
      </c>
      <c r="G2174">
        <v>202005</v>
      </c>
      <c r="H2174" t="s">
        <v>75</v>
      </c>
      <c r="I2174" t="s">
        <v>76</v>
      </c>
      <c r="J2174" t="s">
        <v>77</v>
      </c>
      <c r="K2174" t="s">
        <v>78</v>
      </c>
      <c r="L2174" t="s">
        <v>106</v>
      </c>
      <c r="M2174" t="s">
        <v>107</v>
      </c>
      <c r="N2174" t="s">
        <v>128</v>
      </c>
      <c r="O2174" t="s">
        <v>82</v>
      </c>
      <c r="P2174" t="str">
        <f>"2170717879                    "</f>
        <v xml:space="preserve">2170717879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8.58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 s="4">
        <v>50.45</v>
      </c>
      <c r="BM2174" s="4">
        <v>7.57</v>
      </c>
      <c r="BN2174" s="4">
        <v>58.02</v>
      </c>
      <c r="BO2174" s="4">
        <v>58.02</v>
      </c>
      <c r="BQ2174" t="s">
        <v>121</v>
      </c>
      <c r="BR2174" t="s">
        <v>84</v>
      </c>
      <c r="BS2174" s="3">
        <v>43789</v>
      </c>
      <c r="BT2174" s="5">
        <v>0.33402777777777781</v>
      </c>
      <c r="BU2174" t="s">
        <v>2450</v>
      </c>
      <c r="BV2174" t="s">
        <v>86</v>
      </c>
      <c r="BY2174">
        <v>1200</v>
      </c>
      <c r="CA2174" t="s">
        <v>854</v>
      </c>
      <c r="CC2174" t="s">
        <v>107</v>
      </c>
      <c r="CD2174">
        <v>6001</v>
      </c>
      <c r="CE2174" t="s">
        <v>147</v>
      </c>
      <c r="CF2174" s="3">
        <v>43790</v>
      </c>
      <c r="CI2174">
        <v>1</v>
      </c>
      <c r="CJ2174">
        <v>1</v>
      </c>
      <c r="CK2174">
        <v>21</v>
      </c>
      <c r="CL2174" t="s">
        <v>89</v>
      </c>
    </row>
    <row r="2175" spans="1:90">
      <c r="A2175" t="s">
        <v>72</v>
      </c>
      <c r="B2175" t="s">
        <v>73</v>
      </c>
      <c r="C2175" t="s">
        <v>74</v>
      </c>
      <c r="E2175" t="str">
        <f>"FES1162723440"</f>
        <v>FES1162723440</v>
      </c>
      <c r="F2175" s="3">
        <v>43788</v>
      </c>
      <c r="G2175">
        <v>202005</v>
      </c>
      <c r="H2175" t="s">
        <v>75</v>
      </c>
      <c r="I2175" t="s">
        <v>76</v>
      </c>
      <c r="J2175" t="s">
        <v>77</v>
      </c>
      <c r="K2175" t="s">
        <v>78</v>
      </c>
      <c r="L2175" t="s">
        <v>112</v>
      </c>
      <c r="M2175" t="s">
        <v>113</v>
      </c>
      <c r="N2175" t="s">
        <v>2425</v>
      </c>
      <c r="O2175" t="s">
        <v>82</v>
      </c>
      <c r="P2175" t="str">
        <f>"2170717392                    "</f>
        <v xml:space="preserve">2170717392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8.58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 s="4">
        <v>50.45</v>
      </c>
      <c r="BM2175" s="4">
        <v>7.57</v>
      </c>
      <c r="BN2175" s="4">
        <v>58.02</v>
      </c>
      <c r="BO2175" s="4">
        <v>58.02</v>
      </c>
      <c r="BQ2175" t="s">
        <v>121</v>
      </c>
      <c r="BR2175" t="s">
        <v>84</v>
      </c>
      <c r="BS2175" s="3">
        <v>43789</v>
      </c>
      <c r="BT2175" s="5">
        <v>0.42499999999999999</v>
      </c>
      <c r="BU2175" t="s">
        <v>2426</v>
      </c>
      <c r="BV2175" t="s">
        <v>86</v>
      </c>
      <c r="BY2175">
        <v>1200</v>
      </c>
      <c r="CA2175" t="s">
        <v>2212</v>
      </c>
      <c r="CC2175" t="s">
        <v>113</v>
      </c>
      <c r="CD2175">
        <v>4001</v>
      </c>
      <c r="CE2175" t="s">
        <v>147</v>
      </c>
      <c r="CF2175" s="3">
        <v>43790</v>
      </c>
      <c r="CI2175">
        <v>1</v>
      </c>
      <c r="CJ2175">
        <v>1</v>
      </c>
      <c r="CK2175">
        <v>21</v>
      </c>
      <c r="CL2175" t="s">
        <v>89</v>
      </c>
    </row>
    <row r="2176" spans="1:90">
      <c r="A2176" t="s">
        <v>72</v>
      </c>
      <c r="B2176" t="s">
        <v>73</v>
      </c>
      <c r="C2176" t="s">
        <v>74</v>
      </c>
      <c r="E2176" t="str">
        <f>"FES1162723744"</f>
        <v>FES1162723744</v>
      </c>
      <c r="F2176" s="3">
        <v>43788</v>
      </c>
      <c r="G2176">
        <v>202005</v>
      </c>
      <c r="H2176" t="s">
        <v>75</v>
      </c>
      <c r="I2176" t="s">
        <v>76</v>
      </c>
      <c r="J2176" t="s">
        <v>77</v>
      </c>
      <c r="K2176" t="s">
        <v>78</v>
      </c>
      <c r="L2176" t="s">
        <v>482</v>
      </c>
      <c r="M2176" t="s">
        <v>483</v>
      </c>
      <c r="N2176" t="s">
        <v>544</v>
      </c>
      <c r="O2176" t="s">
        <v>82</v>
      </c>
      <c r="P2176" t="str">
        <f>"2170717555                    "</f>
        <v xml:space="preserve">2170717555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6.71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 s="4">
        <v>39.42</v>
      </c>
      <c r="BM2176" s="4">
        <v>5.91</v>
      </c>
      <c r="BN2176" s="4">
        <v>45.33</v>
      </c>
      <c r="BO2176" s="4">
        <v>45.33</v>
      </c>
      <c r="BQ2176" t="s">
        <v>545</v>
      </c>
      <c r="BR2176" t="s">
        <v>84</v>
      </c>
      <c r="BS2176" s="3">
        <v>43789</v>
      </c>
      <c r="BT2176" s="5">
        <v>0.36805555555555558</v>
      </c>
      <c r="BU2176" t="s">
        <v>978</v>
      </c>
      <c r="BV2176" t="s">
        <v>86</v>
      </c>
      <c r="BY2176">
        <v>1200</v>
      </c>
      <c r="CA2176" t="s">
        <v>556</v>
      </c>
      <c r="CC2176" t="s">
        <v>483</v>
      </c>
      <c r="CD2176">
        <v>1459</v>
      </c>
      <c r="CE2176" t="s">
        <v>147</v>
      </c>
      <c r="CF2176" s="3">
        <v>43790</v>
      </c>
      <c r="CI2176">
        <v>1</v>
      </c>
      <c r="CJ2176">
        <v>1</v>
      </c>
      <c r="CK2176">
        <v>22</v>
      </c>
      <c r="CL2176" t="s">
        <v>89</v>
      </c>
    </row>
    <row r="2177" spans="1:90">
      <c r="A2177" t="s">
        <v>72</v>
      </c>
      <c r="B2177" t="s">
        <v>73</v>
      </c>
      <c r="C2177" t="s">
        <v>74</v>
      </c>
      <c r="E2177" t="str">
        <f>"FES1162723740"</f>
        <v>FES1162723740</v>
      </c>
      <c r="F2177" s="3">
        <v>43788</v>
      </c>
      <c r="G2177">
        <v>202005</v>
      </c>
      <c r="H2177" t="s">
        <v>75</v>
      </c>
      <c r="I2177" t="s">
        <v>76</v>
      </c>
      <c r="J2177" t="s">
        <v>77</v>
      </c>
      <c r="K2177" t="s">
        <v>78</v>
      </c>
      <c r="L2177" t="s">
        <v>75</v>
      </c>
      <c r="M2177" t="s">
        <v>76</v>
      </c>
      <c r="N2177" t="s">
        <v>2451</v>
      </c>
      <c r="O2177" t="s">
        <v>82</v>
      </c>
      <c r="P2177" t="str">
        <f>"2170717445                    "</f>
        <v xml:space="preserve">2170717445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6.71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 s="4">
        <v>39.42</v>
      </c>
      <c r="BM2177" s="4">
        <v>5.91</v>
      </c>
      <c r="BN2177" s="4">
        <v>45.33</v>
      </c>
      <c r="BO2177" s="4">
        <v>45.33</v>
      </c>
      <c r="BR2177" t="s">
        <v>84</v>
      </c>
      <c r="BS2177" s="3">
        <v>43789</v>
      </c>
      <c r="BT2177" s="5">
        <v>0.31944444444444448</v>
      </c>
      <c r="BU2177" t="s">
        <v>408</v>
      </c>
      <c r="BV2177" t="s">
        <v>86</v>
      </c>
      <c r="BY2177">
        <v>1200</v>
      </c>
      <c r="CA2177" t="s">
        <v>238</v>
      </c>
      <c r="CC2177" t="s">
        <v>76</v>
      </c>
      <c r="CD2177">
        <v>1666</v>
      </c>
      <c r="CE2177" t="s">
        <v>147</v>
      </c>
      <c r="CF2177" s="3">
        <v>43790</v>
      </c>
      <c r="CI2177">
        <v>1</v>
      </c>
      <c r="CJ2177">
        <v>1</v>
      </c>
      <c r="CK2177">
        <v>22</v>
      </c>
      <c r="CL2177" t="s">
        <v>89</v>
      </c>
    </row>
    <row r="2178" spans="1:90">
      <c r="A2178" t="s">
        <v>72</v>
      </c>
      <c r="B2178" t="s">
        <v>73</v>
      </c>
      <c r="C2178" t="s">
        <v>74</v>
      </c>
      <c r="E2178" t="str">
        <f>"FES1162723772"</f>
        <v>FES1162723772</v>
      </c>
      <c r="F2178" s="3">
        <v>43788</v>
      </c>
      <c r="G2178">
        <v>202005</v>
      </c>
      <c r="H2178" t="s">
        <v>75</v>
      </c>
      <c r="I2178" t="s">
        <v>76</v>
      </c>
      <c r="J2178" t="s">
        <v>77</v>
      </c>
      <c r="K2178" t="s">
        <v>78</v>
      </c>
      <c r="L2178" t="s">
        <v>482</v>
      </c>
      <c r="M2178" t="s">
        <v>483</v>
      </c>
      <c r="N2178" t="s">
        <v>594</v>
      </c>
      <c r="O2178" t="s">
        <v>82</v>
      </c>
      <c r="P2178" t="str">
        <f>"2170717732                    "</f>
        <v xml:space="preserve">2170717732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6.71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 s="4">
        <v>39.42</v>
      </c>
      <c r="BM2178" s="4">
        <v>5.91</v>
      </c>
      <c r="BN2178" s="4">
        <v>45.33</v>
      </c>
      <c r="BO2178" s="4">
        <v>45.33</v>
      </c>
      <c r="BQ2178" t="s">
        <v>109</v>
      </c>
      <c r="BR2178" t="s">
        <v>84</v>
      </c>
      <c r="BS2178" s="3">
        <v>43789</v>
      </c>
      <c r="BT2178" s="5">
        <v>0.33333333333333331</v>
      </c>
      <c r="BU2178" t="s">
        <v>2452</v>
      </c>
      <c r="BV2178" t="s">
        <v>86</v>
      </c>
      <c r="BY2178">
        <v>1200</v>
      </c>
      <c r="CC2178" t="s">
        <v>483</v>
      </c>
      <c r="CD2178">
        <v>1459</v>
      </c>
      <c r="CE2178" t="s">
        <v>147</v>
      </c>
      <c r="CF2178" s="3">
        <v>43791</v>
      </c>
      <c r="CI2178">
        <v>1</v>
      </c>
      <c r="CJ2178">
        <v>1</v>
      </c>
      <c r="CK2178">
        <v>22</v>
      </c>
      <c r="CL2178" t="s">
        <v>89</v>
      </c>
    </row>
    <row r="2179" spans="1:90">
      <c r="A2179" t="s">
        <v>72</v>
      </c>
      <c r="B2179" t="s">
        <v>73</v>
      </c>
      <c r="C2179" t="s">
        <v>74</v>
      </c>
      <c r="E2179" t="str">
        <f>"FES1162723737"</f>
        <v>FES1162723737</v>
      </c>
      <c r="F2179" s="3">
        <v>43788</v>
      </c>
      <c r="G2179">
        <v>202005</v>
      </c>
      <c r="H2179" t="s">
        <v>75</v>
      </c>
      <c r="I2179" t="s">
        <v>76</v>
      </c>
      <c r="J2179" t="s">
        <v>77</v>
      </c>
      <c r="K2179" t="s">
        <v>78</v>
      </c>
      <c r="L2179" t="s">
        <v>202</v>
      </c>
      <c r="M2179" t="s">
        <v>203</v>
      </c>
      <c r="N2179" t="s">
        <v>1700</v>
      </c>
      <c r="O2179" t="s">
        <v>82</v>
      </c>
      <c r="P2179" t="str">
        <f>"2170717201                    "</f>
        <v xml:space="preserve">2170717201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6.71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 s="4">
        <v>39.42</v>
      </c>
      <c r="BM2179" s="4">
        <v>5.91</v>
      </c>
      <c r="BN2179" s="4">
        <v>45.33</v>
      </c>
      <c r="BO2179" s="4">
        <v>45.33</v>
      </c>
      <c r="BQ2179" t="s">
        <v>1701</v>
      </c>
      <c r="BR2179" t="s">
        <v>84</v>
      </c>
      <c r="BS2179" s="3">
        <v>43789</v>
      </c>
      <c r="BT2179" s="5">
        <v>0.37222222222222223</v>
      </c>
      <c r="BU2179" t="s">
        <v>2453</v>
      </c>
      <c r="BV2179" t="s">
        <v>86</v>
      </c>
      <c r="BY2179">
        <v>1200</v>
      </c>
      <c r="CC2179" t="s">
        <v>203</v>
      </c>
      <c r="CD2179">
        <v>1428</v>
      </c>
      <c r="CE2179" t="s">
        <v>147</v>
      </c>
      <c r="CF2179" s="3">
        <v>43791</v>
      </c>
      <c r="CI2179">
        <v>1</v>
      </c>
      <c r="CJ2179">
        <v>1</v>
      </c>
      <c r="CK2179">
        <v>22</v>
      </c>
      <c r="CL2179" t="s">
        <v>89</v>
      </c>
    </row>
    <row r="2180" spans="1:90">
      <c r="A2180" t="s">
        <v>72</v>
      </c>
      <c r="B2180" t="s">
        <v>73</v>
      </c>
      <c r="C2180" t="s">
        <v>74</v>
      </c>
      <c r="E2180" t="str">
        <f>"FES1162723735"</f>
        <v>FES1162723735</v>
      </c>
      <c r="F2180" s="3">
        <v>43788</v>
      </c>
      <c r="G2180">
        <v>202005</v>
      </c>
      <c r="H2180" t="s">
        <v>75</v>
      </c>
      <c r="I2180" t="s">
        <v>76</v>
      </c>
      <c r="J2180" t="s">
        <v>77</v>
      </c>
      <c r="K2180" t="s">
        <v>78</v>
      </c>
      <c r="L2180" t="s">
        <v>133</v>
      </c>
      <c r="M2180" t="s">
        <v>134</v>
      </c>
      <c r="N2180" t="s">
        <v>735</v>
      </c>
      <c r="O2180" t="s">
        <v>82</v>
      </c>
      <c r="P2180" t="str">
        <f>"2170716869                    "</f>
        <v xml:space="preserve">2170716869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8.58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 s="4">
        <v>50.45</v>
      </c>
      <c r="BM2180" s="4">
        <v>7.57</v>
      </c>
      <c r="BN2180" s="4">
        <v>58.02</v>
      </c>
      <c r="BO2180" s="4">
        <v>58.02</v>
      </c>
      <c r="BQ2180" t="s">
        <v>109</v>
      </c>
      <c r="BR2180" t="s">
        <v>84</v>
      </c>
      <c r="BS2180" s="3">
        <v>43789</v>
      </c>
      <c r="BT2180" s="5">
        <v>0.3520833333333333</v>
      </c>
      <c r="BU2180" t="s">
        <v>2226</v>
      </c>
      <c r="BV2180" t="s">
        <v>86</v>
      </c>
      <c r="BY2180">
        <v>1200</v>
      </c>
      <c r="CA2180" t="s">
        <v>1910</v>
      </c>
      <c r="CC2180" t="s">
        <v>134</v>
      </c>
      <c r="CD2180">
        <v>5201</v>
      </c>
      <c r="CE2180" t="s">
        <v>147</v>
      </c>
      <c r="CF2180" s="3">
        <v>43791</v>
      </c>
      <c r="CI2180">
        <v>1</v>
      </c>
      <c r="CJ2180">
        <v>1</v>
      </c>
      <c r="CK2180">
        <v>21</v>
      </c>
      <c r="CL2180" t="s">
        <v>89</v>
      </c>
    </row>
    <row r="2181" spans="1:90">
      <c r="A2181" t="s">
        <v>72</v>
      </c>
      <c r="B2181" t="s">
        <v>73</v>
      </c>
      <c r="C2181" t="s">
        <v>74</v>
      </c>
      <c r="E2181" t="str">
        <f>"FES1162723780"</f>
        <v>FES1162723780</v>
      </c>
      <c r="F2181" s="3">
        <v>43788</v>
      </c>
      <c r="G2181">
        <v>202005</v>
      </c>
      <c r="H2181" t="s">
        <v>75</v>
      </c>
      <c r="I2181" t="s">
        <v>76</v>
      </c>
      <c r="J2181" t="s">
        <v>77</v>
      </c>
      <c r="K2181" t="s">
        <v>78</v>
      </c>
      <c r="L2181" t="s">
        <v>101</v>
      </c>
      <c r="M2181" t="s">
        <v>102</v>
      </c>
      <c r="N2181" t="s">
        <v>2454</v>
      </c>
      <c r="O2181" t="s">
        <v>82</v>
      </c>
      <c r="P2181" t="str">
        <f>"2170717743                    "</f>
        <v xml:space="preserve">2170717743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8.58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1.4</v>
      </c>
      <c r="BK2181">
        <v>1.5</v>
      </c>
      <c r="BL2181" s="4">
        <v>50.45</v>
      </c>
      <c r="BM2181" s="4">
        <v>7.57</v>
      </c>
      <c r="BN2181" s="4">
        <v>58.02</v>
      </c>
      <c r="BO2181" s="4">
        <v>58.02</v>
      </c>
      <c r="BQ2181" t="s">
        <v>142</v>
      </c>
      <c r="BR2181" t="s">
        <v>84</v>
      </c>
      <c r="BS2181" s="3">
        <v>43789</v>
      </c>
      <c r="BT2181" s="5">
        <v>0.375</v>
      </c>
      <c r="BU2181" t="s">
        <v>2455</v>
      </c>
      <c r="BV2181" t="s">
        <v>86</v>
      </c>
      <c r="BY2181">
        <v>7235.2</v>
      </c>
      <c r="CA2181" t="s">
        <v>922</v>
      </c>
      <c r="CC2181" t="s">
        <v>102</v>
      </c>
      <c r="CD2181">
        <v>186</v>
      </c>
      <c r="CE2181" t="s">
        <v>88</v>
      </c>
      <c r="CI2181">
        <v>1</v>
      </c>
      <c r="CJ2181">
        <v>1</v>
      </c>
      <c r="CK2181">
        <v>21</v>
      </c>
      <c r="CL2181" t="s">
        <v>89</v>
      </c>
    </row>
    <row r="2182" spans="1:90">
      <c r="A2182" t="s">
        <v>72</v>
      </c>
      <c r="B2182" t="s">
        <v>73</v>
      </c>
      <c r="C2182" t="s">
        <v>74</v>
      </c>
      <c r="E2182" t="str">
        <f>"FES1162723730"</f>
        <v>FES1162723730</v>
      </c>
      <c r="F2182" s="3">
        <v>43788</v>
      </c>
      <c r="G2182">
        <v>202005</v>
      </c>
      <c r="H2182" t="s">
        <v>75</v>
      </c>
      <c r="I2182" t="s">
        <v>76</v>
      </c>
      <c r="J2182" t="s">
        <v>77</v>
      </c>
      <c r="K2182" t="s">
        <v>78</v>
      </c>
      <c r="L2182" t="s">
        <v>106</v>
      </c>
      <c r="M2182" t="s">
        <v>107</v>
      </c>
      <c r="N2182" t="s">
        <v>150</v>
      </c>
      <c r="O2182" t="s">
        <v>82</v>
      </c>
      <c r="P2182" t="str">
        <f>"217071698                     "</f>
        <v xml:space="preserve">217071698 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8.58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 s="4">
        <v>50.45</v>
      </c>
      <c r="BM2182" s="4">
        <v>7.57</v>
      </c>
      <c r="BN2182" s="4">
        <v>58.02</v>
      </c>
      <c r="BO2182" s="4">
        <v>58.02</v>
      </c>
      <c r="BQ2182" t="s">
        <v>109</v>
      </c>
      <c r="BR2182" t="s">
        <v>84</v>
      </c>
      <c r="BS2182" s="3">
        <v>43789</v>
      </c>
      <c r="BT2182" s="5">
        <v>0.34861111111111115</v>
      </c>
      <c r="BU2182" t="s">
        <v>2456</v>
      </c>
      <c r="BV2182" t="s">
        <v>86</v>
      </c>
      <c r="BY2182">
        <v>1200</v>
      </c>
      <c r="CA2182" t="s">
        <v>2415</v>
      </c>
      <c r="CC2182" t="s">
        <v>107</v>
      </c>
      <c r="CD2182">
        <v>6001</v>
      </c>
      <c r="CE2182" t="s">
        <v>147</v>
      </c>
      <c r="CF2182" s="3">
        <v>43790</v>
      </c>
      <c r="CI2182">
        <v>1</v>
      </c>
      <c r="CJ2182">
        <v>1</v>
      </c>
      <c r="CK2182">
        <v>21</v>
      </c>
      <c r="CL2182" t="s">
        <v>89</v>
      </c>
    </row>
    <row r="2183" spans="1:90">
      <c r="A2183" t="s">
        <v>72</v>
      </c>
      <c r="B2183" t="s">
        <v>73</v>
      </c>
      <c r="C2183" t="s">
        <v>74</v>
      </c>
      <c r="E2183" t="str">
        <f>"FES1162723761"</f>
        <v>FES1162723761</v>
      </c>
      <c r="F2183" s="3">
        <v>43788</v>
      </c>
      <c r="G2183">
        <v>202005</v>
      </c>
      <c r="H2183" t="s">
        <v>75</v>
      </c>
      <c r="I2183" t="s">
        <v>76</v>
      </c>
      <c r="J2183" t="s">
        <v>77</v>
      </c>
      <c r="K2183" t="s">
        <v>78</v>
      </c>
      <c r="L2183" t="s">
        <v>825</v>
      </c>
      <c r="M2183" t="s">
        <v>826</v>
      </c>
      <c r="N2183" t="s">
        <v>939</v>
      </c>
      <c r="O2183" t="s">
        <v>82</v>
      </c>
      <c r="P2183" t="str">
        <f>"2170717491                    "</f>
        <v xml:space="preserve">2170717491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12.07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 s="4">
        <v>70.95</v>
      </c>
      <c r="BM2183" s="4">
        <v>10.64</v>
      </c>
      <c r="BN2183" s="4">
        <v>81.59</v>
      </c>
      <c r="BO2183" s="4">
        <v>81.59</v>
      </c>
      <c r="BQ2183" t="s">
        <v>109</v>
      </c>
      <c r="BR2183" t="s">
        <v>84</v>
      </c>
      <c r="BS2183" s="3">
        <v>43789</v>
      </c>
      <c r="BT2183" s="5">
        <v>0.42291666666666666</v>
      </c>
      <c r="BU2183" t="s">
        <v>1614</v>
      </c>
      <c r="BV2183" t="s">
        <v>86</v>
      </c>
      <c r="BY2183">
        <v>1200</v>
      </c>
      <c r="CC2183" t="s">
        <v>826</v>
      </c>
      <c r="CD2183">
        <v>1759</v>
      </c>
      <c r="CE2183" t="s">
        <v>147</v>
      </c>
      <c r="CF2183" s="3">
        <v>43790</v>
      </c>
      <c r="CI2183">
        <v>1</v>
      </c>
      <c r="CJ2183">
        <v>1</v>
      </c>
      <c r="CK2183">
        <v>24</v>
      </c>
      <c r="CL2183" t="s">
        <v>89</v>
      </c>
    </row>
    <row r="2184" spans="1:90">
      <c r="A2184" t="s">
        <v>72</v>
      </c>
      <c r="B2184" t="s">
        <v>73</v>
      </c>
      <c r="C2184" t="s">
        <v>74</v>
      </c>
      <c r="E2184" t="str">
        <f>"FES1162723778"</f>
        <v>FES1162723778</v>
      </c>
      <c r="F2184" s="3">
        <v>43788</v>
      </c>
      <c r="G2184">
        <v>202005</v>
      </c>
      <c r="H2184" t="s">
        <v>75</v>
      </c>
      <c r="I2184" t="s">
        <v>76</v>
      </c>
      <c r="J2184" t="s">
        <v>77</v>
      </c>
      <c r="K2184" t="s">
        <v>78</v>
      </c>
      <c r="L2184" t="s">
        <v>133</v>
      </c>
      <c r="M2184" t="s">
        <v>134</v>
      </c>
      <c r="N2184" t="s">
        <v>2457</v>
      </c>
      <c r="O2184" t="s">
        <v>82</v>
      </c>
      <c r="P2184" t="str">
        <f>"2170717742                    "</f>
        <v xml:space="preserve">2170717742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8.58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 s="4">
        <v>50.45</v>
      </c>
      <c r="BM2184" s="4">
        <v>7.57</v>
      </c>
      <c r="BN2184" s="4">
        <v>58.02</v>
      </c>
      <c r="BO2184" s="4">
        <v>58.02</v>
      </c>
      <c r="BQ2184" t="s">
        <v>121</v>
      </c>
      <c r="BR2184" t="s">
        <v>84</v>
      </c>
      <c r="BS2184" s="3">
        <v>43789</v>
      </c>
      <c r="BT2184" s="5">
        <v>0.36944444444444446</v>
      </c>
      <c r="BU2184" t="s">
        <v>2458</v>
      </c>
      <c r="BV2184" t="s">
        <v>86</v>
      </c>
      <c r="BY2184">
        <v>1200</v>
      </c>
      <c r="CA2184" t="s">
        <v>1910</v>
      </c>
      <c r="CC2184" t="s">
        <v>134</v>
      </c>
      <c r="CD2184">
        <v>5201</v>
      </c>
      <c r="CE2184" t="s">
        <v>147</v>
      </c>
      <c r="CF2184" s="3">
        <v>43791</v>
      </c>
      <c r="CI2184">
        <v>1</v>
      </c>
      <c r="CJ2184">
        <v>1</v>
      </c>
      <c r="CK2184">
        <v>21</v>
      </c>
      <c r="CL2184" t="s">
        <v>89</v>
      </c>
    </row>
    <row r="2185" spans="1:90">
      <c r="A2185" t="s">
        <v>72</v>
      </c>
      <c r="B2185" t="s">
        <v>73</v>
      </c>
      <c r="C2185" t="s">
        <v>74</v>
      </c>
      <c r="E2185" t="str">
        <f>"FES1162723733"</f>
        <v>FES1162723733</v>
      </c>
      <c r="F2185" s="3">
        <v>43788</v>
      </c>
      <c r="G2185">
        <v>202005</v>
      </c>
      <c r="H2185" t="s">
        <v>75</v>
      </c>
      <c r="I2185" t="s">
        <v>76</v>
      </c>
      <c r="J2185" t="s">
        <v>77</v>
      </c>
      <c r="K2185" t="s">
        <v>78</v>
      </c>
      <c r="L2185" t="s">
        <v>75</v>
      </c>
      <c r="M2185" t="s">
        <v>76</v>
      </c>
      <c r="N2185" t="s">
        <v>2459</v>
      </c>
      <c r="O2185" t="s">
        <v>82</v>
      </c>
      <c r="P2185" t="str">
        <f>"2170716395                    "</f>
        <v xml:space="preserve">2170716395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6.71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 s="4">
        <v>39.42</v>
      </c>
      <c r="BM2185" s="4">
        <v>5.91</v>
      </c>
      <c r="BN2185" s="4">
        <v>45.33</v>
      </c>
      <c r="BO2185" s="4">
        <v>45.33</v>
      </c>
      <c r="BQ2185" t="s">
        <v>2460</v>
      </c>
      <c r="BR2185" t="s">
        <v>84</v>
      </c>
      <c r="BS2185" s="3">
        <v>43789</v>
      </c>
      <c r="BT2185" s="5">
        <v>0.33333333333333331</v>
      </c>
      <c r="BU2185" t="s">
        <v>2461</v>
      </c>
      <c r="BV2185" t="s">
        <v>86</v>
      </c>
      <c r="BY2185">
        <v>1200</v>
      </c>
      <c r="CA2185" t="s">
        <v>797</v>
      </c>
      <c r="CC2185" t="s">
        <v>76</v>
      </c>
      <c r="CD2185">
        <v>1609</v>
      </c>
      <c r="CE2185" t="s">
        <v>147</v>
      </c>
      <c r="CF2185" s="3">
        <v>43790</v>
      </c>
      <c r="CI2185">
        <v>1</v>
      </c>
      <c r="CJ2185">
        <v>1</v>
      </c>
      <c r="CK2185">
        <v>22</v>
      </c>
      <c r="CL2185" t="s">
        <v>89</v>
      </c>
    </row>
    <row r="2186" spans="1:90">
      <c r="A2186" t="s">
        <v>72</v>
      </c>
      <c r="B2186" t="s">
        <v>73</v>
      </c>
      <c r="C2186" t="s">
        <v>74</v>
      </c>
      <c r="E2186" t="str">
        <f>"FES1162723738"</f>
        <v>FES1162723738</v>
      </c>
      <c r="F2186" s="3">
        <v>43788</v>
      </c>
      <c r="G2186">
        <v>202005</v>
      </c>
      <c r="H2186" t="s">
        <v>75</v>
      </c>
      <c r="I2186" t="s">
        <v>76</v>
      </c>
      <c r="J2186" t="s">
        <v>77</v>
      </c>
      <c r="K2186" t="s">
        <v>78</v>
      </c>
      <c r="L2186" t="s">
        <v>2462</v>
      </c>
      <c r="M2186" t="s">
        <v>2463</v>
      </c>
      <c r="N2186" t="s">
        <v>2464</v>
      </c>
      <c r="O2186" t="s">
        <v>82</v>
      </c>
      <c r="P2186" t="str">
        <f>"21707147308                   "</f>
        <v xml:space="preserve">21707147308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12.07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 s="4">
        <v>70.95</v>
      </c>
      <c r="BM2186" s="4">
        <v>10.64</v>
      </c>
      <c r="BN2186" s="4">
        <v>81.59</v>
      </c>
      <c r="BO2186" s="4">
        <v>81.59</v>
      </c>
      <c r="BR2186" t="s">
        <v>84</v>
      </c>
      <c r="BS2186" s="3">
        <v>43790</v>
      </c>
      <c r="BT2186" s="5">
        <v>0.4375</v>
      </c>
      <c r="BU2186" t="s">
        <v>2465</v>
      </c>
      <c r="BV2186" t="s">
        <v>86</v>
      </c>
      <c r="BY2186">
        <v>1200</v>
      </c>
      <c r="CA2186" t="s">
        <v>2466</v>
      </c>
      <c r="CC2186" t="s">
        <v>2463</v>
      </c>
      <c r="CD2186">
        <v>1133</v>
      </c>
      <c r="CE2186" t="s">
        <v>147</v>
      </c>
      <c r="CF2186" s="3">
        <v>43794</v>
      </c>
      <c r="CI2186">
        <v>4</v>
      </c>
      <c r="CJ2186">
        <v>2</v>
      </c>
      <c r="CK2186">
        <v>24</v>
      </c>
      <c r="CL2186" t="s">
        <v>89</v>
      </c>
    </row>
    <row r="2187" spans="1:90">
      <c r="A2187" t="s">
        <v>72</v>
      </c>
      <c r="B2187" t="s">
        <v>73</v>
      </c>
      <c r="C2187" t="s">
        <v>74</v>
      </c>
      <c r="E2187" t="str">
        <f>"FES1162723827"</f>
        <v>FES1162723827</v>
      </c>
      <c r="F2187" s="3">
        <v>43788</v>
      </c>
      <c r="G2187">
        <v>202005</v>
      </c>
      <c r="H2187" t="s">
        <v>75</v>
      </c>
      <c r="I2187" t="s">
        <v>76</v>
      </c>
      <c r="J2187" t="s">
        <v>77</v>
      </c>
      <c r="K2187" t="s">
        <v>78</v>
      </c>
      <c r="L2187" t="s">
        <v>79</v>
      </c>
      <c r="M2187" t="s">
        <v>80</v>
      </c>
      <c r="N2187" t="s">
        <v>908</v>
      </c>
      <c r="O2187" t="s">
        <v>82</v>
      </c>
      <c r="P2187" t="str">
        <f>"2170717801                    "</f>
        <v xml:space="preserve">2170717801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8.58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 s="4">
        <v>50.45</v>
      </c>
      <c r="BM2187" s="4">
        <v>7.57</v>
      </c>
      <c r="BN2187" s="4">
        <v>58.02</v>
      </c>
      <c r="BO2187" s="4">
        <v>58.02</v>
      </c>
      <c r="BQ2187" t="s">
        <v>909</v>
      </c>
      <c r="BR2187" t="s">
        <v>84</v>
      </c>
      <c r="BS2187" s="3">
        <v>43789</v>
      </c>
      <c r="BT2187" s="5">
        <v>0.33680555555555558</v>
      </c>
      <c r="BU2187" t="s">
        <v>2250</v>
      </c>
      <c r="BV2187" t="s">
        <v>86</v>
      </c>
      <c r="BY2187">
        <v>1200</v>
      </c>
      <c r="CA2187" t="s">
        <v>87</v>
      </c>
      <c r="CC2187" t="s">
        <v>80</v>
      </c>
      <c r="CD2187">
        <v>6230</v>
      </c>
      <c r="CE2187" t="s">
        <v>147</v>
      </c>
      <c r="CF2187" s="3">
        <v>43790</v>
      </c>
      <c r="CI2187">
        <v>1</v>
      </c>
      <c r="CJ2187">
        <v>1</v>
      </c>
      <c r="CK2187">
        <v>21</v>
      </c>
      <c r="CL2187" t="s">
        <v>89</v>
      </c>
    </row>
    <row r="2188" spans="1:90">
      <c r="A2188" t="s">
        <v>72</v>
      </c>
      <c r="B2188" t="s">
        <v>73</v>
      </c>
      <c r="C2188" t="s">
        <v>74</v>
      </c>
      <c r="E2188" t="str">
        <f>"FES1162723745"</f>
        <v>FES1162723745</v>
      </c>
      <c r="F2188" s="3">
        <v>43788</v>
      </c>
      <c r="G2188">
        <v>202005</v>
      </c>
      <c r="H2188" t="s">
        <v>75</v>
      </c>
      <c r="I2188" t="s">
        <v>76</v>
      </c>
      <c r="J2188" t="s">
        <v>77</v>
      </c>
      <c r="K2188" t="s">
        <v>78</v>
      </c>
      <c r="L2188" t="s">
        <v>681</v>
      </c>
      <c r="M2188" t="s">
        <v>682</v>
      </c>
      <c r="N2188" t="s">
        <v>2467</v>
      </c>
      <c r="O2188" t="s">
        <v>82</v>
      </c>
      <c r="P2188" t="str">
        <f>"2170717564                    "</f>
        <v xml:space="preserve">2170717564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12.07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 s="4">
        <v>70.95</v>
      </c>
      <c r="BM2188" s="4">
        <v>10.64</v>
      </c>
      <c r="BN2188" s="4">
        <v>81.59</v>
      </c>
      <c r="BO2188" s="4">
        <v>81.59</v>
      </c>
      <c r="BR2188" t="s">
        <v>84</v>
      </c>
      <c r="BS2188" s="3">
        <v>43789</v>
      </c>
      <c r="BT2188" s="5">
        <v>0.35347222222222219</v>
      </c>
      <c r="BU2188" t="s">
        <v>2468</v>
      </c>
      <c r="BV2188" t="s">
        <v>86</v>
      </c>
      <c r="BY2188">
        <v>1200</v>
      </c>
      <c r="CA2188" t="s">
        <v>1224</v>
      </c>
      <c r="CC2188" t="s">
        <v>682</v>
      </c>
      <c r="CD2188">
        <v>1930</v>
      </c>
      <c r="CE2188" t="s">
        <v>147</v>
      </c>
      <c r="CF2188" s="3">
        <v>43791</v>
      </c>
      <c r="CI2188">
        <v>1</v>
      </c>
      <c r="CJ2188">
        <v>1</v>
      </c>
      <c r="CK2188">
        <v>24</v>
      </c>
      <c r="CL2188" t="s">
        <v>89</v>
      </c>
    </row>
    <row r="2189" spans="1:90">
      <c r="A2189" t="s">
        <v>72</v>
      </c>
      <c r="B2189" t="s">
        <v>73</v>
      </c>
      <c r="C2189" t="s">
        <v>74</v>
      </c>
      <c r="E2189" t="str">
        <f>"FES1162723781"</f>
        <v>FES1162723781</v>
      </c>
      <c r="F2189" s="3">
        <v>43788</v>
      </c>
      <c r="G2189">
        <v>202005</v>
      </c>
      <c r="H2189" t="s">
        <v>75</v>
      </c>
      <c r="I2189" t="s">
        <v>76</v>
      </c>
      <c r="J2189" t="s">
        <v>77</v>
      </c>
      <c r="K2189" t="s">
        <v>78</v>
      </c>
      <c r="L2189" t="s">
        <v>202</v>
      </c>
      <c r="M2189" t="s">
        <v>203</v>
      </c>
      <c r="N2189" t="s">
        <v>2469</v>
      </c>
      <c r="O2189" t="s">
        <v>82</v>
      </c>
      <c r="P2189" t="str">
        <f>"2170717745                    "</f>
        <v xml:space="preserve">2170717745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6.71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 s="4">
        <v>39.42</v>
      </c>
      <c r="BM2189" s="4">
        <v>5.91</v>
      </c>
      <c r="BN2189" s="4">
        <v>45.33</v>
      </c>
      <c r="BO2189" s="4">
        <v>45.33</v>
      </c>
      <c r="BQ2189" t="s">
        <v>109</v>
      </c>
      <c r="BR2189" t="s">
        <v>84</v>
      </c>
      <c r="BS2189" s="3">
        <v>43789</v>
      </c>
      <c r="BT2189" s="5">
        <v>0.41597222222222219</v>
      </c>
      <c r="BU2189" t="s">
        <v>1738</v>
      </c>
      <c r="BV2189" t="s">
        <v>86</v>
      </c>
      <c r="BY2189">
        <v>1200</v>
      </c>
      <c r="CA2189" t="s">
        <v>1181</v>
      </c>
      <c r="CC2189" t="s">
        <v>203</v>
      </c>
      <c r="CD2189">
        <v>1401</v>
      </c>
      <c r="CE2189" t="s">
        <v>147</v>
      </c>
      <c r="CF2189" s="3">
        <v>43790</v>
      </c>
      <c r="CI2189">
        <v>1</v>
      </c>
      <c r="CJ2189">
        <v>1</v>
      </c>
      <c r="CK2189">
        <v>22</v>
      </c>
      <c r="CL2189" t="s">
        <v>89</v>
      </c>
    </row>
    <row r="2190" spans="1:90">
      <c r="A2190" t="s">
        <v>72</v>
      </c>
      <c r="B2190" t="s">
        <v>73</v>
      </c>
      <c r="C2190" t="s">
        <v>74</v>
      </c>
      <c r="E2190" t="str">
        <f>"FES1162723821"</f>
        <v>FES1162723821</v>
      </c>
      <c r="F2190" s="3">
        <v>43788</v>
      </c>
      <c r="G2190">
        <v>202005</v>
      </c>
      <c r="H2190" t="s">
        <v>75</v>
      </c>
      <c r="I2190" t="s">
        <v>76</v>
      </c>
      <c r="J2190" t="s">
        <v>77</v>
      </c>
      <c r="K2190" t="s">
        <v>78</v>
      </c>
      <c r="L2190" t="s">
        <v>90</v>
      </c>
      <c r="M2190" t="s">
        <v>91</v>
      </c>
      <c r="N2190" t="s">
        <v>1306</v>
      </c>
      <c r="O2190" t="s">
        <v>82</v>
      </c>
      <c r="P2190" t="str">
        <f>"2170717993                    "</f>
        <v xml:space="preserve">2170717993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8.58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 s="4">
        <v>50.45</v>
      </c>
      <c r="BM2190" s="4">
        <v>7.57</v>
      </c>
      <c r="BN2190" s="4">
        <v>58.02</v>
      </c>
      <c r="BO2190" s="4">
        <v>58.02</v>
      </c>
      <c r="BQ2190" t="s">
        <v>1307</v>
      </c>
      <c r="BR2190" t="s">
        <v>84</v>
      </c>
      <c r="BS2190" s="3">
        <v>43789</v>
      </c>
      <c r="BT2190" s="5">
        <v>0.3347222222222222</v>
      </c>
      <c r="BU2190" t="s">
        <v>1308</v>
      </c>
      <c r="BV2190" t="s">
        <v>86</v>
      </c>
      <c r="BY2190">
        <v>1200</v>
      </c>
      <c r="CA2190" t="s">
        <v>1309</v>
      </c>
      <c r="CC2190" t="s">
        <v>91</v>
      </c>
      <c r="CD2190">
        <v>7530</v>
      </c>
      <c r="CE2190" t="s">
        <v>147</v>
      </c>
      <c r="CF2190" s="3">
        <v>43790</v>
      </c>
      <c r="CI2190">
        <v>1</v>
      </c>
      <c r="CJ2190">
        <v>1</v>
      </c>
      <c r="CK2190">
        <v>21</v>
      </c>
      <c r="CL2190" t="s">
        <v>89</v>
      </c>
    </row>
    <row r="2191" spans="1:90">
      <c r="A2191" t="s">
        <v>72</v>
      </c>
      <c r="B2191" t="s">
        <v>73</v>
      </c>
      <c r="C2191" t="s">
        <v>74</v>
      </c>
      <c r="E2191" t="str">
        <f>"FES1162723807"</f>
        <v>FES1162723807</v>
      </c>
      <c r="F2191" s="3">
        <v>43788</v>
      </c>
      <c r="G2191">
        <v>202005</v>
      </c>
      <c r="H2191" t="s">
        <v>75</v>
      </c>
      <c r="I2191" t="s">
        <v>76</v>
      </c>
      <c r="J2191" t="s">
        <v>77</v>
      </c>
      <c r="K2191" t="s">
        <v>78</v>
      </c>
      <c r="L2191" t="s">
        <v>106</v>
      </c>
      <c r="M2191" t="s">
        <v>107</v>
      </c>
      <c r="N2191" t="s">
        <v>128</v>
      </c>
      <c r="O2191" t="s">
        <v>82</v>
      </c>
      <c r="P2191" t="str">
        <f>"2170717786                    "</f>
        <v xml:space="preserve">2170717786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8.58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 s="4">
        <v>50.45</v>
      </c>
      <c r="BM2191" s="4">
        <v>7.57</v>
      </c>
      <c r="BN2191" s="4">
        <v>58.02</v>
      </c>
      <c r="BO2191" s="4">
        <v>58.02</v>
      </c>
      <c r="BQ2191" t="s">
        <v>121</v>
      </c>
      <c r="BR2191" t="s">
        <v>84</v>
      </c>
      <c r="BS2191" s="3">
        <v>43789</v>
      </c>
      <c r="BT2191" s="5">
        <v>0.33402777777777781</v>
      </c>
      <c r="BU2191" t="s">
        <v>2450</v>
      </c>
      <c r="BV2191" t="s">
        <v>86</v>
      </c>
      <c r="BY2191">
        <v>1200</v>
      </c>
      <c r="CA2191" t="s">
        <v>854</v>
      </c>
      <c r="CC2191" t="s">
        <v>107</v>
      </c>
      <c r="CD2191">
        <v>6001</v>
      </c>
      <c r="CE2191" t="s">
        <v>147</v>
      </c>
      <c r="CF2191" s="3">
        <v>43790</v>
      </c>
      <c r="CI2191">
        <v>1</v>
      </c>
      <c r="CJ2191">
        <v>1</v>
      </c>
      <c r="CK2191">
        <v>21</v>
      </c>
      <c r="CL2191" t="s">
        <v>89</v>
      </c>
    </row>
    <row r="2192" spans="1:90">
      <c r="A2192" t="s">
        <v>72</v>
      </c>
      <c r="B2192" t="s">
        <v>73</v>
      </c>
      <c r="C2192" t="s">
        <v>74</v>
      </c>
      <c r="E2192" t="str">
        <f>"FES1162723802"</f>
        <v>FES1162723802</v>
      </c>
      <c r="F2192" s="3">
        <v>43788</v>
      </c>
      <c r="G2192">
        <v>202005</v>
      </c>
      <c r="H2192" t="s">
        <v>75</v>
      </c>
      <c r="I2192" t="s">
        <v>76</v>
      </c>
      <c r="J2192" t="s">
        <v>77</v>
      </c>
      <c r="K2192" t="s">
        <v>78</v>
      </c>
      <c r="L2192" t="s">
        <v>112</v>
      </c>
      <c r="M2192" t="s">
        <v>113</v>
      </c>
      <c r="N2192" t="s">
        <v>332</v>
      </c>
      <c r="O2192" t="s">
        <v>82</v>
      </c>
      <c r="P2192" t="str">
        <f>"21707177777                   "</f>
        <v xml:space="preserve">21707177777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8.58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 s="4">
        <v>50.45</v>
      </c>
      <c r="BM2192" s="4">
        <v>7.57</v>
      </c>
      <c r="BN2192" s="4">
        <v>58.02</v>
      </c>
      <c r="BO2192" s="4">
        <v>58.02</v>
      </c>
      <c r="BQ2192" t="s">
        <v>109</v>
      </c>
      <c r="BR2192" t="s">
        <v>84</v>
      </c>
      <c r="BS2192" s="3">
        <v>43789</v>
      </c>
      <c r="BT2192" s="5">
        <v>0.40625</v>
      </c>
      <c r="BU2192" t="s">
        <v>2470</v>
      </c>
      <c r="BV2192" t="s">
        <v>86</v>
      </c>
      <c r="BY2192">
        <v>1200</v>
      </c>
      <c r="CA2192" t="s">
        <v>2212</v>
      </c>
      <c r="CC2192" t="s">
        <v>113</v>
      </c>
      <c r="CD2192">
        <v>4001</v>
      </c>
      <c r="CE2192" t="s">
        <v>147</v>
      </c>
      <c r="CF2192" s="3">
        <v>43790</v>
      </c>
      <c r="CI2192">
        <v>1</v>
      </c>
      <c r="CJ2192">
        <v>1</v>
      </c>
      <c r="CK2192">
        <v>21</v>
      </c>
      <c r="CL2192" t="s">
        <v>89</v>
      </c>
    </row>
    <row r="2193" spans="1:90">
      <c r="A2193" t="s">
        <v>72</v>
      </c>
      <c r="B2193" t="s">
        <v>73</v>
      </c>
      <c r="C2193" t="s">
        <v>74</v>
      </c>
      <c r="E2193" t="str">
        <f>"FES1162723787"</f>
        <v>FES1162723787</v>
      </c>
      <c r="F2193" s="3">
        <v>43788</v>
      </c>
      <c r="G2193">
        <v>202005</v>
      </c>
      <c r="H2193" t="s">
        <v>75</v>
      </c>
      <c r="I2193" t="s">
        <v>76</v>
      </c>
      <c r="J2193" t="s">
        <v>77</v>
      </c>
      <c r="K2193" t="s">
        <v>78</v>
      </c>
      <c r="L2193" t="s">
        <v>176</v>
      </c>
      <c r="M2193" t="s">
        <v>177</v>
      </c>
      <c r="N2193" t="s">
        <v>947</v>
      </c>
      <c r="O2193" t="s">
        <v>82</v>
      </c>
      <c r="P2193" t="str">
        <f>"21707757                      "</f>
        <v xml:space="preserve">21707757  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8.58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 s="4">
        <v>50.45</v>
      </c>
      <c r="BM2193" s="4">
        <v>7.57</v>
      </c>
      <c r="BN2193" s="4">
        <v>58.02</v>
      </c>
      <c r="BO2193" s="4">
        <v>58.02</v>
      </c>
      <c r="BQ2193" t="s">
        <v>121</v>
      </c>
      <c r="BR2193" t="s">
        <v>84</v>
      </c>
      <c r="BS2193" s="3">
        <v>43789</v>
      </c>
      <c r="BT2193" s="5">
        <v>0.35416666666666669</v>
      </c>
      <c r="BU2193" t="s">
        <v>948</v>
      </c>
      <c r="BV2193" t="s">
        <v>86</v>
      </c>
      <c r="BY2193">
        <v>1200</v>
      </c>
      <c r="CA2193" t="s">
        <v>180</v>
      </c>
      <c r="CC2193" t="s">
        <v>177</v>
      </c>
      <c r="CD2193">
        <v>3610</v>
      </c>
      <c r="CE2193" t="s">
        <v>147</v>
      </c>
      <c r="CF2193" s="3">
        <v>43790</v>
      </c>
      <c r="CI2193">
        <v>1</v>
      </c>
      <c r="CJ2193">
        <v>1</v>
      </c>
      <c r="CK2193">
        <v>21</v>
      </c>
      <c r="CL2193" t="s">
        <v>89</v>
      </c>
    </row>
    <row r="2194" spans="1:90">
      <c r="A2194" t="s">
        <v>72</v>
      </c>
      <c r="B2194" t="s">
        <v>73</v>
      </c>
      <c r="C2194" t="s">
        <v>74</v>
      </c>
      <c r="E2194" t="str">
        <f>"FES1162723746"</f>
        <v>FES1162723746</v>
      </c>
      <c r="F2194" s="3">
        <v>43788</v>
      </c>
      <c r="G2194">
        <v>202005</v>
      </c>
      <c r="H2194" t="s">
        <v>75</v>
      </c>
      <c r="I2194" t="s">
        <v>76</v>
      </c>
      <c r="J2194" t="s">
        <v>77</v>
      </c>
      <c r="K2194" t="s">
        <v>78</v>
      </c>
      <c r="L2194" t="s">
        <v>296</v>
      </c>
      <c r="M2194" t="s">
        <v>297</v>
      </c>
      <c r="N2194" t="s">
        <v>672</v>
      </c>
      <c r="O2194" t="s">
        <v>82</v>
      </c>
      <c r="P2194" t="str">
        <f>"217077607                     "</f>
        <v xml:space="preserve">217077607 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16.63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 s="4">
        <v>97.75</v>
      </c>
      <c r="BM2194" s="4">
        <v>14.66</v>
      </c>
      <c r="BN2194" s="4">
        <v>112.41</v>
      </c>
      <c r="BO2194" s="4">
        <v>112.41</v>
      </c>
      <c r="BQ2194" t="s">
        <v>142</v>
      </c>
      <c r="BR2194" t="s">
        <v>84</v>
      </c>
      <c r="BS2194" s="3">
        <v>43790</v>
      </c>
      <c r="BT2194" s="5">
        <v>0.36458333333333331</v>
      </c>
      <c r="BU2194" t="s">
        <v>690</v>
      </c>
      <c r="BV2194" t="s">
        <v>86</v>
      </c>
      <c r="BY2194">
        <v>1200</v>
      </c>
      <c r="CA2194" t="s">
        <v>300</v>
      </c>
      <c r="CC2194" t="s">
        <v>297</v>
      </c>
      <c r="CD2194">
        <v>6850</v>
      </c>
      <c r="CE2194" t="s">
        <v>147</v>
      </c>
      <c r="CF2194" s="3">
        <v>43791</v>
      </c>
      <c r="CI2194">
        <v>3</v>
      </c>
      <c r="CJ2194">
        <v>2</v>
      </c>
      <c r="CK2194">
        <v>23</v>
      </c>
      <c r="CL2194" t="s">
        <v>89</v>
      </c>
    </row>
    <row r="2195" spans="1:90">
      <c r="A2195" t="s">
        <v>72</v>
      </c>
      <c r="B2195" t="s">
        <v>73</v>
      </c>
      <c r="C2195" t="s">
        <v>74</v>
      </c>
      <c r="E2195" t="str">
        <f>"FES1162723750"</f>
        <v>FES1162723750</v>
      </c>
      <c r="F2195" s="3">
        <v>43788</v>
      </c>
      <c r="G2195">
        <v>202005</v>
      </c>
      <c r="H2195" t="s">
        <v>75</v>
      </c>
      <c r="I2195" t="s">
        <v>76</v>
      </c>
      <c r="J2195" t="s">
        <v>77</v>
      </c>
      <c r="K2195" t="s">
        <v>78</v>
      </c>
      <c r="L2195" t="s">
        <v>1268</v>
      </c>
      <c r="M2195" t="s">
        <v>1269</v>
      </c>
      <c r="N2195" t="s">
        <v>2471</v>
      </c>
      <c r="O2195" t="s">
        <v>82</v>
      </c>
      <c r="P2195" t="str">
        <f>"2170717704                    "</f>
        <v xml:space="preserve">2170717704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8.58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 s="4">
        <v>50.45</v>
      </c>
      <c r="BM2195" s="4">
        <v>7.57</v>
      </c>
      <c r="BN2195" s="4">
        <v>58.02</v>
      </c>
      <c r="BO2195" s="4">
        <v>58.02</v>
      </c>
      <c r="BQ2195" t="s">
        <v>109</v>
      </c>
      <c r="BR2195" t="s">
        <v>84</v>
      </c>
      <c r="BS2195" s="3">
        <v>43789</v>
      </c>
      <c r="BT2195" s="5">
        <v>0.42152777777777778</v>
      </c>
      <c r="BU2195" t="s">
        <v>2472</v>
      </c>
      <c r="BV2195" t="s">
        <v>86</v>
      </c>
      <c r="BY2195">
        <v>1200</v>
      </c>
      <c r="CA2195" t="s">
        <v>1215</v>
      </c>
      <c r="CC2195" t="s">
        <v>1269</v>
      </c>
      <c r="CD2195">
        <v>3291</v>
      </c>
      <c r="CE2195" t="s">
        <v>147</v>
      </c>
      <c r="CF2195" s="3">
        <v>43790</v>
      </c>
      <c r="CI2195">
        <v>1</v>
      </c>
      <c r="CJ2195">
        <v>1</v>
      </c>
      <c r="CK2195">
        <v>21</v>
      </c>
      <c r="CL2195" t="s">
        <v>89</v>
      </c>
    </row>
    <row r="2196" spans="1:90">
      <c r="A2196" t="s">
        <v>72</v>
      </c>
      <c r="B2196" t="s">
        <v>73</v>
      </c>
      <c r="C2196" t="s">
        <v>74</v>
      </c>
      <c r="E2196" t="str">
        <f>"FES1162723763"</f>
        <v>FES1162723763</v>
      </c>
      <c r="F2196" s="3">
        <v>43788</v>
      </c>
      <c r="G2196">
        <v>202005</v>
      </c>
      <c r="H2196" t="s">
        <v>75</v>
      </c>
      <c r="I2196" t="s">
        <v>76</v>
      </c>
      <c r="J2196" t="s">
        <v>77</v>
      </c>
      <c r="K2196" t="s">
        <v>78</v>
      </c>
      <c r="L2196" t="s">
        <v>251</v>
      </c>
      <c r="M2196" t="s">
        <v>252</v>
      </c>
      <c r="N2196" t="s">
        <v>330</v>
      </c>
      <c r="O2196" t="s">
        <v>82</v>
      </c>
      <c r="P2196" t="str">
        <f>"2170717718                    "</f>
        <v xml:space="preserve">2170717718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8.58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 s="4">
        <v>50.45</v>
      </c>
      <c r="BM2196" s="4">
        <v>7.57</v>
      </c>
      <c r="BN2196" s="4">
        <v>58.02</v>
      </c>
      <c r="BO2196" s="4">
        <v>58.02</v>
      </c>
      <c r="BQ2196" t="s">
        <v>109</v>
      </c>
      <c r="BR2196" t="s">
        <v>84</v>
      </c>
      <c r="BS2196" s="3">
        <v>43789</v>
      </c>
      <c r="BT2196" s="5">
        <v>0.43194444444444446</v>
      </c>
      <c r="BU2196" t="s">
        <v>2473</v>
      </c>
      <c r="BV2196" t="s">
        <v>86</v>
      </c>
      <c r="BY2196">
        <v>1200</v>
      </c>
      <c r="CA2196" t="s">
        <v>255</v>
      </c>
      <c r="CC2196" t="s">
        <v>252</v>
      </c>
      <c r="CD2196">
        <v>4133</v>
      </c>
      <c r="CE2196" t="s">
        <v>147</v>
      </c>
      <c r="CF2196" s="3">
        <v>43790</v>
      </c>
      <c r="CI2196">
        <v>1</v>
      </c>
      <c r="CJ2196">
        <v>1</v>
      </c>
      <c r="CK2196">
        <v>21</v>
      </c>
      <c r="CL2196" t="s">
        <v>89</v>
      </c>
    </row>
    <row r="2197" spans="1:90">
      <c r="A2197" t="s">
        <v>72</v>
      </c>
      <c r="B2197" t="s">
        <v>73</v>
      </c>
      <c r="C2197" t="s">
        <v>74</v>
      </c>
      <c r="E2197" t="str">
        <f>"FES1162723754"</f>
        <v>FES1162723754</v>
      </c>
      <c r="F2197" s="3">
        <v>43788</v>
      </c>
      <c r="G2197">
        <v>202005</v>
      </c>
      <c r="H2197" t="s">
        <v>75</v>
      </c>
      <c r="I2197" t="s">
        <v>76</v>
      </c>
      <c r="J2197" t="s">
        <v>77</v>
      </c>
      <c r="K2197" t="s">
        <v>78</v>
      </c>
      <c r="L2197" t="s">
        <v>112</v>
      </c>
      <c r="M2197" t="s">
        <v>113</v>
      </c>
      <c r="N2197" t="s">
        <v>1445</v>
      </c>
      <c r="O2197" t="s">
        <v>82</v>
      </c>
      <c r="P2197" t="str">
        <f>"217071777141                  "</f>
        <v xml:space="preserve">217071777141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8.58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 s="4">
        <v>50.45</v>
      </c>
      <c r="BM2197" s="4">
        <v>7.57</v>
      </c>
      <c r="BN2197" s="4">
        <v>58.02</v>
      </c>
      <c r="BO2197" s="4">
        <v>58.02</v>
      </c>
      <c r="BR2197" t="s">
        <v>84</v>
      </c>
      <c r="BS2197" s="3">
        <v>43789</v>
      </c>
      <c r="BT2197" s="5">
        <v>0.42569444444444443</v>
      </c>
      <c r="BU2197" t="s">
        <v>2474</v>
      </c>
      <c r="BV2197" t="s">
        <v>86</v>
      </c>
      <c r="BY2197">
        <v>1200</v>
      </c>
      <c r="CA2197" t="s">
        <v>255</v>
      </c>
      <c r="CC2197" t="s">
        <v>113</v>
      </c>
      <c r="CD2197">
        <v>4156</v>
      </c>
      <c r="CE2197" t="s">
        <v>147</v>
      </c>
      <c r="CF2197" s="3">
        <v>43790</v>
      </c>
      <c r="CI2197">
        <v>1</v>
      </c>
      <c r="CJ2197">
        <v>1</v>
      </c>
      <c r="CK2197">
        <v>21</v>
      </c>
      <c r="CL2197" t="s">
        <v>89</v>
      </c>
    </row>
    <row r="2198" spans="1:90">
      <c r="A2198" t="s">
        <v>72</v>
      </c>
      <c r="B2198" t="s">
        <v>73</v>
      </c>
      <c r="C2198" t="s">
        <v>74</v>
      </c>
      <c r="E2198" t="str">
        <f>"FES1162723830"</f>
        <v>FES1162723830</v>
      </c>
      <c r="F2198" s="3">
        <v>43788</v>
      </c>
      <c r="G2198">
        <v>202005</v>
      </c>
      <c r="H2198" t="s">
        <v>75</v>
      </c>
      <c r="I2198" t="s">
        <v>76</v>
      </c>
      <c r="J2198" t="s">
        <v>77</v>
      </c>
      <c r="K2198" t="s">
        <v>78</v>
      </c>
      <c r="L2198" t="s">
        <v>106</v>
      </c>
      <c r="M2198" t="s">
        <v>107</v>
      </c>
      <c r="N2198" t="s">
        <v>128</v>
      </c>
      <c r="O2198" t="s">
        <v>82</v>
      </c>
      <c r="P2198" t="str">
        <f>"217071804                     "</f>
        <v xml:space="preserve">217071804 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8.58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 s="4">
        <v>50.45</v>
      </c>
      <c r="BM2198" s="4">
        <v>7.57</v>
      </c>
      <c r="BN2198" s="4">
        <v>58.02</v>
      </c>
      <c r="BO2198" s="4">
        <v>58.02</v>
      </c>
      <c r="BQ2198" t="s">
        <v>121</v>
      </c>
      <c r="BR2198" t="s">
        <v>84</v>
      </c>
      <c r="BS2198" s="3">
        <v>43789</v>
      </c>
      <c r="BT2198" s="5">
        <v>0.33402777777777781</v>
      </c>
      <c r="BU2198" t="s">
        <v>2450</v>
      </c>
      <c r="BV2198" t="s">
        <v>86</v>
      </c>
      <c r="BY2198">
        <v>1200</v>
      </c>
      <c r="CA2198" t="s">
        <v>854</v>
      </c>
      <c r="CC2198" t="s">
        <v>107</v>
      </c>
      <c r="CD2198">
        <v>6001</v>
      </c>
      <c r="CE2198" t="s">
        <v>147</v>
      </c>
      <c r="CF2198" s="3">
        <v>43790</v>
      </c>
      <c r="CI2198">
        <v>1</v>
      </c>
      <c r="CJ2198">
        <v>1</v>
      </c>
      <c r="CK2198">
        <v>21</v>
      </c>
      <c r="CL2198" t="s">
        <v>89</v>
      </c>
    </row>
    <row r="2199" spans="1:90">
      <c r="A2199" t="s">
        <v>72</v>
      </c>
      <c r="B2199" t="s">
        <v>73</v>
      </c>
      <c r="C2199" t="s">
        <v>74</v>
      </c>
      <c r="E2199" t="str">
        <f>"FES1162723741"</f>
        <v>FES1162723741</v>
      </c>
      <c r="F2199" s="3">
        <v>43788</v>
      </c>
      <c r="G2199">
        <v>202005</v>
      </c>
      <c r="H2199" t="s">
        <v>75</v>
      </c>
      <c r="I2199" t="s">
        <v>76</v>
      </c>
      <c r="J2199" t="s">
        <v>77</v>
      </c>
      <c r="K2199" t="s">
        <v>78</v>
      </c>
      <c r="L2199" t="s">
        <v>431</v>
      </c>
      <c r="M2199" t="s">
        <v>432</v>
      </c>
      <c r="N2199" t="s">
        <v>433</v>
      </c>
      <c r="O2199" t="s">
        <v>82</v>
      </c>
      <c r="P2199" t="str">
        <f>"2170717458                    "</f>
        <v xml:space="preserve">2170717458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8.58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 s="4">
        <v>50.45</v>
      </c>
      <c r="BM2199" s="4">
        <v>7.57</v>
      </c>
      <c r="BN2199" s="4">
        <v>58.02</v>
      </c>
      <c r="BO2199" s="4">
        <v>58.02</v>
      </c>
      <c r="BR2199" t="s">
        <v>84</v>
      </c>
      <c r="BS2199" s="3">
        <v>43789</v>
      </c>
      <c r="BT2199" s="5">
        <v>0.50555555555555554</v>
      </c>
      <c r="BU2199" t="s">
        <v>1451</v>
      </c>
      <c r="BV2199" t="s">
        <v>86</v>
      </c>
      <c r="BY2199">
        <v>1200</v>
      </c>
      <c r="CA2199" t="s">
        <v>435</v>
      </c>
      <c r="CC2199" t="s">
        <v>432</v>
      </c>
      <c r="CD2199">
        <v>3699</v>
      </c>
      <c r="CE2199" t="s">
        <v>147</v>
      </c>
      <c r="CF2199" s="3">
        <v>43790</v>
      </c>
      <c r="CI2199">
        <v>1</v>
      </c>
      <c r="CJ2199">
        <v>1</v>
      </c>
      <c r="CK2199">
        <v>21</v>
      </c>
      <c r="CL2199" t="s">
        <v>89</v>
      </c>
    </row>
    <row r="2200" spans="1:90">
      <c r="A2200" t="s">
        <v>72</v>
      </c>
      <c r="B2200" t="s">
        <v>73</v>
      </c>
      <c r="C2200" t="s">
        <v>74</v>
      </c>
      <c r="E2200" t="str">
        <f>"FES1162723756"</f>
        <v>FES1162723756</v>
      </c>
      <c r="F2200" s="3">
        <v>43788</v>
      </c>
      <c r="G2200">
        <v>202005</v>
      </c>
      <c r="H2200" t="s">
        <v>75</v>
      </c>
      <c r="I2200" t="s">
        <v>76</v>
      </c>
      <c r="J2200" t="s">
        <v>77</v>
      </c>
      <c r="K2200" t="s">
        <v>78</v>
      </c>
      <c r="L2200" t="s">
        <v>90</v>
      </c>
      <c r="M2200" t="s">
        <v>91</v>
      </c>
      <c r="N2200" t="s">
        <v>190</v>
      </c>
      <c r="O2200" t="s">
        <v>82</v>
      </c>
      <c r="P2200" t="str">
        <f>"2170714662                    "</f>
        <v xml:space="preserve">2170714662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8.58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 s="4">
        <v>50.45</v>
      </c>
      <c r="BM2200" s="4">
        <v>7.57</v>
      </c>
      <c r="BN2200" s="4">
        <v>58.02</v>
      </c>
      <c r="BO2200" s="4">
        <v>58.02</v>
      </c>
      <c r="BQ2200" t="s">
        <v>109</v>
      </c>
      <c r="BR2200" t="s">
        <v>84</v>
      </c>
      <c r="BS2200" s="3">
        <v>43789</v>
      </c>
      <c r="BT2200" s="5">
        <v>0.39097222222222222</v>
      </c>
      <c r="BU2200" t="s">
        <v>2475</v>
      </c>
      <c r="BV2200" t="s">
        <v>86</v>
      </c>
      <c r="BY2200">
        <v>1200</v>
      </c>
      <c r="CA2200" t="s">
        <v>213</v>
      </c>
      <c r="CC2200" t="s">
        <v>91</v>
      </c>
      <c r="CD2200">
        <v>7441</v>
      </c>
      <c r="CE2200" t="s">
        <v>147</v>
      </c>
      <c r="CF2200" s="3">
        <v>43790</v>
      </c>
      <c r="CI2200">
        <v>1</v>
      </c>
      <c r="CJ2200">
        <v>1</v>
      </c>
      <c r="CK2200">
        <v>21</v>
      </c>
      <c r="CL2200" t="s">
        <v>89</v>
      </c>
    </row>
    <row r="2201" spans="1:90">
      <c r="A2201" t="s">
        <v>72</v>
      </c>
      <c r="B2201" t="s">
        <v>73</v>
      </c>
      <c r="C2201" t="s">
        <v>74</v>
      </c>
      <c r="E2201" t="str">
        <f>"FES1162723707"</f>
        <v>FES1162723707</v>
      </c>
      <c r="F2201" s="3">
        <v>43788</v>
      </c>
      <c r="G2201">
        <v>202005</v>
      </c>
      <c r="H2201" t="s">
        <v>75</v>
      </c>
      <c r="I2201" t="s">
        <v>76</v>
      </c>
      <c r="J2201" t="s">
        <v>77</v>
      </c>
      <c r="K2201" t="s">
        <v>78</v>
      </c>
      <c r="L2201" t="s">
        <v>101</v>
      </c>
      <c r="M2201" t="s">
        <v>102</v>
      </c>
      <c r="N2201" t="s">
        <v>2476</v>
      </c>
      <c r="O2201" t="s">
        <v>82</v>
      </c>
      <c r="P2201" t="str">
        <f>"2170717670                    "</f>
        <v xml:space="preserve">2170717670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8.58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 s="4">
        <v>50.45</v>
      </c>
      <c r="BM2201" s="4">
        <v>7.57</v>
      </c>
      <c r="BN2201" s="4">
        <v>58.02</v>
      </c>
      <c r="BO2201" s="4">
        <v>58.02</v>
      </c>
      <c r="BQ2201" t="s">
        <v>2477</v>
      </c>
      <c r="BR2201" t="s">
        <v>84</v>
      </c>
      <c r="BS2201" s="3">
        <v>43789</v>
      </c>
      <c r="BT2201" s="5">
        <v>0.4236111111111111</v>
      </c>
      <c r="BU2201" t="s">
        <v>2478</v>
      </c>
      <c r="BV2201" t="s">
        <v>86</v>
      </c>
      <c r="BY2201">
        <v>1200</v>
      </c>
      <c r="CC2201" t="s">
        <v>102</v>
      </c>
      <c r="CD2201">
        <v>82</v>
      </c>
      <c r="CE2201" t="s">
        <v>147</v>
      </c>
      <c r="CI2201">
        <v>1</v>
      </c>
      <c r="CJ2201">
        <v>1</v>
      </c>
      <c r="CK2201">
        <v>21</v>
      </c>
      <c r="CL2201" t="s">
        <v>89</v>
      </c>
    </row>
    <row r="2202" spans="1:90">
      <c r="A2202" t="s">
        <v>72</v>
      </c>
      <c r="B2202" t="s">
        <v>73</v>
      </c>
      <c r="C2202" t="s">
        <v>74</v>
      </c>
      <c r="E2202" t="str">
        <f>"FES1162723841"</f>
        <v>FES1162723841</v>
      </c>
      <c r="F2202" s="3">
        <v>43788</v>
      </c>
      <c r="G2202">
        <v>202005</v>
      </c>
      <c r="H2202" t="s">
        <v>75</v>
      </c>
      <c r="I2202" t="s">
        <v>76</v>
      </c>
      <c r="J2202" t="s">
        <v>77</v>
      </c>
      <c r="K2202" t="s">
        <v>78</v>
      </c>
      <c r="L2202" t="s">
        <v>431</v>
      </c>
      <c r="M2202" t="s">
        <v>432</v>
      </c>
      <c r="N2202" t="s">
        <v>433</v>
      </c>
      <c r="O2202" t="s">
        <v>82</v>
      </c>
      <c r="P2202" t="str">
        <f>"2170717824                    "</f>
        <v xml:space="preserve">2170717824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8.58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2</v>
      </c>
      <c r="BJ2202">
        <v>1.1000000000000001</v>
      </c>
      <c r="BK2202">
        <v>2</v>
      </c>
      <c r="BL2202" s="4">
        <v>50.45</v>
      </c>
      <c r="BM2202" s="4">
        <v>7.57</v>
      </c>
      <c r="BN2202" s="4">
        <v>58.02</v>
      </c>
      <c r="BO2202" s="4">
        <v>58.02</v>
      </c>
      <c r="BQ2202" t="s">
        <v>109</v>
      </c>
      <c r="BR2202" t="s">
        <v>84</v>
      </c>
      <c r="BS2202" s="3">
        <v>43789</v>
      </c>
      <c r="BT2202" s="5">
        <v>0.50555555555555554</v>
      </c>
      <c r="BU2202" t="s">
        <v>1451</v>
      </c>
      <c r="BV2202" t="s">
        <v>86</v>
      </c>
      <c r="BY2202">
        <v>5320</v>
      </c>
      <c r="CA2202" t="s">
        <v>435</v>
      </c>
      <c r="CC2202" t="s">
        <v>432</v>
      </c>
      <c r="CD2202">
        <v>3699</v>
      </c>
      <c r="CE2202" t="s">
        <v>88</v>
      </c>
      <c r="CF2202" s="3">
        <v>43790</v>
      </c>
      <c r="CI2202">
        <v>1</v>
      </c>
      <c r="CJ2202">
        <v>1</v>
      </c>
      <c r="CK2202">
        <v>21</v>
      </c>
      <c r="CL2202" t="s">
        <v>89</v>
      </c>
    </row>
    <row r="2203" spans="1:90">
      <c r="A2203" t="s">
        <v>72</v>
      </c>
      <c r="B2203" t="s">
        <v>73</v>
      </c>
      <c r="C2203" t="s">
        <v>74</v>
      </c>
      <c r="E2203" t="str">
        <f>"FES1162723729"</f>
        <v>FES1162723729</v>
      </c>
      <c r="F2203" s="3">
        <v>43788</v>
      </c>
      <c r="G2203">
        <v>202005</v>
      </c>
      <c r="H2203" t="s">
        <v>75</v>
      </c>
      <c r="I2203" t="s">
        <v>76</v>
      </c>
      <c r="J2203" t="s">
        <v>77</v>
      </c>
      <c r="K2203" t="s">
        <v>78</v>
      </c>
      <c r="L2203" t="s">
        <v>101</v>
      </c>
      <c r="M2203" t="s">
        <v>102</v>
      </c>
      <c r="N2203" t="s">
        <v>410</v>
      </c>
      <c r="O2203" t="s">
        <v>82</v>
      </c>
      <c r="P2203" t="str">
        <f>"21707176976                   "</f>
        <v xml:space="preserve">21707176976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8.58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 s="4">
        <v>50.45</v>
      </c>
      <c r="BM2203" s="4">
        <v>7.57</v>
      </c>
      <c r="BN2203" s="4">
        <v>58.02</v>
      </c>
      <c r="BO2203" s="4">
        <v>58.02</v>
      </c>
      <c r="BQ2203" t="s">
        <v>109</v>
      </c>
      <c r="BR2203" t="s">
        <v>84</v>
      </c>
      <c r="BS2203" s="3">
        <v>43789</v>
      </c>
      <c r="BT2203" s="5">
        <v>0.36805555555555558</v>
      </c>
      <c r="BU2203" t="s">
        <v>1144</v>
      </c>
      <c r="BV2203" t="s">
        <v>86</v>
      </c>
      <c r="BY2203">
        <v>1200</v>
      </c>
      <c r="CA2203" t="s">
        <v>359</v>
      </c>
      <c r="CC2203" t="s">
        <v>102</v>
      </c>
      <c r="CD2203">
        <v>184</v>
      </c>
      <c r="CE2203" t="s">
        <v>147</v>
      </c>
      <c r="CF2203" s="3">
        <v>43791</v>
      </c>
      <c r="CI2203">
        <v>1</v>
      </c>
      <c r="CJ2203">
        <v>1</v>
      </c>
      <c r="CK2203">
        <v>21</v>
      </c>
      <c r="CL2203" t="s">
        <v>89</v>
      </c>
    </row>
    <row r="2204" spans="1:90">
      <c r="A2204" t="s">
        <v>72</v>
      </c>
      <c r="B2204" t="s">
        <v>73</v>
      </c>
      <c r="C2204" t="s">
        <v>74</v>
      </c>
      <c r="E2204" t="str">
        <f>"FES1162723826"</f>
        <v>FES1162723826</v>
      </c>
      <c r="F2204" s="3">
        <v>43788</v>
      </c>
      <c r="G2204">
        <v>202005</v>
      </c>
      <c r="H2204" t="s">
        <v>75</v>
      </c>
      <c r="I2204" t="s">
        <v>76</v>
      </c>
      <c r="J2204" t="s">
        <v>77</v>
      </c>
      <c r="K2204" t="s">
        <v>78</v>
      </c>
      <c r="L2204" t="s">
        <v>155</v>
      </c>
      <c r="M2204" t="s">
        <v>156</v>
      </c>
      <c r="N2204" t="s">
        <v>157</v>
      </c>
      <c r="O2204" t="s">
        <v>82</v>
      </c>
      <c r="P2204" t="str">
        <f>"2170717800                    "</f>
        <v xml:space="preserve">2170717800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6.71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 s="4">
        <v>39.42</v>
      </c>
      <c r="BM2204" s="4">
        <v>5.91</v>
      </c>
      <c r="BN2204" s="4">
        <v>45.33</v>
      </c>
      <c r="BO2204" s="4">
        <v>45.33</v>
      </c>
      <c r="BQ2204" t="s">
        <v>2270</v>
      </c>
      <c r="BR2204" t="s">
        <v>84</v>
      </c>
      <c r="BS2204" s="3">
        <v>43789</v>
      </c>
      <c r="BT2204" s="5">
        <v>0.35416666666666669</v>
      </c>
      <c r="BU2204" t="s">
        <v>158</v>
      </c>
      <c r="BV2204" t="s">
        <v>86</v>
      </c>
      <c r="BY2204">
        <v>1200</v>
      </c>
      <c r="CA2204" t="s">
        <v>159</v>
      </c>
      <c r="CC2204" t="s">
        <v>156</v>
      </c>
      <c r="CD2204">
        <v>1685</v>
      </c>
      <c r="CE2204" t="s">
        <v>147</v>
      </c>
      <c r="CF2204" s="3">
        <v>43790</v>
      </c>
      <c r="CI2204">
        <v>1</v>
      </c>
      <c r="CJ2204">
        <v>1</v>
      </c>
      <c r="CK2204">
        <v>22</v>
      </c>
      <c r="CL2204" t="s">
        <v>89</v>
      </c>
    </row>
    <row r="2205" spans="1:90">
      <c r="A2205" t="s">
        <v>72</v>
      </c>
      <c r="B2205" t="s">
        <v>73</v>
      </c>
      <c r="C2205" t="s">
        <v>74</v>
      </c>
      <c r="E2205" t="str">
        <f>"FES1162723774"</f>
        <v>FES1162723774</v>
      </c>
      <c r="F2205" s="3">
        <v>43788</v>
      </c>
      <c r="G2205">
        <v>202005</v>
      </c>
      <c r="H2205" t="s">
        <v>75</v>
      </c>
      <c r="I2205" t="s">
        <v>76</v>
      </c>
      <c r="J2205" t="s">
        <v>77</v>
      </c>
      <c r="K2205" t="s">
        <v>78</v>
      </c>
      <c r="L2205" t="s">
        <v>296</v>
      </c>
      <c r="M2205" t="s">
        <v>297</v>
      </c>
      <c r="N2205" t="s">
        <v>672</v>
      </c>
      <c r="O2205" t="s">
        <v>82</v>
      </c>
      <c r="P2205" t="str">
        <f>"2170717734                    "</f>
        <v xml:space="preserve">2170717734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16.63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1.7</v>
      </c>
      <c r="BK2205">
        <v>2</v>
      </c>
      <c r="BL2205" s="4">
        <v>97.75</v>
      </c>
      <c r="BM2205" s="4">
        <v>14.66</v>
      </c>
      <c r="BN2205" s="4">
        <v>112.41</v>
      </c>
      <c r="BO2205" s="4">
        <v>112.41</v>
      </c>
      <c r="BQ2205" t="s">
        <v>142</v>
      </c>
      <c r="BR2205" t="s">
        <v>84</v>
      </c>
      <c r="BS2205" s="3">
        <v>43790</v>
      </c>
      <c r="BT2205" s="5">
        <v>0.36458333333333331</v>
      </c>
      <c r="BU2205" t="s">
        <v>690</v>
      </c>
      <c r="BV2205" t="s">
        <v>86</v>
      </c>
      <c r="BY2205">
        <v>8550</v>
      </c>
      <c r="CA2205" t="s">
        <v>300</v>
      </c>
      <c r="CC2205" t="s">
        <v>297</v>
      </c>
      <c r="CD2205">
        <v>6850</v>
      </c>
      <c r="CE2205" t="s">
        <v>88</v>
      </c>
      <c r="CF2205" s="3">
        <v>43791</v>
      </c>
      <c r="CI2205">
        <v>3</v>
      </c>
      <c r="CJ2205">
        <v>2</v>
      </c>
      <c r="CK2205">
        <v>23</v>
      </c>
      <c r="CL2205" t="s">
        <v>89</v>
      </c>
    </row>
    <row r="2206" spans="1:90">
      <c r="A2206" t="s">
        <v>72</v>
      </c>
      <c r="B2206" t="s">
        <v>73</v>
      </c>
      <c r="C2206" t="s">
        <v>74</v>
      </c>
      <c r="E2206" t="str">
        <f>"FES1162723828"</f>
        <v>FES1162723828</v>
      </c>
      <c r="F2206" s="3">
        <v>43788</v>
      </c>
      <c r="G2206">
        <v>202005</v>
      </c>
      <c r="H2206" t="s">
        <v>75</v>
      </c>
      <c r="I2206" t="s">
        <v>76</v>
      </c>
      <c r="J2206" t="s">
        <v>77</v>
      </c>
      <c r="K2206" t="s">
        <v>78</v>
      </c>
      <c r="L2206" t="s">
        <v>106</v>
      </c>
      <c r="M2206" t="s">
        <v>107</v>
      </c>
      <c r="N2206" t="s">
        <v>128</v>
      </c>
      <c r="O2206" t="s">
        <v>82</v>
      </c>
      <c r="P2206" t="str">
        <f>"2170717802                    "</f>
        <v xml:space="preserve">2170717802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8.58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 s="4">
        <v>50.45</v>
      </c>
      <c r="BM2206" s="4">
        <v>7.57</v>
      </c>
      <c r="BN2206" s="4">
        <v>58.02</v>
      </c>
      <c r="BO2206" s="4">
        <v>58.02</v>
      </c>
      <c r="BQ2206" t="s">
        <v>121</v>
      </c>
      <c r="BR2206" t="s">
        <v>84</v>
      </c>
      <c r="BS2206" s="3">
        <v>43789</v>
      </c>
      <c r="BT2206" s="5">
        <v>0.33402777777777781</v>
      </c>
      <c r="BU2206" t="s">
        <v>714</v>
      </c>
      <c r="BV2206" t="s">
        <v>86</v>
      </c>
      <c r="BY2206">
        <v>1200</v>
      </c>
      <c r="CA2206" t="s">
        <v>87</v>
      </c>
      <c r="CC2206" t="s">
        <v>107</v>
      </c>
      <c r="CD2206">
        <v>6001</v>
      </c>
      <c r="CE2206" t="s">
        <v>147</v>
      </c>
      <c r="CF2206" s="3">
        <v>43790</v>
      </c>
      <c r="CI2206">
        <v>1</v>
      </c>
      <c r="CJ2206">
        <v>1</v>
      </c>
      <c r="CK2206">
        <v>21</v>
      </c>
      <c r="CL2206" t="s">
        <v>89</v>
      </c>
    </row>
    <row r="2207" spans="1:90">
      <c r="A2207" t="s">
        <v>72</v>
      </c>
      <c r="B2207" t="s">
        <v>73</v>
      </c>
      <c r="C2207" t="s">
        <v>74</v>
      </c>
      <c r="E2207" t="str">
        <f>"FES1162723832"</f>
        <v>FES1162723832</v>
      </c>
      <c r="F2207" s="3">
        <v>43788</v>
      </c>
      <c r="G2207">
        <v>202005</v>
      </c>
      <c r="H2207" t="s">
        <v>75</v>
      </c>
      <c r="I2207" t="s">
        <v>76</v>
      </c>
      <c r="J2207" t="s">
        <v>77</v>
      </c>
      <c r="K2207" t="s">
        <v>78</v>
      </c>
      <c r="L2207" t="s">
        <v>106</v>
      </c>
      <c r="M2207" t="s">
        <v>107</v>
      </c>
      <c r="N2207" t="s">
        <v>128</v>
      </c>
      <c r="O2207" t="s">
        <v>82</v>
      </c>
      <c r="P2207" t="str">
        <f>"2170717811                    "</f>
        <v xml:space="preserve">2170717811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8.58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 s="4">
        <v>50.45</v>
      </c>
      <c r="BM2207" s="4">
        <v>7.57</v>
      </c>
      <c r="BN2207" s="4">
        <v>58.02</v>
      </c>
      <c r="BO2207" s="4">
        <v>58.02</v>
      </c>
      <c r="BQ2207" t="s">
        <v>121</v>
      </c>
      <c r="BR2207" t="s">
        <v>84</v>
      </c>
      <c r="BS2207" s="3">
        <v>43789</v>
      </c>
      <c r="BT2207" s="5">
        <v>0.33402777777777781</v>
      </c>
      <c r="BU2207" t="s">
        <v>2450</v>
      </c>
      <c r="BV2207" t="s">
        <v>86</v>
      </c>
      <c r="BY2207">
        <v>1200</v>
      </c>
      <c r="CA2207" t="s">
        <v>854</v>
      </c>
      <c r="CC2207" t="s">
        <v>107</v>
      </c>
      <c r="CD2207">
        <v>6001</v>
      </c>
      <c r="CE2207" t="s">
        <v>147</v>
      </c>
      <c r="CF2207" s="3">
        <v>43790</v>
      </c>
      <c r="CI2207">
        <v>1</v>
      </c>
      <c r="CJ2207">
        <v>1</v>
      </c>
      <c r="CK2207">
        <v>21</v>
      </c>
      <c r="CL2207" t="s">
        <v>89</v>
      </c>
    </row>
    <row r="2208" spans="1:90">
      <c r="A2208" t="s">
        <v>72</v>
      </c>
      <c r="B2208" t="s">
        <v>73</v>
      </c>
      <c r="C2208" t="s">
        <v>74</v>
      </c>
      <c r="E2208" t="str">
        <f>"FES1162723758"</f>
        <v>FES1162723758</v>
      </c>
      <c r="F2208" s="3">
        <v>43788</v>
      </c>
      <c r="G2208">
        <v>202005</v>
      </c>
      <c r="H2208" t="s">
        <v>75</v>
      </c>
      <c r="I2208" t="s">
        <v>76</v>
      </c>
      <c r="J2208" t="s">
        <v>77</v>
      </c>
      <c r="K2208" t="s">
        <v>78</v>
      </c>
      <c r="L2208" t="s">
        <v>172</v>
      </c>
      <c r="M2208" t="s">
        <v>173</v>
      </c>
      <c r="N2208" t="s">
        <v>1365</v>
      </c>
      <c r="O2208" t="s">
        <v>82</v>
      </c>
      <c r="P2208" t="str">
        <f>"2170717714                    "</f>
        <v xml:space="preserve">2170717714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12.07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1.9</v>
      </c>
      <c r="BJ2208">
        <v>0.9</v>
      </c>
      <c r="BK2208">
        <v>2</v>
      </c>
      <c r="BL2208" s="4">
        <v>70.95</v>
      </c>
      <c r="BM2208" s="4">
        <v>10.64</v>
      </c>
      <c r="BN2208" s="4">
        <v>81.59</v>
      </c>
      <c r="BO2208" s="4">
        <v>81.59</v>
      </c>
      <c r="BQ2208" t="s">
        <v>121</v>
      </c>
      <c r="BR2208" t="s">
        <v>84</v>
      </c>
      <c r="BS2208" s="3">
        <v>43789</v>
      </c>
      <c r="BT2208" s="5">
        <v>0.37083333333333335</v>
      </c>
      <c r="BU2208" t="s">
        <v>2479</v>
      </c>
      <c r="BV2208" t="s">
        <v>86</v>
      </c>
      <c r="BY2208">
        <v>4342.88</v>
      </c>
      <c r="CC2208" t="s">
        <v>173</v>
      </c>
      <c r="CD2208">
        <v>1754</v>
      </c>
      <c r="CE2208" t="s">
        <v>88</v>
      </c>
      <c r="CF2208" s="3">
        <v>43791</v>
      </c>
      <c r="CI2208">
        <v>1</v>
      </c>
      <c r="CJ2208">
        <v>1</v>
      </c>
      <c r="CK2208">
        <v>24</v>
      </c>
      <c r="CL2208" t="s">
        <v>89</v>
      </c>
    </row>
    <row r="2209" spans="1:90">
      <c r="A2209" t="s">
        <v>72</v>
      </c>
      <c r="B2209" t="s">
        <v>73</v>
      </c>
      <c r="C2209" t="s">
        <v>74</v>
      </c>
      <c r="E2209" t="str">
        <f>"FES1162723734"</f>
        <v>FES1162723734</v>
      </c>
      <c r="F2209" s="3">
        <v>43788</v>
      </c>
      <c r="G2209">
        <v>202005</v>
      </c>
      <c r="H2209" t="s">
        <v>75</v>
      </c>
      <c r="I2209" t="s">
        <v>76</v>
      </c>
      <c r="J2209" t="s">
        <v>77</v>
      </c>
      <c r="K2209" t="s">
        <v>78</v>
      </c>
      <c r="L2209" t="s">
        <v>106</v>
      </c>
      <c r="M2209" t="s">
        <v>107</v>
      </c>
      <c r="N2209" t="s">
        <v>128</v>
      </c>
      <c r="O2209" t="s">
        <v>82</v>
      </c>
      <c r="P2209" t="str">
        <f>"2170716775                    "</f>
        <v xml:space="preserve">2170716775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8.58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 s="4">
        <v>50.45</v>
      </c>
      <c r="BM2209" s="4">
        <v>7.57</v>
      </c>
      <c r="BN2209" s="4">
        <v>58.02</v>
      </c>
      <c r="BO2209" s="4">
        <v>58.02</v>
      </c>
      <c r="BQ2209" t="s">
        <v>121</v>
      </c>
      <c r="BR2209" t="s">
        <v>84</v>
      </c>
      <c r="BS2209" s="3">
        <v>43789</v>
      </c>
      <c r="BT2209" s="5">
        <v>0.33402777777777781</v>
      </c>
      <c r="BU2209" t="s">
        <v>714</v>
      </c>
      <c r="BV2209" t="s">
        <v>86</v>
      </c>
      <c r="BY2209">
        <v>1200</v>
      </c>
      <c r="CA2209" t="s">
        <v>87</v>
      </c>
      <c r="CC2209" t="s">
        <v>107</v>
      </c>
      <c r="CD2209">
        <v>6001</v>
      </c>
      <c r="CE2209" t="s">
        <v>147</v>
      </c>
      <c r="CF2209" s="3">
        <v>43790</v>
      </c>
      <c r="CI2209">
        <v>1</v>
      </c>
      <c r="CJ2209">
        <v>1</v>
      </c>
      <c r="CK2209">
        <v>21</v>
      </c>
      <c r="CL2209" t="s">
        <v>89</v>
      </c>
    </row>
    <row r="2210" spans="1:90">
      <c r="A2210" t="s">
        <v>72</v>
      </c>
      <c r="B2210" t="s">
        <v>73</v>
      </c>
      <c r="C2210" t="s">
        <v>74</v>
      </c>
      <c r="E2210" t="str">
        <f>"FES1162723777"</f>
        <v>FES1162723777</v>
      </c>
      <c r="F2210" s="3">
        <v>43788</v>
      </c>
      <c r="G2210">
        <v>202005</v>
      </c>
      <c r="H2210" t="s">
        <v>75</v>
      </c>
      <c r="I2210" t="s">
        <v>76</v>
      </c>
      <c r="J2210" t="s">
        <v>77</v>
      </c>
      <c r="K2210" t="s">
        <v>78</v>
      </c>
      <c r="L2210" t="s">
        <v>101</v>
      </c>
      <c r="M2210" t="s">
        <v>102</v>
      </c>
      <c r="N2210" t="s">
        <v>2480</v>
      </c>
      <c r="O2210" t="s">
        <v>82</v>
      </c>
      <c r="P2210" t="str">
        <f>"2170717739                    "</f>
        <v xml:space="preserve">2170717739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10.73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1.3</v>
      </c>
      <c r="BJ2210">
        <v>2.4</v>
      </c>
      <c r="BK2210">
        <v>2.5</v>
      </c>
      <c r="BL2210" s="4">
        <v>63.06</v>
      </c>
      <c r="BM2210" s="4">
        <v>9.4600000000000009</v>
      </c>
      <c r="BN2210" s="4">
        <v>72.52</v>
      </c>
      <c r="BO2210" s="4">
        <v>72.52</v>
      </c>
      <c r="BQ2210" t="s">
        <v>121</v>
      </c>
      <c r="BR2210" t="s">
        <v>84</v>
      </c>
      <c r="BS2210" s="3">
        <v>43789</v>
      </c>
      <c r="BT2210" s="5">
        <v>0.40972222222222227</v>
      </c>
      <c r="BU2210" t="s">
        <v>2481</v>
      </c>
      <c r="BV2210" t="s">
        <v>86</v>
      </c>
      <c r="BY2210">
        <v>12103.34</v>
      </c>
      <c r="CA2210" t="s">
        <v>720</v>
      </c>
      <c r="CC2210" t="s">
        <v>102</v>
      </c>
      <c r="CD2210">
        <v>47</v>
      </c>
      <c r="CE2210" t="s">
        <v>88</v>
      </c>
      <c r="CF2210" s="3">
        <v>43791</v>
      </c>
      <c r="CI2210">
        <v>1</v>
      </c>
      <c r="CJ2210">
        <v>1</v>
      </c>
      <c r="CK2210">
        <v>21</v>
      </c>
      <c r="CL2210" t="s">
        <v>89</v>
      </c>
    </row>
    <row r="2211" spans="1:90">
      <c r="A2211" t="s">
        <v>72</v>
      </c>
      <c r="B2211" t="s">
        <v>73</v>
      </c>
      <c r="C2211" t="s">
        <v>74</v>
      </c>
      <c r="E2211" t="str">
        <f>"FES1162723751"</f>
        <v>FES1162723751</v>
      </c>
      <c r="F2211" s="3">
        <v>43788</v>
      </c>
      <c r="G2211">
        <v>202005</v>
      </c>
      <c r="H2211" t="s">
        <v>75</v>
      </c>
      <c r="I2211" t="s">
        <v>76</v>
      </c>
      <c r="J2211" t="s">
        <v>77</v>
      </c>
      <c r="K2211" t="s">
        <v>78</v>
      </c>
      <c r="L2211" t="s">
        <v>133</v>
      </c>
      <c r="M2211" t="s">
        <v>134</v>
      </c>
      <c r="N2211" t="s">
        <v>986</v>
      </c>
      <c r="O2211" t="s">
        <v>82</v>
      </c>
      <c r="P2211" t="str">
        <f>"2170717705                    "</f>
        <v xml:space="preserve">2170717705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8.58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 s="4">
        <v>50.45</v>
      </c>
      <c r="BM2211" s="4">
        <v>7.57</v>
      </c>
      <c r="BN2211" s="4">
        <v>58.02</v>
      </c>
      <c r="BO2211" s="4">
        <v>58.02</v>
      </c>
      <c r="BR2211" t="s">
        <v>84</v>
      </c>
      <c r="BS2211" s="3">
        <v>43789</v>
      </c>
      <c r="BT2211" s="5">
        <v>0.40763888888888888</v>
      </c>
      <c r="BU2211" t="s">
        <v>2433</v>
      </c>
      <c r="BV2211" t="s">
        <v>86</v>
      </c>
      <c r="BY2211">
        <v>1200</v>
      </c>
      <c r="CA2211" t="s">
        <v>2434</v>
      </c>
      <c r="CC2211" t="s">
        <v>134</v>
      </c>
      <c r="CD2211">
        <v>5200</v>
      </c>
      <c r="CE2211" t="s">
        <v>147</v>
      </c>
      <c r="CF2211" s="3">
        <v>43791</v>
      </c>
      <c r="CI2211">
        <v>1</v>
      </c>
      <c r="CJ2211">
        <v>1</v>
      </c>
      <c r="CK2211">
        <v>21</v>
      </c>
      <c r="CL2211" t="s">
        <v>89</v>
      </c>
    </row>
    <row r="2212" spans="1:90">
      <c r="A2212" t="s">
        <v>72</v>
      </c>
      <c r="B2212" t="s">
        <v>73</v>
      </c>
      <c r="C2212" t="s">
        <v>74</v>
      </c>
      <c r="E2212" t="str">
        <f>"FES1162723736"</f>
        <v>FES1162723736</v>
      </c>
      <c r="F2212" s="3">
        <v>43788</v>
      </c>
      <c r="G2212">
        <v>202005</v>
      </c>
      <c r="H2212" t="s">
        <v>75</v>
      </c>
      <c r="I2212" t="s">
        <v>76</v>
      </c>
      <c r="J2212" t="s">
        <v>77</v>
      </c>
      <c r="K2212" t="s">
        <v>78</v>
      </c>
      <c r="L2212" t="s">
        <v>202</v>
      </c>
      <c r="M2212" t="s">
        <v>203</v>
      </c>
      <c r="N2212" t="s">
        <v>2482</v>
      </c>
      <c r="O2212" t="s">
        <v>82</v>
      </c>
      <c r="P2212" t="str">
        <f>"2170717034                    "</f>
        <v xml:space="preserve">2170717034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6.71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 s="4">
        <v>39.42</v>
      </c>
      <c r="BM2212" s="4">
        <v>5.91</v>
      </c>
      <c r="BN2212" s="4">
        <v>45.33</v>
      </c>
      <c r="BO2212" s="4">
        <v>45.33</v>
      </c>
      <c r="BQ2212" t="s">
        <v>121</v>
      </c>
      <c r="BR2212" t="s">
        <v>84</v>
      </c>
      <c r="BS2212" s="3">
        <v>43789</v>
      </c>
      <c r="BT2212" s="5">
        <v>0.33333333333333331</v>
      </c>
      <c r="BU2212" t="s">
        <v>2483</v>
      </c>
      <c r="BV2212" t="s">
        <v>86</v>
      </c>
      <c r="BY2212">
        <v>1200</v>
      </c>
      <c r="CA2212" t="s">
        <v>1067</v>
      </c>
      <c r="CC2212" t="s">
        <v>203</v>
      </c>
      <c r="CD2212">
        <v>1406</v>
      </c>
      <c r="CE2212" t="s">
        <v>147</v>
      </c>
      <c r="CF2212" s="3">
        <v>43791</v>
      </c>
      <c r="CI2212">
        <v>1</v>
      </c>
      <c r="CJ2212">
        <v>1</v>
      </c>
      <c r="CK2212">
        <v>22</v>
      </c>
      <c r="CL2212" t="s">
        <v>89</v>
      </c>
    </row>
    <row r="2213" spans="1:90">
      <c r="A2213" t="s">
        <v>72</v>
      </c>
      <c r="B2213" t="s">
        <v>73</v>
      </c>
      <c r="C2213" t="s">
        <v>74</v>
      </c>
      <c r="E2213" t="str">
        <f>"FES1162723724"</f>
        <v>FES1162723724</v>
      </c>
      <c r="F2213" s="3">
        <v>43788</v>
      </c>
      <c r="G2213">
        <v>202005</v>
      </c>
      <c r="H2213" t="s">
        <v>75</v>
      </c>
      <c r="I2213" t="s">
        <v>76</v>
      </c>
      <c r="J2213" t="s">
        <v>77</v>
      </c>
      <c r="K2213" t="s">
        <v>78</v>
      </c>
      <c r="L2213" t="s">
        <v>133</v>
      </c>
      <c r="M2213" t="s">
        <v>134</v>
      </c>
      <c r="N2213" t="s">
        <v>1077</v>
      </c>
      <c r="O2213" t="s">
        <v>82</v>
      </c>
      <c r="P2213" t="str">
        <f>"2170717692                    "</f>
        <v xml:space="preserve">2170717692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8.58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 s="4">
        <v>50.45</v>
      </c>
      <c r="BM2213" s="4">
        <v>7.57</v>
      </c>
      <c r="BN2213" s="4">
        <v>58.02</v>
      </c>
      <c r="BO2213" s="4">
        <v>58.02</v>
      </c>
      <c r="BQ2213" t="s">
        <v>109</v>
      </c>
      <c r="BR2213" t="s">
        <v>84</v>
      </c>
      <c r="BS2213" s="3">
        <v>43789</v>
      </c>
      <c r="BT2213" s="5">
        <v>0.40972222222222227</v>
      </c>
      <c r="BU2213" t="s">
        <v>2484</v>
      </c>
      <c r="BV2213" t="s">
        <v>86</v>
      </c>
      <c r="BY2213">
        <v>1200</v>
      </c>
      <c r="CA2213" t="s">
        <v>2485</v>
      </c>
      <c r="CC2213" t="s">
        <v>134</v>
      </c>
      <c r="CD2213">
        <v>5201</v>
      </c>
      <c r="CE2213" t="s">
        <v>147</v>
      </c>
      <c r="CF2213" s="3">
        <v>43791</v>
      </c>
      <c r="CI2213">
        <v>1</v>
      </c>
      <c r="CJ2213">
        <v>1</v>
      </c>
      <c r="CK2213">
        <v>21</v>
      </c>
      <c r="CL2213" t="s">
        <v>89</v>
      </c>
    </row>
    <row r="2214" spans="1:90">
      <c r="A2214" t="s">
        <v>72</v>
      </c>
      <c r="B2214" t="s">
        <v>73</v>
      </c>
      <c r="C2214" t="s">
        <v>74</v>
      </c>
      <c r="E2214" t="str">
        <f>"FES1162723728"</f>
        <v>FES1162723728</v>
      </c>
      <c r="F2214" s="3">
        <v>43788</v>
      </c>
      <c r="G2214">
        <v>202005</v>
      </c>
      <c r="H2214" t="s">
        <v>75</v>
      </c>
      <c r="I2214" t="s">
        <v>76</v>
      </c>
      <c r="J2214" t="s">
        <v>77</v>
      </c>
      <c r="K2214" t="s">
        <v>78</v>
      </c>
      <c r="L2214" t="s">
        <v>101</v>
      </c>
      <c r="M2214" t="s">
        <v>102</v>
      </c>
      <c r="N2214" t="s">
        <v>410</v>
      </c>
      <c r="O2214" t="s">
        <v>82</v>
      </c>
      <c r="P2214" t="str">
        <f>"2170717695                    "</f>
        <v xml:space="preserve">2170717695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10.73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2</v>
      </c>
      <c r="BJ2214">
        <v>2.2000000000000002</v>
      </c>
      <c r="BK2214">
        <v>2.5</v>
      </c>
      <c r="BL2214" s="4">
        <v>63.06</v>
      </c>
      <c r="BM2214" s="4">
        <v>9.4600000000000009</v>
      </c>
      <c r="BN2214" s="4">
        <v>72.52</v>
      </c>
      <c r="BO2214" s="4">
        <v>72.52</v>
      </c>
      <c r="BQ2214" t="s">
        <v>109</v>
      </c>
      <c r="BR2214" t="s">
        <v>84</v>
      </c>
      <c r="BS2214" s="3">
        <v>43789</v>
      </c>
      <c r="BT2214" s="5">
        <v>0.36805555555555558</v>
      </c>
      <c r="BU2214" t="s">
        <v>1144</v>
      </c>
      <c r="BV2214" t="s">
        <v>86</v>
      </c>
      <c r="BY2214">
        <v>10934.35</v>
      </c>
      <c r="CA2214" t="s">
        <v>359</v>
      </c>
      <c r="CC2214" t="s">
        <v>102</v>
      </c>
      <c r="CD2214">
        <v>184</v>
      </c>
      <c r="CE2214" t="s">
        <v>88</v>
      </c>
      <c r="CF2214" s="3">
        <v>43791</v>
      </c>
      <c r="CI2214">
        <v>1</v>
      </c>
      <c r="CJ2214">
        <v>1</v>
      </c>
      <c r="CK2214">
        <v>21</v>
      </c>
      <c r="CL2214" t="s">
        <v>89</v>
      </c>
    </row>
    <row r="2215" spans="1:90">
      <c r="A2215" t="s">
        <v>72</v>
      </c>
      <c r="B2215" t="s">
        <v>73</v>
      </c>
      <c r="C2215" t="s">
        <v>74</v>
      </c>
      <c r="E2215" t="str">
        <f>"FES1162722803"</f>
        <v>FES1162722803</v>
      </c>
      <c r="F2215" s="3">
        <v>43788</v>
      </c>
      <c r="G2215">
        <v>202005</v>
      </c>
      <c r="H2215" t="s">
        <v>75</v>
      </c>
      <c r="I2215" t="s">
        <v>76</v>
      </c>
      <c r="J2215" t="s">
        <v>77</v>
      </c>
      <c r="K2215" t="s">
        <v>78</v>
      </c>
      <c r="L2215" t="s">
        <v>75</v>
      </c>
      <c r="M2215" t="s">
        <v>76</v>
      </c>
      <c r="N2215" t="s">
        <v>942</v>
      </c>
      <c r="O2215" t="s">
        <v>82</v>
      </c>
      <c r="P2215" t="str">
        <f>"2170714268                    "</f>
        <v xml:space="preserve">2170714268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6.71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 s="4">
        <v>39.42</v>
      </c>
      <c r="BM2215" s="4">
        <v>5.91</v>
      </c>
      <c r="BN2215" s="4">
        <v>45.33</v>
      </c>
      <c r="BO2215" s="4">
        <v>45.33</v>
      </c>
      <c r="BQ2215" t="s">
        <v>943</v>
      </c>
      <c r="BR2215" t="s">
        <v>84</v>
      </c>
      <c r="BS2215" s="3">
        <v>43789</v>
      </c>
      <c r="BT2215" s="5">
        <v>0.34027777777777773</v>
      </c>
      <c r="BU2215" t="s">
        <v>1831</v>
      </c>
      <c r="BV2215" t="s">
        <v>86</v>
      </c>
      <c r="BY2215">
        <v>1200</v>
      </c>
      <c r="CA2215" t="s">
        <v>1832</v>
      </c>
      <c r="CC2215" t="s">
        <v>76</v>
      </c>
      <c r="CD2215">
        <v>1619</v>
      </c>
      <c r="CE2215" t="s">
        <v>147</v>
      </c>
      <c r="CI2215">
        <v>1</v>
      </c>
      <c r="CJ2215">
        <v>1</v>
      </c>
      <c r="CK2215">
        <v>22</v>
      </c>
      <c r="CL2215" t="s">
        <v>89</v>
      </c>
    </row>
    <row r="2216" spans="1:90">
      <c r="A2216" t="s">
        <v>72</v>
      </c>
      <c r="B2216" t="s">
        <v>73</v>
      </c>
      <c r="C2216" t="s">
        <v>74</v>
      </c>
      <c r="E2216" t="str">
        <f>"FES1162723839"</f>
        <v>FES1162723839</v>
      </c>
      <c r="F2216" s="3">
        <v>43788</v>
      </c>
      <c r="G2216">
        <v>202005</v>
      </c>
      <c r="H2216" t="s">
        <v>75</v>
      </c>
      <c r="I2216" t="s">
        <v>76</v>
      </c>
      <c r="J2216" t="s">
        <v>77</v>
      </c>
      <c r="K2216" t="s">
        <v>78</v>
      </c>
      <c r="L2216" t="s">
        <v>1268</v>
      </c>
      <c r="M2216" t="s">
        <v>1269</v>
      </c>
      <c r="N2216" t="s">
        <v>1270</v>
      </c>
      <c r="O2216" t="s">
        <v>82</v>
      </c>
      <c r="P2216" t="str">
        <f>"217071821                     "</f>
        <v xml:space="preserve">217071821 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8.58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 s="4">
        <v>50.45</v>
      </c>
      <c r="BM2216" s="4">
        <v>7.57</v>
      </c>
      <c r="BN2216" s="4">
        <v>58.02</v>
      </c>
      <c r="BO2216" s="4">
        <v>58.02</v>
      </c>
      <c r="BQ2216" t="s">
        <v>109</v>
      </c>
      <c r="BR2216" t="s">
        <v>84</v>
      </c>
      <c r="BS2216" s="3">
        <v>43789</v>
      </c>
      <c r="BT2216" s="5">
        <v>0.4291666666666667</v>
      </c>
      <c r="BU2216" t="s">
        <v>2486</v>
      </c>
      <c r="BV2216" t="s">
        <v>86</v>
      </c>
      <c r="BY2216">
        <v>1200</v>
      </c>
      <c r="CA2216" t="s">
        <v>1215</v>
      </c>
      <c r="CC2216" t="s">
        <v>1269</v>
      </c>
      <c r="CD2216">
        <v>3290</v>
      </c>
      <c r="CE2216" t="s">
        <v>147</v>
      </c>
      <c r="CF2216" s="3">
        <v>43790</v>
      </c>
      <c r="CI2216">
        <v>1</v>
      </c>
      <c r="CJ2216">
        <v>1</v>
      </c>
      <c r="CK2216">
        <v>21</v>
      </c>
      <c r="CL2216" t="s">
        <v>89</v>
      </c>
    </row>
    <row r="2217" spans="1:90">
      <c r="A2217" t="s">
        <v>72</v>
      </c>
      <c r="B2217" t="s">
        <v>73</v>
      </c>
      <c r="C2217" t="s">
        <v>74</v>
      </c>
      <c r="E2217" t="str">
        <f>"FES1162723797"</f>
        <v>FES1162723797</v>
      </c>
      <c r="F2217" s="3">
        <v>43788</v>
      </c>
      <c r="G2217">
        <v>202005</v>
      </c>
      <c r="H2217" t="s">
        <v>75</v>
      </c>
      <c r="I2217" t="s">
        <v>76</v>
      </c>
      <c r="J2217" t="s">
        <v>77</v>
      </c>
      <c r="K2217" t="s">
        <v>78</v>
      </c>
      <c r="L2217" t="s">
        <v>112</v>
      </c>
      <c r="M2217" t="s">
        <v>113</v>
      </c>
      <c r="N2217" t="s">
        <v>2487</v>
      </c>
      <c r="O2217" t="s">
        <v>82</v>
      </c>
      <c r="P2217" t="str">
        <f>"2170717772                    "</f>
        <v xml:space="preserve">2170717772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19.3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4.2</v>
      </c>
      <c r="BJ2217">
        <v>1.2</v>
      </c>
      <c r="BK2217">
        <v>4.5</v>
      </c>
      <c r="BL2217" s="4">
        <v>113.47</v>
      </c>
      <c r="BM2217" s="4">
        <v>17.02</v>
      </c>
      <c r="BN2217" s="4">
        <v>130.49</v>
      </c>
      <c r="BO2217" s="4">
        <v>130.49</v>
      </c>
      <c r="BQ2217" t="s">
        <v>121</v>
      </c>
      <c r="BR2217" t="s">
        <v>84</v>
      </c>
      <c r="BS2217" s="3">
        <v>43789</v>
      </c>
      <c r="BT2217" s="5">
        <v>0.43472222222222223</v>
      </c>
      <c r="BU2217" t="s">
        <v>2488</v>
      </c>
      <c r="BV2217" t="s">
        <v>86</v>
      </c>
      <c r="BY2217">
        <v>5883.77</v>
      </c>
      <c r="CA2217" t="s">
        <v>1758</v>
      </c>
      <c r="CC2217" t="s">
        <v>113</v>
      </c>
      <c r="CD2217">
        <v>4051</v>
      </c>
      <c r="CE2217" t="s">
        <v>88</v>
      </c>
      <c r="CF2217" s="3">
        <v>43790</v>
      </c>
      <c r="CI2217">
        <v>1</v>
      </c>
      <c r="CJ2217">
        <v>1</v>
      </c>
      <c r="CK2217">
        <v>21</v>
      </c>
      <c r="CL2217" t="s">
        <v>89</v>
      </c>
    </row>
    <row r="2218" spans="1:90">
      <c r="A2218" t="s">
        <v>72</v>
      </c>
      <c r="B2218" t="s">
        <v>73</v>
      </c>
      <c r="C2218" t="s">
        <v>74</v>
      </c>
      <c r="E2218" t="str">
        <f>"FES1162723848"</f>
        <v>FES1162723848</v>
      </c>
      <c r="F2218" s="3">
        <v>43788</v>
      </c>
      <c r="G2218">
        <v>202005</v>
      </c>
      <c r="H2218" t="s">
        <v>75</v>
      </c>
      <c r="I2218" t="s">
        <v>76</v>
      </c>
      <c r="J2218" t="s">
        <v>77</v>
      </c>
      <c r="K2218" t="s">
        <v>78</v>
      </c>
      <c r="L2218" t="s">
        <v>112</v>
      </c>
      <c r="M2218" t="s">
        <v>113</v>
      </c>
      <c r="N2218" t="s">
        <v>160</v>
      </c>
      <c r="O2218" t="s">
        <v>82</v>
      </c>
      <c r="P2218" t="str">
        <f>"2170717834                    "</f>
        <v xml:space="preserve">2170717834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8.58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 s="4">
        <v>50.45</v>
      </c>
      <c r="BM2218" s="4">
        <v>7.57</v>
      </c>
      <c r="BN2218" s="4">
        <v>58.02</v>
      </c>
      <c r="BO2218" s="4">
        <v>58.02</v>
      </c>
      <c r="BQ2218" t="s">
        <v>161</v>
      </c>
      <c r="BR2218" t="s">
        <v>84</v>
      </c>
      <c r="BS2218" s="3">
        <v>43789</v>
      </c>
      <c r="BT2218" s="5">
        <v>0.34652777777777777</v>
      </c>
      <c r="BU2218" t="s">
        <v>2489</v>
      </c>
      <c r="BV2218" t="s">
        <v>86</v>
      </c>
      <c r="BY2218">
        <v>1200</v>
      </c>
      <c r="CA2218" t="s">
        <v>2490</v>
      </c>
      <c r="CC2218" t="s">
        <v>113</v>
      </c>
      <c r="CD2218">
        <v>4000</v>
      </c>
      <c r="CE2218" t="s">
        <v>147</v>
      </c>
      <c r="CF2218" s="3">
        <v>43790</v>
      </c>
      <c r="CI2218">
        <v>1</v>
      </c>
      <c r="CJ2218">
        <v>1</v>
      </c>
      <c r="CK2218">
        <v>21</v>
      </c>
      <c r="CL2218" t="s">
        <v>89</v>
      </c>
    </row>
    <row r="2219" spans="1:90">
      <c r="A2219" t="s">
        <v>72</v>
      </c>
      <c r="B2219" t="s">
        <v>73</v>
      </c>
      <c r="C2219" t="s">
        <v>74</v>
      </c>
      <c r="E2219" t="str">
        <f>"FES1162723850"</f>
        <v>FES1162723850</v>
      </c>
      <c r="F2219" s="3">
        <v>43788</v>
      </c>
      <c r="G2219">
        <v>202005</v>
      </c>
      <c r="H2219" t="s">
        <v>75</v>
      </c>
      <c r="I2219" t="s">
        <v>76</v>
      </c>
      <c r="J2219" t="s">
        <v>77</v>
      </c>
      <c r="K2219" t="s">
        <v>78</v>
      </c>
      <c r="L2219" t="s">
        <v>118</v>
      </c>
      <c r="M2219" t="s">
        <v>119</v>
      </c>
      <c r="N2219" t="s">
        <v>775</v>
      </c>
      <c r="O2219" t="s">
        <v>82</v>
      </c>
      <c r="P2219" t="str">
        <f>"2170717837                    "</f>
        <v xml:space="preserve">2170717837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8.58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 s="4">
        <v>50.45</v>
      </c>
      <c r="BM2219" s="4">
        <v>7.57</v>
      </c>
      <c r="BN2219" s="4">
        <v>58.02</v>
      </c>
      <c r="BO2219" s="4">
        <v>58.02</v>
      </c>
      <c r="BQ2219" t="s">
        <v>142</v>
      </c>
      <c r="BR2219" t="s">
        <v>84</v>
      </c>
      <c r="BS2219" s="3">
        <v>43789</v>
      </c>
      <c r="BT2219" s="5">
        <v>0.41736111111111113</v>
      </c>
      <c r="BU2219" t="s">
        <v>1739</v>
      </c>
      <c r="BV2219" t="s">
        <v>86</v>
      </c>
      <c r="BY2219">
        <v>1200</v>
      </c>
      <c r="CA2219" t="s">
        <v>171</v>
      </c>
      <c r="CC2219" t="s">
        <v>119</v>
      </c>
      <c r="CD2219">
        <v>3201</v>
      </c>
      <c r="CE2219" t="s">
        <v>147</v>
      </c>
      <c r="CF2219" s="3">
        <v>43790</v>
      </c>
      <c r="CI2219">
        <v>1</v>
      </c>
      <c r="CJ2219">
        <v>1</v>
      </c>
      <c r="CK2219">
        <v>21</v>
      </c>
      <c r="CL2219" t="s">
        <v>89</v>
      </c>
    </row>
    <row r="2220" spans="1:90">
      <c r="A2220" t="s">
        <v>72</v>
      </c>
      <c r="B2220" t="s">
        <v>73</v>
      </c>
      <c r="C2220" t="s">
        <v>74</v>
      </c>
      <c r="E2220" t="str">
        <f>"FES1162723844"</f>
        <v>FES1162723844</v>
      </c>
      <c r="F2220" s="3">
        <v>43788</v>
      </c>
      <c r="G2220">
        <v>202005</v>
      </c>
      <c r="H2220" t="s">
        <v>75</v>
      </c>
      <c r="I2220" t="s">
        <v>76</v>
      </c>
      <c r="J2220" t="s">
        <v>77</v>
      </c>
      <c r="K2220" t="s">
        <v>78</v>
      </c>
      <c r="L2220" t="s">
        <v>75</v>
      </c>
      <c r="M2220" t="s">
        <v>76</v>
      </c>
      <c r="N2220" t="s">
        <v>360</v>
      </c>
      <c r="O2220" t="s">
        <v>82</v>
      </c>
      <c r="P2220" t="str">
        <f>"2170717827                    "</f>
        <v xml:space="preserve">2170717827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6.71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0.2</v>
      </c>
      <c r="BJ2220">
        <v>1.2</v>
      </c>
      <c r="BK2220">
        <v>1.5</v>
      </c>
      <c r="BL2220" s="4">
        <v>39.42</v>
      </c>
      <c r="BM2220" s="4">
        <v>5.91</v>
      </c>
      <c r="BN2220" s="4">
        <v>45.33</v>
      </c>
      <c r="BO2220" s="4">
        <v>45.33</v>
      </c>
      <c r="BQ2220" t="s">
        <v>109</v>
      </c>
      <c r="BR2220" t="s">
        <v>84</v>
      </c>
      <c r="BS2220" s="3">
        <v>43789</v>
      </c>
      <c r="BT2220" s="5">
        <v>0.33333333333333331</v>
      </c>
      <c r="BU2220" t="s">
        <v>104</v>
      </c>
      <c r="BV2220" t="s">
        <v>86</v>
      </c>
      <c r="BY2220">
        <v>5898.15</v>
      </c>
      <c r="CA2220" t="s">
        <v>797</v>
      </c>
      <c r="CC2220" t="s">
        <v>76</v>
      </c>
      <c r="CD2220">
        <v>1645</v>
      </c>
      <c r="CE2220" t="s">
        <v>88</v>
      </c>
      <c r="CF2220" s="3">
        <v>43790</v>
      </c>
      <c r="CI2220">
        <v>1</v>
      </c>
      <c r="CJ2220">
        <v>1</v>
      </c>
      <c r="CK2220">
        <v>22</v>
      </c>
      <c r="CL2220" t="s">
        <v>89</v>
      </c>
    </row>
    <row r="2221" spans="1:90">
      <c r="A2221" t="s">
        <v>72</v>
      </c>
      <c r="B2221" t="s">
        <v>73</v>
      </c>
      <c r="C2221" t="s">
        <v>74</v>
      </c>
      <c r="E2221" t="str">
        <f>"FES1162723834"</f>
        <v>FES1162723834</v>
      </c>
      <c r="F2221" s="3">
        <v>43788</v>
      </c>
      <c r="G2221">
        <v>202005</v>
      </c>
      <c r="H2221" t="s">
        <v>75</v>
      </c>
      <c r="I2221" t="s">
        <v>76</v>
      </c>
      <c r="J2221" t="s">
        <v>77</v>
      </c>
      <c r="K2221" t="s">
        <v>78</v>
      </c>
      <c r="L2221" t="s">
        <v>118</v>
      </c>
      <c r="M2221" t="s">
        <v>119</v>
      </c>
      <c r="N2221" t="s">
        <v>130</v>
      </c>
      <c r="O2221" t="s">
        <v>82</v>
      </c>
      <c r="P2221" t="str">
        <f>"2170717814                    "</f>
        <v xml:space="preserve">2170717814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8.58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2</v>
      </c>
      <c r="BJ2221">
        <v>1.1000000000000001</v>
      </c>
      <c r="BK2221">
        <v>2</v>
      </c>
      <c r="BL2221" s="4">
        <v>50.45</v>
      </c>
      <c r="BM2221" s="4">
        <v>7.57</v>
      </c>
      <c r="BN2221" s="4">
        <v>58.02</v>
      </c>
      <c r="BO2221" s="4">
        <v>58.02</v>
      </c>
      <c r="BQ2221" t="s">
        <v>109</v>
      </c>
      <c r="BR2221" t="s">
        <v>84</v>
      </c>
      <c r="BS2221" s="3">
        <v>43789</v>
      </c>
      <c r="BT2221" s="5">
        <v>0.42083333333333334</v>
      </c>
      <c r="BU2221" t="s">
        <v>1289</v>
      </c>
      <c r="BV2221" t="s">
        <v>86</v>
      </c>
      <c r="BY2221">
        <v>5320</v>
      </c>
      <c r="CA2221" t="s">
        <v>132</v>
      </c>
      <c r="CC2221" t="s">
        <v>119</v>
      </c>
      <c r="CD2221">
        <v>3201</v>
      </c>
      <c r="CE2221" t="s">
        <v>88</v>
      </c>
      <c r="CF2221" s="3">
        <v>43790</v>
      </c>
      <c r="CI2221">
        <v>1</v>
      </c>
      <c r="CJ2221">
        <v>1</v>
      </c>
      <c r="CK2221">
        <v>21</v>
      </c>
      <c r="CL2221" t="s">
        <v>89</v>
      </c>
    </row>
    <row r="2222" spans="1:90">
      <c r="A2222" t="s">
        <v>72</v>
      </c>
      <c r="B2222" t="s">
        <v>73</v>
      </c>
      <c r="C2222" t="s">
        <v>74</v>
      </c>
      <c r="E2222" t="str">
        <f>"FES1162723788"</f>
        <v>FES1162723788</v>
      </c>
      <c r="F2222" s="3">
        <v>43788</v>
      </c>
      <c r="G2222">
        <v>202005</v>
      </c>
      <c r="H2222" t="s">
        <v>75</v>
      </c>
      <c r="I2222" t="s">
        <v>76</v>
      </c>
      <c r="J2222" t="s">
        <v>77</v>
      </c>
      <c r="K2222" t="s">
        <v>78</v>
      </c>
      <c r="L2222" t="s">
        <v>118</v>
      </c>
      <c r="M2222" t="s">
        <v>119</v>
      </c>
      <c r="N2222" t="s">
        <v>2491</v>
      </c>
      <c r="O2222" t="s">
        <v>82</v>
      </c>
      <c r="P2222" t="str">
        <f>"2170717758                    "</f>
        <v xml:space="preserve">2170717758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8.58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2</v>
      </c>
      <c r="BJ2222">
        <v>0.9</v>
      </c>
      <c r="BK2222">
        <v>2</v>
      </c>
      <c r="BL2222" s="4">
        <v>50.45</v>
      </c>
      <c r="BM2222" s="4">
        <v>7.57</v>
      </c>
      <c r="BN2222" s="4">
        <v>58.02</v>
      </c>
      <c r="BO2222" s="4">
        <v>58.02</v>
      </c>
      <c r="BQ2222" t="s">
        <v>121</v>
      </c>
      <c r="BR2222" t="s">
        <v>84</v>
      </c>
      <c r="BS2222" s="3">
        <v>43789</v>
      </c>
      <c r="BT2222" s="5">
        <v>0.3298611111111111</v>
      </c>
      <c r="BU2222" t="s">
        <v>2492</v>
      </c>
      <c r="BV2222" t="s">
        <v>86</v>
      </c>
      <c r="BY2222">
        <v>4260.7299999999996</v>
      </c>
      <c r="CA2222" t="s">
        <v>2493</v>
      </c>
      <c r="CC2222" t="s">
        <v>119</v>
      </c>
      <c r="CD2222">
        <v>3201</v>
      </c>
      <c r="CE2222" t="s">
        <v>88</v>
      </c>
      <c r="CF2222" s="3">
        <v>43790</v>
      </c>
      <c r="CI2222">
        <v>1</v>
      </c>
      <c r="CJ2222">
        <v>1</v>
      </c>
      <c r="CK2222">
        <v>21</v>
      </c>
      <c r="CL2222" t="s">
        <v>89</v>
      </c>
    </row>
    <row r="2223" spans="1:90">
      <c r="A2223" t="s">
        <v>72</v>
      </c>
      <c r="B2223" t="s">
        <v>73</v>
      </c>
      <c r="C2223" t="s">
        <v>74</v>
      </c>
      <c r="E2223" t="str">
        <f>"FES1162723747"</f>
        <v>FES1162723747</v>
      </c>
      <c r="F2223" s="3">
        <v>43788</v>
      </c>
      <c r="G2223">
        <v>202005</v>
      </c>
      <c r="H2223" t="s">
        <v>75</v>
      </c>
      <c r="I2223" t="s">
        <v>76</v>
      </c>
      <c r="J2223" t="s">
        <v>77</v>
      </c>
      <c r="K2223" t="s">
        <v>78</v>
      </c>
      <c r="L2223" t="s">
        <v>691</v>
      </c>
      <c r="M2223" t="s">
        <v>692</v>
      </c>
      <c r="N2223" t="s">
        <v>2494</v>
      </c>
      <c r="O2223" t="s">
        <v>82</v>
      </c>
      <c r="P2223" t="str">
        <f>"2170717629                    "</f>
        <v xml:space="preserve">2170717629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16.350000000000001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7.6</v>
      </c>
      <c r="BJ2223">
        <v>3.2</v>
      </c>
      <c r="BK2223">
        <v>8</v>
      </c>
      <c r="BL2223" s="4">
        <v>96.1</v>
      </c>
      <c r="BM2223" s="4">
        <v>14.42</v>
      </c>
      <c r="BN2223" s="4">
        <v>110.52</v>
      </c>
      <c r="BO2223" s="4">
        <v>110.52</v>
      </c>
      <c r="BQ2223" t="s">
        <v>121</v>
      </c>
      <c r="BR2223" t="s">
        <v>84</v>
      </c>
      <c r="BS2223" s="3">
        <v>43789</v>
      </c>
      <c r="BT2223" s="5">
        <v>0.31597222222222221</v>
      </c>
      <c r="BU2223" t="s">
        <v>2495</v>
      </c>
      <c r="BV2223" t="s">
        <v>86</v>
      </c>
      <c r="BY2223">
        <v>15777.6</v>
      </c>
      <c r="CA2223" t="s">
        <v>1316</v>
      </c>
      <c r="CC2223" t="s">
        <v>692</v>
      </c>
      <c r="CD2223">
        <v>1559</v>
      </c>
      <c r="CE2223" t="s">
        <v>88</v>
      </c>
      <c r="CF2223" s="3">
        <v>43790</v>
      </c>
      <c r="CI2223">
        <v>1</v>
      </c>
      <c r="CJ2223">
        <v>1</v>
      </c>
      <c r="CK2223">
        <v>22</v>
      </c>
      <c r="CL2223" t="s">
        <v>89</v>
      </c>
    </row>
    <row r="2224" spans="1:90">
      <c r="A2224" t="s">
        <v>72</v>
      </c>
      <c r="B2224" t="s">
        <v>73</v>
      </c>
      <c r="C2224" t="s">
        <v>74</v>
      </c>
      <c r="E2224" t="str">
        <f>"FES1162723715"</f>
        <v>FES1162723715</v>
      </c>
      <c r="F2224" s="3">
        <v>43788</v>
      </c>
      <c r="G2224">
        <v>202005</v>
      </c>
      <c r="H2224" t="s">
        <v>75</v>
      </c>
      <c r="I2224" t="s">
        <v>76</v>
      </c>
      <c r="J2224" t="s">
        <v>77</v>
      </c>
      <c r="K2224" t="s">
        <v>78</v>
      </c>
      <c r="L2224" t="s">
        <v>75</v>
      </c>
      <c r="M2224" t="s">
        <v>76</v>
      </c>
      <c r="N2224" t="s">
        <v>466</v>
      </c>
      <c r="O2224" t="s">
        <v>82</v>
      </c>
      <c r="P2224" t="str">
        <f>"2170717681                    "</f>
        <v xml:space="preserve">2170717681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20.37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10.199999999999999</v>
      </c>
      <c r="BJ2224">
        <v>8.1999999999999993</v>
      </c>
      <c r="BK2224">
        <v>10.5</v>
      </c>
      <c r="BL2224" s="4">
        <v>119.72</v>
      </c>
      <c r="BM2224" s="4">
        <v>17.96</v>
      </c>
      <c r="BN2224" s="4">
        <v>137.68</v>
      </c>
      <c r="BO2224" s="4">
        <v>137.68</v>
      </c>
      <c r="BQ2224" t="s">
        <v>109</v>
      </c>
      <c r="BR2224" t="s">
        <v>84</v>
      </c>
      <c r="BS2224" s="3">
        <v>43789</v>
      </c>
      <c r="BT2224" s="5">
        <v>0.33263888888888887</v>
      </c>
      <c r="BU2224" t="s">
        <v>2496</v>
      </c>
      <c r="BV2224" t="s">
        <v>86</v>
      </c>
      <c r="BY2224">
        <v>40810.58</v>
      </c>
      <c r="CA2224" t="s">
        <v>1067</v>
      </c>
      <c r="CC2224" t="s">
        <v>76</v>
      </c>
      <c r="CD2224">
        <v>1609</v>
      </c>
      <c r="CE2224" t="s">
        <v>88</v>
      </c>
      <c r="CF2224" s="3">
        <v>43791</v>
      </c>
      <c r="CI2224">
        <v>1</v>
      </c>
      <c r="CJ2224">
        <v>1</v>
      </c>
      <c r="CK2224">
        <v>22</v>
      </c>
      <c r="CL2224" t="s">
        <v>89</v>
      </c>
    </row>
    <row r="2225" spans="1:90">
      <c r="A2225" t="s">
        <v>72</v>
      </c>
      <c r="B2225" t="s">
        <v>73</v>
      </c>
      <c r="C2225" t="s">
        <v>74</v>
      </c>
      <c r="E2225" t="str">
        <f>"FES1162723793"</f>
        <v>FES1162723793</v>
      </c>
      <c r="F2225" s="3">
        <v>43788</v>
      </c>
      <c r="G2225">
        <v>202005</v>
      </c>
      <c r="H2225" t="s">
        <v>75</v>
      </c>
      <c r="I2225" t="s">
        <v>76</v>
      </c>
      <c r="J2225" t="s">
        <v>77</v>
      </c>
      <c r="K2225" t="s">
        <v>78</v>
      </c>
      <c r="L2225" t="s">
        <v>133</v>
      </c>
      <c r="M2225" t="s">
        <v>134</v>
      </c>
      <c r="N2225" t="s">
        <v>310</v>
      </c>
      <c r="O2225" t="s">
        <v>82</v>
      </c>
      <c r="P2225" t="str">
        <f>"2170717765                    "</f>
        <v xml:space="preserve">2170717765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34.31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2</v>
      </c>
      <c r="BI2225">
        <v>7.7</v>
      </c>
      <c r="BJ2225">
        <v>3.6</v>
      </c>
      <c r="BK2225">
        <v>8</v>
      </c>
      <c r="BL2225" s="4">
        <v>201.7</v>
      </c>
      <c r="BM2225" s="4">
        <v>30.26</v>
      </c>
      <c r="BN2225" s="4">
        <v>231.96</v>
      </c>
      <c r="BO2225" s="4">
        <v>231.96</v>
      </c>
      <c r="BQ2225" t="s">
        <v>121</v>
      </c>
      <c r="BR2225" t="s">
        <v>84</v>
      </c>
      <c r="BS2225" s="3">
        <v>43789</v>
      </c>
      <c r="BT2225" s="5">
        <v>0.35069444444444442</v>
      </c>
      <c r="BU2225" t="s">
        <v>2497</v>
      </c>
      <c r="BV2225" t="s">
        <v>86</v>
      </c>
      <c r="BY2225">
        <v>17822.84</v>
      </c>
      <c r="CA2225" t="s">
        <v>2485</v>
      </c>
      <c r="CC2225" t="s">
        <v>134</v>
      </c>
      <c r="CD2225">
        <v>5201</v>
      </c>
      <c r="CE2225" t="s">
        <v>1892</v>
      </c>
      <c r="CF2225" s="3">
        <v>43791</v>
      </c>
      <c r="CI2225">
        <v>1</v>
      </c>
      <c r="CJ2225">
        <v>1</v>
      </c>
      <c r="CK2225">
        <v>21</v>
      </c>
      <c r="CL2225" t="s">
        <v>89</v>
      </c>
    </row>
    <row r="2226" spans="1:90">
      <c r="A2226" t="s">
        <v>72</v>
      </c>
      <c r="B2226" t="s">
        <v>73</v>
      </c>
      <c r="C2226" t="s">
        <v>74</v>
      </c>
      <c r="E2226" t="str">
        <f>"FES1162723785"</f>
        <v>FES1162723785</v>
      </c>
      <c r="F2226" s="3">
        <v>43788</v>
      </c>
      <c r="G2226">
        <v>202005</v>
      </c>
      <c r="H2226" t="s">
        <v>75</v>
      </c>
      <c r="I2226" t="s">
        <v>76</v>
      </c>
      <c r="J2226" t="s">
        <v>77</v>
      </c>
      <c r="K2226" t="s">
        <v>78</v>
      </c>
      <c r="L2226" t="s">
        <v>75</v>
      </c>
      <c r="M2226" t="s">
        <v>76</v>
      </c>
      <c r="N2226" t="s">
        <v>2498</v>
      </c>
      <c r="O2226" t="s">
        <v>82</v>
      </c>
      <c r="P2226" t="str">
        <f>"2170717753                    "</f>
        <v xml:space="preserve">2170717753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6.71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 s="4">
        <v>39.42</v>
      </c>
      <c r="BM2226" s="4">
        <v>5.91</v>
      </c>
      <c r="BN2226" s="4">
        <v>45.33</v>
      </c>
      <c r="BO2226" s="4">
        <v>45.33</v>
      </c>
      <c r="BR2226" t="s">
        <v>84</v>
      </c>
      <c r="BS2226" s="3">
        <v>43789</v>
      </c>
      <c r="BT2226" s="5">
        <v>0.35069444444444442</v>
      </c>
      <c r="BU2226" t="s">
        <v>2499</v>
      </c>
      <c r="BV2226" t="s">
        <v>86</v>
      </c>
      <c r="BY2226">
        <v>1200</v>
      </c>
      <c r="CA2226" t="s">
        <v>368</v>
      </c>
      <c r="CC2226" t="s">
        <v>76</v>
      </c>
      <c r="CD2226">
        <v>1600</v>
      </c>
      <c r="CE2226" t="s">
        <v>147</v>
      </c>
      <c r="CF2226" s="3">
        <v>43790</v>
      </c>
      <c r="CI2226">
        <v>1</v>
      </c>
      <c r="CJ2226">
        <v>1</v>
      </c>
      <c r="CK2226">
        <v>22</v>
      </c>
      <c r="CL2226" t="s">
        <v>89</v>
      </c>
    </row>
    <row r="2227" spans="1:90">
      <c r="A2227" t="s">
        <v>72</v>
      </c>
      <c r="B2227" t="s">
        <v>73</v>
      </c>
      <c r="C2227" t="s">
        <v>74</v>
      </c>
      <c r="E2227" t="str">
        <f>"FES1162722370"</f>
        <v>FES1162722370</v>
      </c>
      <c r="F2227" s="3">
        <v>43788</v>
      </c>
      <c r="G2227">
        <v>202005</v>
      </c>
      <c r="H2227" t="s">
        <v>75</v>
      </c>
      <c r="I2227" t="s">
        <v>76</v>
      </c>
      <c r="J2227" t="s">
        <v>77</v>
      </c>
      <c r="K2227" t="s">
        <v>78</v>
      </c>
      <c r="L2227" t="s">
        <v>344</v>
      </c>
      <c r="M2227" t="s">
        <v>345</v>
      </c>
      <c r="N2227" t="s">
        <v>550</v>
      </c>
      <c r="O2227" t="s">
        <v>82</v>
      </c>
      <c r="P2227" t="str">
        <f>"2170716484                    "</f>
        <v xml:space="preserve">2170716484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9.1199999999999992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3.5</v>
      </c>
      <c r="BJ2227">
        <v>1.6</v>
      </c>
      <c r="BK2227">
        <v>3.5</v>
      </c>
      <c r="BL2227" s="4">
        <v>53.59</v>
      </c>
      <c r="BM2227" s="4">
        <v>8.0399999999999991</v>
      </c>
      <c r="BN2227" s="4">
        <v>61.63</v>
      </c>
      <c r="BO2227" s="4">
        <v>61.63</v>
      </c>
      <c r="BQ2227" t="s">
        <v>109</v>
      </c>
      <c r="BR2227" t="s">
        <v>84</v>
      </c>
      <c r="BS2227" s="3">
        <v>43789</v>
      </c>
      <c r="BT2227" s="5">
        <v>0.40763888888888888</v>
      </c>
      <c r="BU2227" t="s">
        <v>1163</v>
      </c>
      <c r="BV2227" t="s">
        <v>86</v>
      </c>
      <c r="BY2227">
        <v>7921.24</v>
      </c>
      <c r="CC2227" t="s">
        <v>345</v>
      </c>
      <c r="CD2227">
        <v>2163</v>
      </c>
      <c r="CE2227" t="s">
        <v>88</v>
      </c>
      <c r="CF2227" s="3">
        <v>43790</v>
      </c>
      <c r="CI2227">
        <v>1</v>
      </c>
      <c r="CJ2227">
        <v>1</v>
      </c>
      <c r="CK2227">
        <v>22</v>
      </c>
      <c r="CL2227" t="s">
        <v>89</v>
      </c>
    </row>
    <row r="2228" spans="1:90">
      <c r="A2228" t="s">
        <v>72</v>
      </c>
      <c r="B2228" t="s">
        <v>73</v>
      </c>
      <c r="C2228" t="s">
        <v>74</v>
      </c>
      <c r="E2228" t="str">
        <f>"FES1162723676"</f>
        <v>FES1162723676</v>
      </c>
      <c r="F2228" s="3">
        <v>43788</v>
      </c>
      <c r="G2228">
        <v>202005</v>
      </c>
      <c r="H2228" t="s">
        <v>75</v>
      </c>
      <c r="I2228" t="s">
        <v>76</v>
      </c>
      <c r="J2228" t="s">
        <v>77</v>
      </c>
      <c r="K2228" t="s">
        <v>78</v>
      </c>
      <c r="L2228" t="s">
        <v>101</v>
      </c>
      <c r="M2228" t="s">
        <v>102</v>
      </c>
      <c r="N2228" t="s">
        <v>2356</v>
      </c>
      <c r="O2228" t="s">
        <v>82</v>
      </c>
      <c r="P2228" t="str">
        <f>"2170715166                    "</f>
        <v xml:space="preserve">2170715166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10.73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2.4</v>
      </c>
      <c r="BJ2228">
        <v>0.9</v>
      </c>
      <c r="BK2228">
        <v>2.5</v>
      </c>
      <c r="BL2228" s="4">
        <v>63.06</v>
      </c>
      <c r="BM2228" s="4">
        <v>9.4600000000000009</v>
      </c>
      <c r="BN2228" s="4">
        <v>72.52</v>
      </c>
      <c r="BO2228" s="4">
        <v>72.52</v>
      </c>
      <c r="BQ2228" t="s">
        <v>109</v>
      </c>
      <c r="BR2228" t="s">
        <v>84</v>
      </c>
      <c r="BS2228" s="3">
        <v>43789</v>
      </c>
      <c r="BT2228" s="5">
        <v>0.37361111111111112</v>
      </c>
      <c r="BU2228" t="s">
        <v>2500</v>
      </c>
      <c r="BV2228" t="s">
        <v>86</v>
      </c>
      <c r="BY2228">
        <v>4252.9799999999996</v>
      </c>
      <c r="CA2228" t="s">
        <v>2501</v>
      </c>
      <c r="CC2228" t="s">
        <v>102</v>
      </c>
      <c r="CD2228">
        <v>1</v>
      </c>
      <c r="CE2228" t="s">
        <v>88</v>
      </c>
      <c r="CI2228">
        <v>1</v>
      </c>
      <c r="CJ2228">
        <v>1</v>
      </c>
      <c r="CK2228">
        <v>21</v>
      </c>
      <c r="CL2228" t="s">
        <v>89</v>
      </c>
    </row>
    <row r="2229" spans="1:90">
      <c r="A2229" t="s">
        <v>72</v>
      </c>
      <c r="B2229" t="s">
        <v>73</v>
      </c>
      <c r="C2229" t="s">
        <v>74</v>
      </c>
      <c r="E2229" t="str">
        <f>"FES1162723784"</f>
        <v>FES1162723784</v>
      </c>
      <c r="F2229" s="3">
        <v>43788</v>
      </c>
      <c r="G2229">
        <v>202005</v>
      </c>
      <c r="H2229" t="s">
        <v>75</v>
      </c>
      <c r="I2229" t="s">
        <v>76</v>
      </c>
      <c r="J2229" t="s">
        <v>77</v>
      </c>
      <c r="K2229" t="s">
        <v>78</v>
      </c>
      <c r="L2229" t="s">
        <v>79</v>
      </c>
      <c r="M2229" t="s">
        <v>80</v>
      </c>
      <c r="N2229" t="s">
        <v>456</v>
      </c>
      <c r="O2229" t="s">
        <v>82</v>
      </c>
      <c r="P2229" t="str">
        <f>"2170715723                    "</f>
        <v xml:space="preserve">2170715723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30.03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7</v>
      </c>
      <c r="BJ2229">
        <v>3.1</v>
      </c>
      <c r="BK2229">
        <v>7</v>
      </c>
      <c r="BL2229" s="4">
        <v>176.5</v>
      </c>
      <c r="BM2229" s="4">
        <v>26.48</v>
      </c>
      <c r="BN2229" s="4">
        <v>202.98</v>
      </c>
      <c r="BO2229" s="4">
        <v>202.98</v>
      </c>
      <c r="BQ2229" t="s">
        <v>109</v>
      </c>
      <c r="BR2229" t="s">
        <v>84</v>
      </c>
      <c r="BS2229" s="3">
        <v>43789</v>
      </c>
      <c r="BT2229" s="5">
        <v>0.3263888888888889</v>
      </c>
      <c r="BU2229" t="s">
        <v>1234</v>
      </c>
      <c r="BV2229" t="s">
        <v>86</v>
      </c>
      <c r="BY2229">
        <v>15496.55</v>
      </c>
      <c r="CA2229" t="s">
        <v>87</v>
      </c>
      <c r="CC2229" t="s">
        <v>80</v>
      </c>
      <c r="CD2229">
        <v>6229</v>
      </c>
      <c r="CE2229" t="s">
        <v>88</v>
      </c>
      <c r="CF2229" s="3">
        <v>43790</v>
      </c>
      <c r="CI2229">
        <v>1</v>
      </c>
      <c r="CJ2229">
        <v>1</v>
      </c>
      <c r="CK2229">
        <v>21</v>
      </c>
      <c r="CL2229" t="s">
        <v>89</v>
      </c>
    </row>
    <row r="2230" spans="1:90">
      <c r="A2230" t="s">
        <v>72</v>
      </c>
      <c r="B2230" t="s">
        <v>73</v>
      </c>
      <c r="C2230" t="s">
        <v>74</v>
      </c>
      <c r="E2230" t="str">
        <f>"FES1162723691"</f>
        <v>FES1162723691</v>
      </c>
      <c r="F2230" s="3">
        <v>43788</v>
      </c>
      <c r="G2230">
        <v>202005</v>
      </c>
      <c r="H2230" t="s">
        <v>75</v>
      </c>
      <c r="I2230" t="s">
        <v>76</v>
      </c>
      <c r="J2230" t="s">
        <v>77</v>
      </c>
      <c r="K2230" t="s">
        <v>78</v>
      </c>
      <c r="L2230" t="s">
        <v>75</v>
      </c>
      <c r="M2230" t="s">
        <v>76</v>
      </c>
      <c r="N2230" t="s">
        <v>466</v>
      </c>
      <c r="O2230" t="s">
        <v>82</v>
      </c>
      <c r="P2230" t="str">
        <f>"2170717648                    "</f>
        <v xml:space="preserve">2170717648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9.1199999999999992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1.4</v>
      </c>
      <c r="BJ2230">
        <v>3.4</v>
      </c>
      <c r="BK2230">
        <v>3.5</v>
      </c>
      <c r="BL2230" s="4">
        <v>53.59</v>
      </c>
      <c r="BM2230" s="4">
        <v>8.0399999999999991</v>
      </c>
      <c r="BN2230" s="4">
        <v>61.63</v>
      </c>
      <c r="BO2230" s="4">
        <v>61.63</v>
      </c>
      <c r="BQ2230" t="s">
        <v>109</v>
      </c>
      <c r="BR2230" t="s">
        <v>84</v>
      </c>
      <c r="BS2230" s="3">
        <v>43789</v>
      </c>
      <c r="BT2230" s="5">
        <v>0.33263888888888887</v>
      </c>
      <c r="BU2230" t="s">
        <v>2496</v>
      </c>
      <c r="BV2230" t="s">
        <v>86</v>
      </c>
      <c r="BY2230">
        <v>17215.36</v>
      </c>
      <c r="CA2230" t="s">
        <v>1067</v>
      </c>
      <c r="CC2230" t="s">
        <v>76</v>
      </c>
      <c r="CD2230">
        <v>1609</v>
      </c>
      <c r="CE2230" t="s">
        <v>88</v>
      </c>
      <c r="CF2230" s="3">
        <v>43791</v>
      </c>
      <c r="CI2230">
        <v>1</v>
      </c>
      <c r="CJ2230">
        <v>1</v>
      </c>
      <c r="CK2230">
        <v>22</v>
      </c>
      <c r="CL2230" t="s">
        <v>89</v>
      </c>
    </row>
    <row r="2231" spans="1:90">
      <c r="A2231" t="s">
        <v>72</v>
      </c>
      <c r="B2231" t="s">
        <v>73</v>
      </c>
      <c r="C2231" t="s">
        <v>74</v>
      </c>
      <c r="E2231" t="str">
        <f>"FES1162723753"</f>
        <v>FES1162723753</v>
      </c>
      <c r="F2231" s="3">
        <v>43788</v>
      </c>
      <c r="G2231">
        <v>202005</v>
      </c>
      <c r="H2231" t="s">
        <v>75</v>
      </c>
      <c r="I2231" t="s">
        <v>76</v>
      </c>
      <c r="J2231" t="s">
        <v>77</v>
      </c>
      <c r="K2231" t="s">
        <v>78</v>
      </c>
      <c r="L2231" t="s">
        <v>164</v>
      </c>
      <c r="M2231" t="s">
        <v>165</v>
      </c>
      <c r="N2231" t="s">
        <v>166</v>
      </c>
      <c r="O2231" t="s">
        <v>82</v>
      </c>
      <c r="P2231" t="str">
        <f>"2170717710                    "</f>
        <v xml:space="preserve">2170717710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20.39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1.3</v>
      </c>
      <c r="BJ2231">
        <v>2.4</v>
      </c>
      <c r="BK2231">
        <v>2.5</v>
      </c>
      <c r="BL2231" s="4">
        <v>119.83</v>
      </c>
      <c r="BM2231" s="4">
        <v>17.97</v>
      </c>
      <c r="BN2231" s="4">
        <v>137.80000000000001</v>
      </c>
      <c r="BO2231" s="4">
        <v>137.80000000000001</v>
      </c>
      <c r="BQ2231" t="s">
        <v>121</v>
      </c>
      <c r="BR2231" t="s">
        <v>84</v>
      </c>
      <c r="BS2231" s="3">
        <v>43789</v>
      </c>
      <c r="BT2231" s="5">
        <v>0.4375</v>
      </c>
      <c r="BU2231" t="s">
        <v>870</v>
      </c>
      <c r="BV2231" t="s">
        <v>86</v>
      </c>
      <c r="BY2231">
        <v>11826.24</v>
      </c>
      <c r="CC2231" t="s">
        <v>165</v>
      </c>
      <c r="CD2231">
        <v>3370</v>
      </c>
      <c r="CE2231" t="s">
        <v>88</v>
      </c>
      <c r="CF2231" s="3">
        <v>43791</v>
      </c>
      <c r="CI2231">
        <v>3</v>
      </c>
      <c r="CJ2231">
        <v>1</v>
      </c>
      <c r="CK2231">
        <v>23</v>
      </c>
      <c r="CL2231" t="s">
        <v>89</v>
      </c>
    </row>
    <row r="2232" spans="1:90">
      <c r="A2232" t="s">
        <v>72</v>
      </c>
      <c r="B2232" t="s">
        <v>73</v>
      </c>
      <c r="C2232" t="s">
        <v>74</v>
      </c>
      <c r="E2232" t="str">
        <f>"FES1162723749"</f>
        <v>FES1162723749</v>
      </c>
      <c r="F2232" s="3">
        <v>43788</v>
      </c>
      <c r="G2232">
        <v>202005</v>
      </c>
      <c r="H2232" t="s">
        <v>75</v>
      </c>
      <c r="I2232" t="s">
        <v>76</v>
      </c>
      <c r="J2232" t="s">
        <v>77</v>
      </c>
      <c r="K2232" t="s">
        <v>78</v>
      </c>
      <c r="L2232" t="s">
        <v>90</v>
      </c>
      <c r="M2232" t="s">
        <v>91</v>
      </c>
      <c r="N2232" t="s">
        <v>2502</v>
      </c>
      <c r="O2232" t="s">
        <v>82</v>
      </c>
      <c r="P2232" t="str">
        <f>"2170717703                    "</f>
        <v xml:space="preserve">2170717703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12.87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2.9</v>
      </c>
      <c r="BJ2232">
        <v>1.4</v>
      </c>
      <c r="BK2232">
        <v>3</v>
      </c>
      <c r="BL2232" s="4">
        <v>75.66</v>
      </c>
      <c r="BM2232" s="4">
        <v>11.35</v>
      </c>
      <c r="BN2232" s="4">
        <v>87.01</v>
      </c>
      <c r="BO2232" s="4">
        <v>87.01</v>
      </c>
      <c r="BQ2232" t="s">
        <v>121</v>
      </c>
      <c r="BR2232" t="s">
        <v>84</v>
      </c>
      <c r="BS2232" s="3">
        <v>43789</v>
      </c>
      <c r="BT2232" s="5">
        <v>0.43333333333333335</v>
      </c>
      <c r="BU2232" t="s">
        <v>2503</v>
      </c>
      <c r="BV2232" t="s">
        <v>86</v>
      </c>
      <c r="BY2232">
        <v>7231.92</v>
      </c>
      <c r="CA2232" t="s">
        <v>1281</v>
      </c>
      <c r="CC2232" t="s">
        <v>91</v>
      </c>
      <c r="CD2232">
        <v>8000</v>
      </c>
      <c r="CE2232" t="s">
        <v>88</v>
      </c>
      <c r="CF2232" s="3">
        <v>43790</v>
      </c>
      <c r="CI2232">
        <v>1</v>
      </c>
      <c r="CJ2232">
        <v>1</v>
      </c>
      <c r="CK2232">
        <v>21</v>
      </c>
      <c r="CL2232" t="s">
        <v>89</v>
      </c>
    </row>
    <row r="2233" spans="1:90">
      <c r="A2233" t="s">
        <v>72</v>
      </c>
      <c r="B2233" t="s">
        <v>73</v>
      </c>
      <c r="C2233" t="s">
        <v>74</v>
      </c>
      <c r="E2233" t="str">
        <f>"RFES1162723401"</f>
        <v>RFES1162723401</v>
      </c>
      <c r="F2233" s="3">
        <v>43788</v>
      </c>
      <c r="G2233">
        <v>202005</v>
      </c>
      <c r="H2233" t="s">
        <v>1048</v>
      </c>
      <c r="I2233" t="s">
        <v>1049</v>
      </c>
      <c r="J2233" t="s">
        <v>2192</v>
      </c>
      <c r="K2233" t="s">
        <v>78</v>
      </c>
      <c r="L2233" t="s">
        <v>75</v>
      </c>
      <c r="M2233" t="s">
        <v>76</v>
      </c>
      <c r="N2233" t="s">
        <v>77</v>
      </c>
      <c r="O2233" t="s">
        <v>82</v>
      </c>
      <c r="P2233" t="str">
        <f>"2170717347                    "</f>
        <v xml:space="preserve">2170717347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83.63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19.399999999999999</v>
      </c>
      <c r="BJ2233">
        <v>3.8</v>
      </c>
      <c r="BK2233">
        <v>19.5</v>
      </c>
      <c r="BL2233" s="4">
        <v>491.6</v>
      </c>
      <c r="BM2233" s="4">
        <v>73.739999999999995</v>
      </c>
      <c r="BN2233" s="4">
        <v>565.34</v>
      </c>
      <c r="BO2233" s="4">
        <v>565.34</v>
      </c>
      <c r="BQ2233" t="s">
        <v>84</v>
      </c>
      <c r="BR2233" t="s">
        <v>246</v>
      </c>
      <c r="BS2233" s="3">
        <v>43789</v>
      </c>
      <c r="BT2233" s="5">
        <v>0.37361111111111112</v>
      </c>
      <c r="BU2233" t="s">
        <v>1016</v>
      </c>
      <c r="BV2233" t="s">
        <v>86</v>
      </c>
      <c r="BY2233">
        <v>18832.8</v>
      </c>
      <c r="CA2233" t="s">
        <v>198</v>
      </c>
      <c r="CC2233" t="s">
        <v>76</v>
      </c>
      <c r="CD2233">
        <v>1601</v>
      </c>
      <c r="CE2233" t="s">
        <v>88</v>
      </c>
      <c r="CI2233">
        <v>1</v>
      </c>
      <c r="CJ2233">
        <v>1</v>
      </c>
      <c r="CK2233">
        <v>21</v>
      </c>
      <c r="CL2233" t="s">
        <v>89</v>
      </c>
    </row>
    <row r="2234" spans="1:90">
      <c r="A2234" t="s">
        <v>72</v>
      </c>
      <c r="B2234" t="s">
        <v>73</v>
      </c>
      <c r="C2234" t="s">
        <v>74</v>
      </c>
      <c r="E2234" t="str">
        <f>"019911311448"</f>
        <v>019911311448</v>
      </c>
      <c r="F2234" s="3">
        <v>43788</v>
      </c>
      <c r="G2234">
        <v>202005</v>
      </c>
      <c r="H2234" t="s">
        <v>90</v>
      </c>
      <c r="I2234" t="s">
        <v>91</v>
      </c>
      <c r="J2234" t="s">
        <v>211</v>
      </c>
      <c r="K2234" t="s">
        <v>78</v>
      </c>
      <c r="L2234" t="s">
        <v>75</v>
      </c>
      <c r="M2234" t="s">
        <v>76</v>
      </c>
      <c r="N2234" t="s">
        <v>1014</v>
      </c>
      <c r="O2234" t="s">
        <v>282</v>
      </c>
      <c r="P2234" t="str">
        <f>"1703                          "</f>
        <v xml:space="preserve">1703      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17.57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3.6</v>
      </c>
      <c r="BJ2234">
        <v>3.2</v>
      </c>
      <c r="BK2234">
        <v>4</v>
      </c>
      <c r="BL2234" s="4">
        <v>108.28</v>
      </c>
      <c r="BM2234" s="4">
        <v>16.239999999999998</v>
      </c>
      <c r="BN2234" s="4">
        <v>124.52</v>
      </c>
      <c r="BO2234" s="4">
        <v>124.52</v>
      </c>
      <c r="BQ2234" t="s">
        <v>1015</v>
      </c>
      <c r="BR2234" t="s">
        <v>1011</v>
      </c>
      <c r="BS2234" s="3">
        <v>43790</v>
      </c>
      <c r="BT2234" s="5">
        <v>0.46319444444444446</v>
      </c>
      <c r="BU2234" t="s">
        <v>1016</v>
      </c>
      <c r="BV2234" t="s">
        <v>86</v>
      </c>
      <c r="BY2234">
        <v>16142.4</v>
      </c>
      <c r="CA2234" t="s">
        <v>198</v>
      </c>
      <c r="CC2234" t="s">
        <v>76</v>
      </c>
      <c r="CD2234">
        <v>1620</v>
      </c>
      <c r="CE2234" t="s">
        <v>1598</v>
      </c>
      <c r="CF2234" s="3">
        <v>43791</v>
      </c>
      <c r="CI2234">
        <v>2</v>
      </c>
      <c r="CJ2234">
        <v>2</v>
      </c>
      <c r="CK2234" t="s">
        <v>1002</v>
      </c>
      <c r="CL2234" t="s">
        <v>89</v>
      </c>
    </row>
    <row r="2235" spans="1:90">
      <c r="A2235" t="s">
        <v>72</v>
      </c>
      <c r="B2235" t="s">
        <v>73</v>
      </c>
      <c r="C2235" t="s">
        <v>74</v>
      </c>
      <c r="E2235" t="str">
        <f>"019911311449"</f>
        <v>019911311449</v>
      </c>
      <c r="F2235" s="3">
        <v>43788</v>
      </c>
      <c r="G2235">
        <v>202005</v>
      </c>
      <c r="H2235" t="s">
        <v>90</v>
      </c>
      <c r="I2235" t="s">
        <v>91</v>
      </c>
      <c r="J2235" t="s">
        <v>211</v>
      </c>
      <c r="K2235" t="s">
        <v>78</v>
      </c>
      <c r="L2235" t="s">
        <v>75</v>
      </c>
      <c r="M2235" t="s">
        <v>76</v>
      </c>
      <c r="N2235" t="s">
        <v>1014</v>
      </c>
      <c r="O2235" t="s">
        <v>282</v>
      </c>
      <c r="P2235" t="str">
        <f>"1703                          "</f>
        <v xml:space="preserve">1703      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22.08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20.3</v>
      </c>
      <c r="BJ2235">
        <v>9.3000000000000007</v>
      </c>
      <c r="BK2235">
        <v>21</v>
      </c>
      <c r="BL2235" s="4">
        <v>134.81</v>
      </c>
      <c r="BM2235" s="4">
        <v>20.22</v>
      </c>
      <c r="BN2235" s="4">
        <v>155.03</v>
      </c>
      <c r="BO2235" s="4">
        <v>155.03</v>
      </c>
      <c r="BQ2235" t="s">
        <v>1015</v>
      </c>
      <c r="BR2235" t="s">
        <v>1011</v>
      </c>
      <c r="BS2235" s="3">
        <v>43790</v>
      </c>
      <c r="BT2235" s="5">
        <v>0.46319444444444446</v>
      </c>
      <c r="BU2235" t="s">
        <v>1016</v>
      </c>
      <c r="BV2235" t="s">
        <v>86</v>
      </c>
      <c r="BY2235">
        <v>46385.46</v>
      </c>
      <c r="CA2235" t="s">
        <v>198</v>
      </c>
      <c r="CC2235" t="s">
        <v>76</v>
      </c>
      <c r="CD2235">
        <v>1620</v>
      </c>
      <c r="CE2235" t="s">
        <v>1598</v>
      </c>
      <c r="CF2235" s="3">
        <v>43791</v>
      </c>
      <c r="CI2235">
        <v>2</v>
      </c>
      <c r="CJ2235">
        <v>2</v>
      </c>
      <c r="CK2235" t="s">
        <v>1002</v>
      </c>
      <c r="CL2235" t="s">
        <v>89</v>
      </c>
    </row>
    <row r="2236" spans="1:90">
      <c r="A2236" t="s">
        <v>72</v>
      </c>
      <c r="B2236" t="s">
        <v>73</v>
      </c>
      <c r="C2236" t="s">
        <v>74</v>
      </c>
      <c r="E2236" t="str">
        <f>"019911311443"</f>
        <v>019911311443</v>
      </c>
      <c r="F2236" s="3">
        <v>43788</v>
      </c>
      <c r="G2236">
        <v>202005</v>
      </c>
      <c r="H2236" t="s">
        <v>90</v>
      </c>
      <c r="I2236" t="s">
        <v>91</v>
      </c>
      <c r="J2236" t="s">
        <v>211</v>
      </c>
      <c r="K2236" t="s">
        <v>78</v>
      </c>
      <c r="L2236" t="s">
        <v>75</v>
      </c>
      <c r="M2236" t="s">
        <v>76</v>
      </c>
      <c r="N2236" t="s">
        <v>1014</v>
      </c>
      <c r="O2236" t="s">
        <v>282</v>
      </c>
      <c r="P2236" t="str">
        <f>"1703                          "</f>
        <v xml:space="preserve">1703      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17.57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4.0999999999999996</v>
      </c>
      <c r="BJ2236">
        <v>3.5</v>
      </c>
      <c r="BK2236">
        <v>5</v>
      </c>
      <c r="BL2236" s="4">
        <v>108.28</v>
      </c>
      <c r="BM2236" s="4">
        <v>16.239999999999998</v>
      </c>
      <c r="BN2236" s="4">
        <v>124.52</v>
      </c>
      <c r="BO2236" s="4">
        <v>124.52</v>
      </c>
      <c r="BQ2236" t="s">
        <v>1015</v>
      </c>
      <c r="BR2236" t="s">
        <v>1011</v>
      </c>
      <c r="BS2236" s="3">
        <v>43790</v>
      </c>
      <c r="BT2236" s="5">
        <v>0.46180555555555558</v>
      </c>
      <c r="BU2236" t="s">
        <v>1016</v>
      </c>
      <c r="BV2236" t="s">
        <v>86</v>
      </c>
      <c r="BY2236">
        <v>17722.5</v>
      </c>
      <c r="CA2236" t="s">
        <v>198</v>
      </c>
      <c r="CC2236" t="s">
        <v>76</v>
      </c>
      <c r="CD2236">
        <v>1620</v>
      </c>
      <c r="CE2236" t="s">
        <v>1598</v>
      </c>
      <c r="CF2236" s="3">
        <v>43791</v>
      </c>
      <c r="CI2236">
        <v>2</v>
      </c>
      <c r="CJ2236">
        <v>2</v>
      </c>
      <c r="CK2236" t="s">
        <v>1002</v>
      </c>
      <c r="CL2236" t="s">
        <v>89</v>
      </c>
    </row>
    <row r="2237" spans="1:90">
      <c r="A2237" t="s">
        <v>72</v>
      </c>
      <c r="B2237" t="s">
        <v>73</v>
      </c>
      <c r="C2237" t="s">
        <v>74</v>
      </c>
      <c r="E2237" t="str">
        <f>"019911311445"</f>
        <v>019911311445</v>
      </c>
      <c r="F2237" s="3">
        <v>43788</v>
      </c>
      <c r="G2237">
        <v>202005</v>
      </c>
      <c r="H2237" t="s">
        <v>90</v>
      </c>
      <c r="I2237" t="s">
        <v>91</v>
      </c>
      <c r="J2237" t="s">
        <v>211</v>
      </c>
      <c r="K2237" t="s">
        <v>78</v>
      </c>
      <c r="L2237" t="s">
        <v>75</v>
      </c>
      <c r="M2237" t="s">
        <v>76</v>
      </c>
      <c r="N2237" t="s">
        <v>1014</v>
      </c>
      <c r="O2237" t="s">
        <v>282</v>
      </c>
      <c r="P2237" t="str">
        <f>"1703                          "</f>
        <v xml:space="preserve">1703      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17.57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7.3</v>
      </c>
      <c r="BJ2237">
        <v>1.9</v>
      </c>
      <c r="BK2237">
        <v>8</v>
      </c>
      <c r="BL2237" s="4">
        <v>108.28</v>
      </c>
      <c r="BM2237" s="4">
        <v>16.239999999999998</v>
      </c>
      <c r="BN2237" s="4">
        <v>124.52</v>
      </c>
      <c r="BO2237" s="4">
        <v>124.52</v>
      </c>
      <c r="BQ2237" t="s">
        <v>1015</v>
      </c>
      <c r="BR2237" t="s">
        <v>1011</v>
      </c>
      <c r="BS2237" s="3">
        <v>43790</v>
      </c>
      <c r="BT2237" s="5">
        <v>0.46388888888888885</v>
      </c>
      <c r="BU2237" t="s">
        <v>1016</v>
      </c>
      <c r="BV2237" t="s">
        <v>86</v>
      </c>
      <c r="BY2237">
        <v>9660</v>
      </c>
      <c r="CA2237" t="s">
        <v>198</v>
      </c>
      <c r="CC2237" t="s">
        <v>76</v>
      </c>
      <c r="CD2237">
        <v>1620</v>
      </c>
      <c r="CE2237" t="s">
        <v>1598</v>
      </c>
      <c r="CF2237" s="3">
        <v>43791</v>
      </c>
      <c r="CI2237">
        <v>2</v>
      </c>
      <c r="CJ2237">
        <v>2</v>
      </c>
      <c r="CK2237" t="s">
        <v>1002</v>
      </c>
      <c r="CL2237" t="s">
        <v>89</v>
      </c>
    </row>
    <row r="2238" spans="1:90">
      <c r="A2238" t="s">
        <v>72</v>
      </c>
      <c r="B2238" t="s">
        <v>73</v>
      </c>
      <c r="C2238" t="s">
        <v>74</v>
      </c>
      <c r="E2238" t="str">
        <f>"FES1162720790"</f>
        <v>FES1162720790</v>
      </c>
      <c r="F2238" s="3">
        <v>43770</v>
      </c>
      <c r="G2238">
        <v>202005</v>
      </c>
      <c r="H2238" t="s">
        <v>75</v>
      </c>
      <c r="I2238" t="s">
        <v>76</v>
      </c>
      <c r="J2238" t="s">
        <v>211</v>
      </c>
      <c r="K2238" t="s">
        <v>78</v>
      </c>
      <c r="L2238" t="s">
        <v>681</v>
      </c>
      <c r="M2238" t="s">
        <v>682</v>
      </c>
      <c r="N2238" t="s">
        <v>2220</v>
      </c>
      <c r="O2238" t="s">
        <v>756</v>
      </c>
      <c r="P2238" t="str">
        <f>"2170714744                    "</f>
        <v xml:space="preserve">2170714744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12.36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2</v>
      </c>
      <c r="BI2238">
        <v>3</v>
      </c>
      <c r="BJ2238">
        <v>2.1</v>
      </c>
      <c r="BK2238">
        <v>3</v>
      </c>
      <c r="BL2238" s="4">
        <v>71.239999999999995</v>
      </c>
      <c r="BM2238" s="4">
        <v>10.69</v>
      </c>
      <c r="BN2238" s="4">
        <v>81.93</v>
      </c>
      <c r="BO2238" s="4">
        <v>81.93</v>
      </c>
      <c r="BQ2238" t="s">
        <v>142</v>
      </c>
      <c r="BR2238" t="s">
        <v>212</v>
      </c>
      <c r="BS2238" s="3">
        <v>43773</v>
      </c>
      <c r="BT2238" s="5">
        <v>0.37222222222222223</v>
      </c>
      <c r="BU2238" t="s">
        <v>264</v>
      </c>
      <c r="BV2238" t="s">
        <v>86</v>
      </c>
      <c r="BY2238">
        <v>10690.71</v>
      </c>
      <c r="BZ2238" t="s">
        <v>27</v>
      </c>
      <c r="CA2238" t="s">
        <v>685</v>
      </c>
      <c r="CC2238" t="s">
        <v>682</v>
      </c>
      <c r="CD2238">
        <v>1871</v>
      </c>
      <c r="CE2238" t="s">
        <v>88</v>
      </c>
      <c r="CF2238" s="3">
        <v>43775</v>
      </c>
      <c r="CI2238">
        <v>1</v>
      </c>
      <c r="CJ2238">
        <v>1</v>
      </c>
      <c r="CK2238">
        <v>34</v>
      </c>
      <c r="CL2238" t="s">
        <v>89</v>
      </c>
    </row>
    <row r="2239" spans="1:90">
      <c r="A2239" t="s">
        <v>72</v>
      </c>
      <c r="B2239" t="s">
        <v>73</v>
      </c>
      <c r="C2239" t="s">
        <v>74</v>
      </c>
      <c r="E2239" t="str">
        <f>"FES1162724138"</f>
        <v>FES1162724138</v>
      </c>
      <c r="F2239" s="3">
        <v>43789</v>
      </c>
      <c r="G2239">
        <v>202005</v>
      </c>
      <c r="H2239" t="s">
        <v>75</v>
      </c>
      <c r="I2239" t="s">
        <v>76</v>
      </c>
      <c r="J2239" t="s">
        <v>77</v>
      </c>
      <c r="K2239" t="s">
        <v>78</v>
      </c>
      <c r="L2239" t="s">
        <v>90</v>
      </c>
      <c r="M2239" t="s">
        <v>91</v>
      </c>
      <c r="N2239" t="s">
        <v>650</v>
      </c>
      <c r="O2239" t="s">
        <v>82</v>
      </c>
      <c r="P2239" t="str">
        <f>"2170718107                    "</f>
        <v xml:space="preserve">2170718107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10.73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1.2</v>
      </c>
      <c r="BJ2239">
        <v>2.2999999999999998</v>
      </c>
      <c r="BK2239">
        <v>2.5</v>
      </c>
      <c r="BL2239" s="4">
        <v>63.06</v>
      </c>
      <c r="BM2239" s="4">
        <v>9.4600000000000009</v>
      </c>
      <c r="BN2239" s="4">
        <v>72.52</v>
      </c>
      <c r="BO2239" s="4">
        <v>72.52</v>
      </c>
      <c r="BQ2239" t="s">
        <v>121</v>
      </c>
      <c r="BR2239" t="s">
        <v>84</v>
      </c>
      <c r="BS2239" s="3">
        <v>43790</v>
      </c>
      <c r="BT2239" s="5">
        <v>0.38611111111111113</v>
      </c>
      <c r="BU2239" t="s">
        <v>2504</v>
      </c>
      <c r="BV2239" t="s">
        <v>86</v>
      </c>
      <c r="BY2239">
        <v>11748.13</v>
      </c>
      <c r="CA2239" t="s">
        <v>213</v>
      </c>
      <c r="CC2239" t="s">
        <v>91</v>
      </c>
      <c r="CD2239">
        <v>7441</v>
      </c>
      <c r="CE2239" t="s">
        <v>88</v>
      </c>
      <c r="CF2239" s="3">
        <v>43791</v>
      </c>
      <c r="CI2239">
        <v>1</v>
      </c>
      <c r="CJ2239">
        <v>1</v>
      </c>
      <c r="CK2239">
        <v>21</v>
      </c>
      <c r="CL2239" t="s">
        <v>89</v>
      </c>
    </row>
    <row r="2240" spans="1:90">
      <c r="A2240" t="s">
        <v>72</v>
      </c>
      <c r="B2240" t="s">
        <v>73</v>
      </c>
      <c r="C2240" t="s">
        <v>74</v>
      </c>
      <c r="E2240" t="str">
        <f>"FES1162724122"</f>
        <v>FES1162724122</v>
      </c>
      <c r="F2240" s="3">
        <v>43789</v>
      </c>
      <c r="G2240">
        <v>202005</v>
      </c>
      <c r="H2240" t="s">
        <v>75</v>
      </c>
      <c r="I2240" t="s">
        <v>76</v>
      </c>
      <c r="J2240" t="s">
        <v>77</v>
      </c>
      <c r="K2240" t="s">
        <v>78</v>
      </c>
      <c r="L2240" t="s">
        <v>118</v>
      </c>
      <c r="M2240" t="s">
        <v>119</v>
      </c>
      <c r="N2240" t="s">
        <v>120</v>
      </c>
      <c r="O2240" t="s">
        <v>82</v>
      </c>
      <c r="P2240" t="str">
        <f>"2170718085                    "</f>
        <v xml:space="preserve">2170718085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8.58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1.9</v>
      </c>
      <c r="BJ2240">
        <v>1</v>
      </c>
      <c r="BK2240">
        <v>2</v>
      </c>
      <c r="BL2240" s="4">
        <v>50.45</v>
      </c>
      <c r="BM2240" s="4">
        <v>7.57</v>
      </c>
      <c r="BN2240" s="4">
        <v>58.02</v>
      </c>
      <c r="BO2240" s="4">
        <v>58.02</v>
      </c>
      <c r="BQ2240" t="s">
        <v>121</v>
      </c>
      <c r="BR2240" t="s">
        <v>84</v>
      </c>
      <c r="BS2240" s="3">
        <v>43790</v>
      </c>
      <c r="BT2240" s="5">
        <v>0.41250000000000003</v>
      </c>
      <c r="BU2240" t="s">
        <v>623</v>
      </c>
      <c r="BV2240" t="s">
        <v>86</v>
      </c>
      <c r="BY2240">
        <v>4765.42</v>
      </c>
      <c r="CA2240" t="s">
        <v>435</v>
      </c>
      <c r="CC2240" t="s">
        <v>119</v>
      </c>
      <c r="CD2240">
        <v>3201</v>
      </c>
      <c r="CE2240" t="s">
        <v>88</v>
      </c>
      <c r="CF2240" s="3">
        <v>43791</v>
      </c>
      <c r="CI2240">
        <v>1</v>
      </c>
      <c r="CJ2240">
        <v>1</v>
      </c>
      <c r="CK2240">
        <v>21</v>
      </c>
      <c r="CL2240" t="s">
        <v>89</v>
      </c>
    </row>
    <row r="2241" spans="1:90">
      <c r="A2241" t="s">
        <v>72</v>
      </c>
      <c r="B2241" t="s">
        <v>73</v>
      </c>
      <c r="C2241" t="s">
        <v>74</v>
      </c>
      <c r="E2241" t="str">
        <f>"FES1162724101"</f>
        <v>FES1162724101</v>
      </c>
      <c r="F2241" s="3">
        <v>43789</v>
      </c>
      <c r="G2241">
        <v>202005</v>
      </c>
      <c r="H2241" t="s">
        <v>75</v>
      </c>
      <c r="I2241" t="s">
        <v>76</v>
      </c>
      <c r="J2241" t="s">
        <v>77</v>
      </c>
      <c r="K2241" t="s">
        <v>78</v>
      </c>
      <c r="L2241" t="s">
        <v>192</v>
      </c>
      <c r="M2241" t="s">
        <v>193</v>
      </c>
      <c r="N2241" t="s">
        <v>194</v>
      </c>
      <c r="O2241" t="s">
        <v>82</v>
      </c>
      <c r="P2241" t="str">
        <f>"2170718066                    "</f>
        <v xml:space="preserve">2170718066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20.39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2.5</v>
      </c>
      <c r="BJ2241">
        <v>1.2</v>
      </c>
      <c r="BK2241">
        <v>2.5</v>
      </c>
      <c r="BL2241" s="4">
        <v>119.83</v>
      </c>
      <c r="BM2241" s="4">
        <v>17.97</v>
      </c>
      <c r="BN2241" s="4">
        <v>137.80000000000001</v>
      </c>
      <c r="BO2241" s="4">
        <v>137.80000000000001</v>
      </c>
      <c r="BQ2241" t="s">
        <v>109</v>
      </c>
      <c r="BR2241" t="s">
        <v>84</v>
      </c>
      <c r="BS2241" s="3">
        <v>43790</v>
      </c>
      <c r="BT2241" s="5">
        <v>0.48888888888888887</v>
      </c>
      <c r="BU2241" t="s">
        <v>195</v>
      </c>
      <c r="BV2241" t="s">
        <v>86</v>
      </c>
      <c r="BY2241">
        <v>6021.37</v>
      </c>
      <c r="CA2241" t="s">
        <v>1364</v>
      </c>
      <c r="CC2241" t="s">
        <v>193</v>
      </c>
      <c r="CD2241">
        <v>7130</v>
      </c>
      <c r="CE2241" t="s">
        <v>88</v>
      </c>
      <c r="CF2241" s="3">
        <v>43791</v>
      </c>
      <c r="CI2241">
        <v>1</v>
      </c>
      <c r="CJ2241">
        <v>1</v>
      </c>
      <c r="CK2241">
        <v>23</v>
      </c>
      <c r="CL2241" t="s">
        <v>89</v>
      </c>
    </row>
    <row r="2242" spans="1:90">
      <c r="A2242" t="s">
        <v>72</v>
      </c>
      <c r="B2242" t="s">
        <v>73</v>
      </c>
      <c r="C2242" t="s">
        <v>74</v>
      </c>
      <c r="E2242" t="str">
        <f>"FES1162724097"</f>
        <v>FES1162724097</v>
      </c>
      <c r="F2242" s="3">
        <v>43789</v>
      </c>
      <c r="G2242">
        <v>202005</v>
      </c>
      <c r="H2242" t="s">
        <v>75</v>
      </c>
      <c r="I2242" t="s">
        <v>76</v>
      </c>
      <c r="J2242" t="s">
        <v>77</v>
      </c>
      <c r="K2242" t="s">
        <v>78</v>
      </c>
      <c r="L2242" t="s">
        <v>79</v>
      </c>
      <c r="M2242" t="s">
        <v>80</v>
      </c>
      <c r="N2242" t="s">
        <v>908</v>
      </c>
      <c r="O2242" t="s">
        <v>82</v>
      </c>
      <c r="P2242" t="str">
        <f>"2170717627                    "</f>
        <v xml:space="preserve">2170717627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12.87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3</v>
      </c>
      <c r="BJ2242">
        <v>1.6</v>
      </c>
      <c r="BK2242">
        <v>3</v>
      </c>
      <c r="BL2242" s="4">
        <v>75.66</v>
      </c>
      <c r="BM2242" s="4">
        <v>11.35</v>
      </c>
      <c r="BN2242" s="4">
        <v>87.01</v>
      </c>
      <c r="BO2242" s="4">
        <v>87.01</v>
      </c>
      <c r="BQ2242" t="s">
        <v>121</v>
      </c>
      <c r="BR2242" t="s">
        <v>84</v>
      </c>
      <c r="BS2242" s="3">
        <v>43790</v>
      </c>
      <c r="BT2242" s="5">
        <v>0.34375</v>
      </c>
      <c r="BU2242" t="s">
        <v>2505</v>
      </c>
      <c r="BV2242" t="s">
        <v>86</v>
      </c>
      <c r="BY2242">
        <v>7779.85</v>
      </c>
      <c r="CA2242" t="s">
        <v>854</v>
      </c>
      <c r="CC2242" t="s">
        <v>80</v>
      </c>
      <c r="CD2242">
        <v>6230</v>
      </c>
      <c r="CE2242" t="s">
        <v>88</v>
      </c>
      <c r="CF2242" s="3">
        <v>43791</v>
      </c>
      <c r="CI2242">
        <v>1</v>
      </c>
      <c r="CJ2242">
        <v>1</v>
      </c>
      <c r="CK2242">
        <v>21</v>
      </c>
      <c r="CL2242" t="s">
        <v>89</v>
      </c>
    </row>
    <row r="2243" spans="1:90">
      <c r="A2243" t="s">
        <v>72</v>
      </c>
      <c r="B2243" t="s">
        <v>73</v>
      </c>
      <c r="C2243" t="s">
        <v>74</v>
      </c>
      <c r="E2243" t="str">
        <f>"FES1162724112"</f>
        <v>FES1162724112</v>
      </c>
      <c r="F2243" s="3">
        <v>43789</v>
      </c>
      <c r="G2243">
        <v>202005</v>
      </c>
      <c r="H2243" t="s">
        <v>75</v>
      </c>
      <c r="I2243" t="s">
        <v>76</v>
      </c>
      <c r="J2243" t="s">
        <v>77</v>
      </c>
      <c r="K2243" t="s">
        <v>78</v>
      </c>
      <c r="L2243" t="s">
        <v>75</v>
      </c>
      <c r="M2243" t="s">
        <v>76</v>
      </c>
      <c r="N2243" t="s">
        <v>199</v>
      </c>
      <c r="O2243" t="s">
        <v>82</v>
      </c>
      <c r="P2243" t="str">
        <f>"2170718074                    "</f>
        <v xml:space="preserve">2170718074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6.71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 s="4">
        <v>39.42</v>
      </c>
      <c r="BM2243" s="4">
        <v>5.91</v>
      </c>
      <c r="BN2243" s="4">
        <v>45.33</v>
      </c>
      <c r="BO2243" s="4">
        <v>45.33</v>
      </c>
      <c r="BQ2243" t="s">
        <v>200</v>
      </c>
      <c r="BR2243" t="s">
        <v>84</v>
      </c>
      <c r="BS2243" s="3">
        <v>43790</v>
      </c>
      <c r="BT2243" s="5">
        <v>0.33333333333333331</v>
      </c>
      <c r="BU2243" t="s">
        <v>1072</v>
      </c>
      <c r="BV2243" t="s">
        <v>86</v>
      </c>
      <c r="BY2243">
        <v>1200</v>
      </c>
      <c r="CA2243" t="s">
        <v>368</v>
      </c>
      <c r="CC2243" t="s">
        <v>76</v>
      </c>
      <c r="CD2243">
        <v>1600</v>
      </c>
      <c r="CE2243" t="s">
        <v>147</v>
      </c>
      <c r="CF2243" s="3">
        <v>43791</v>
      </c>
      <c r="CI2243">
        <v>1</v>
      </c>
      <c r="CJ2243">
        <v>1</v>
      </c>
      <c r="CK2243">
        <v>22</v>
      </c>
      <c r="CL2243" t="s">
        <v>89</v>
      </c>
    </row>
    <row r="2244" spans="1:90">
      <c r="A2244" t="s">
        <v>72</v>
      </c>
      <c r="B2244" t="s">
        <v>73</v>
      </c>
      <c r="C2244" t="s">
        <v>74</v>
      </c>
      <c r="E2244" t="str">
        <f>"FES1162724034"</f>
        <v>FES1162724034</v>
      </c>
      <c r="F2244" s="3">
        <v>43789</v>
      </c>
      <c r="G2244">
        <v>202005</v>
      </c>
      <c r="H2244" t="s">
        <v>75</v>
      </c>
      <c r="I2244" t="s">
        <v>76</v>
      </c>
      <c r="J2244" t="s">
        <v>77</v>
      </c>
      <c r="K2244" t="s">
        <v>78</v>
      </c>
      <c r="L2244" t="s">
        <v>106</v>
      </c>
      <c r="M2244" t="s">
        <v>107</v>
      </c>
      <c r="N2244" t="s">
        <v>489</v>
      </c>
      <c r="O2244" t="s">
        <v>82</v>
      </c>
      <c r="P2244" t="str">
        <f>"2170715058                    "</f>
        <v xml:space="preserve">2170715058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42.89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9.9</v>
      </c>
      <c r="BJ2244">
        <v>9</v>
      </c>
      <c r="BK2244">
        <v>10</v>
      </c>
      <c r="BL2244" s="4">
        <v>252.12</v>
      </c>
      <c r="BM2244" s="4">
        <v>37.82</v>
      </c>
      <c r="BN2244" s="4">
        <v>289.94</v>
      </c>
      <c r="BO2244" s="4">
        <v>289.94</v>
      </c>
      <c r="BQ2244" t="s">
        <v>121</v>
      </c>
      <c r="BR2244" t="s">
        <v>84</v>
      </c>
      <c r="BS2244" s="3">
        <v>43790</v>
      </c>
      <c r="BT2244" s="5">
        <v>0.4236111111111111</v>
      </c>
      <c r="BU2244" t="s">
        <v>2506</v>
      </c>
      <c r="BV2244" t="s">
        <v>86</v>
      </c>
      <c r="BY2244">
        <v>44933.07</v>
      </c>
      <c r="CA2244" t="s">
        <v>773</v>
      </c>
      <c r="CC2244" t="s">
        <v>107</v>
      </c>
      <c r="CD2244">
        <v>6001</v>
      </c>
      <c r="CE2244" t="s">
        <v>88</v>
      </c>
      <c r="CF2244" s="3">
        <v>43791</v>
      </c>
      <c r="CI2244">
        <v>1</v>
      </c>
      <c r="CJ2244">
        <v>1</v>
      </c>
      <c r="CK2244">
        <v>21</v>
      </c>
      <c r="CL2244" t="s">
        <v>89</v>
      </c>
    </row>
    <row r="2245" spans="1:90">
      <c r="A2245" t="s">
        <v>72</v>
      </c>
      <c r="B2245" t="s">
        <v>73</v>
      </c>
      <c r="C2245" t="s">
        <v>74</v>
      </c>
      <c r="E2245" t="str">
        <f>"FES1162724123"</f>
        <v>FES1162724123</v>
      </c>
      <c r="F2245" s="3">
        <v>43789</v>
      </c>
      <c r="G2245">
        <v>202005</v>
      </c>
      <c r="H2245" t="s">
        <v>75</v>
      </c>
      <c r="I2245" t="s">
        <v>76</v>
      </c>
      <c r="J2245" t="s">
        <v>77</v>
      </c>
      <c r="K2245" t="s">
        <v>78</v>
      </c>
      <c r="L2245" t="s">
        <v>2507</v>
      </c>
      <c r="M2245" t="s">
        <v>2508</v>
      </c>
      <c r="N2245" t="s">
        <v>2509</v>
      </c>
      <c r="O2245" t="s">
        <v>82</v>
      </c>
      <c r="P2245" t="str">
        <f>"2170718087                    "</f>
        <v xml:space="preserve">2170718087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8.58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 s="4">
        <v>50.45</v>
      </c>
      <c r="BM2245" s="4">
        <v>7.57</v>
      </c>
      <c r="BN2245" s="4">
        <v>58.02</v>
      </c>
      <c r="BO2245" s="4">
        <v>58.02</v>
      </c>
      <c r="BQ2245" t="s">
        <v>121</v>
      </c>
      <c r="BR2245" t="s">
        <v>84</v>
      </c>
      <c r="BS2245" s="3">
        <v>43791</v>
      </c>
      <c r="BT2245" s="5">
        <v>0.5</v>
      </c>
      <c r="BU2245" t="s">
        <v>2510</v>
      </c>
      <c r="BV2245" t="s">
        <v>86</v>
      </c>
      <c r="BY2245">
        <v>1200</v>
      </c>
      <c r="CC2245" t="s">
        <v>2508</v>
      </c>
      <c r="CD2245">
        <v>8405</v>
      </c>
      <c r="CE2245" t="s">
        <v>147</v>
      </c>
      <c r="CF2245" s="3">
        <v>43795</v>
      </c>
      <c r="CI2245">
        <v>3</v>
      </c>
      <c r="CJ2245">
        <v>2</v>
      </c>
      <c r="CK2245">
        <v>21</v>
      </c>
      <c r="CL2245" t="s">
        <v>89</v>
      </c>
    </row>
    <row r="2246" spans="1:90">
      <c r="A2246" t="s">
        <v>72</v>
      </c>
      <c r="B2246" t="s">
        <v>73</v>
      </c>
      <c r="C2246" t="s">
        <v>74</v>
      </c>
      <c r="E2246" t="str">
        <f>"FES1162724121"</f>
        <v>FES1162724121</v>
      </c>
      <c r="F2246" s="3">
        <v>43789</v>
      </c>
      <c r="G2246">
        <v>202005</v>
      </c>
      <c r="H2246" t="s">
        <v>75</v>
      </c>
      <c r="I2246" t="s">
        <v>76</v>
      </c>
      <c r="J2246" t="s">
        <v>77</v>
      </c>
      <c r="K2246" t="s">
        <v>78</v>
      </c>
      <c r="L2246" t="s">
        <v>112</v>
      </c>
      <c r="M2246" t="s">
        <v>113</v>
      </c>
      <c r="N2246" t="s">
        <v>2511</v>
      </c>
      <c r="O2246" t="s">
        <v>82</v>
      </c>
      <c r="P2246" t="str">
        <f>"2170718084                    "</f>
        <v xml:space="preserve">2170718084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8.58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 s="4">
        <v>50.45</v>
      </c>
      <c r="BM2246" s="4">
        <v>7.57</v>
      </c>
      <c r="BN2246" s="4">
        <v>58.02</v>
      </c>
      <c r="BO2246" s="4">
        <v>58.02</v>
      </c>
      <c r="BQ2246" t="s">
        <v>2512</v>
      </c>
      <c r="BR2246" t="s">
        <v>84</v>
      </c>
      <c r="BS2246" s="3">
        <v>43790</v>
      </c>
      <c r="BT2246" s="5">
        <v>0.3972222222222222</v>
      </c>
      <c r="BU2246" t="s">
        <v>2513</v>
      </c>
      <c r="BV2246" t="s">
        <v>86</v>
      </c>
      <c r="BY2246">
        <v>1200</v>
      </c>
      <c r="CA2246" t="s">
        <v>426</v>
      </c>
      <c r="CC2246" t="s">
        <v>113</v>
      </c>
      <c r="CD2246">
        <v>4051</v>
      </c>
      <c r="CE2246" t="s">
        <v>147</v>
      </c>
      <c r="CF2246" s="3">
        <v>43791</v>
      </c>
      <c r="CI2246">
        <v>1</v>
      </c>
      <c r="CJ2246">
        <v>1</v>
      </c>
      <c r="CK2246">
        <v>21</v>
      </c>
      <c r="CL2246" t="s">
        <v>89</v>
      </c>
    </row>
    <row r="2247" spans="1:90">
      <c r="A2247" t="s">
        <v>72</v>
      </c>
      <c r="B2247" t="s">
        <v>73</v>
      </c>
      <c r="C2247" t="s">
        <v>74</v>
      </c>
      <c r="E2247" t="str">
        <f>"FES1162724115"</f>
        <v>FES1162724115</v>
      </c>
      <c r="F2247" s="3">
        <v>43789</v>
      </c>
      <c r="G2247">
        <v>202005</v>
      </c>
      <c r="H2247" t="s">
        <v>75</v>
      </c>
      <c r="I2247" t="s">
        <v>76</v>
      </c>
      <c r="J2247" t="s">
        <v>77</v>
      </c>
      <c r="K2247" t="s">
        <v>78</v>
      </c>
      <c r="L2247" t="s">
        <v>176</v>
      </c>
      <c r="M2247" t="s">
        <v>177</v>
      </c>
      <c r="N2247" t="s">
        <v>2514</v>
      </c>
      <c r="O2247" t="s">
        <v>82</v>
      </c>
      <c r="P2247" t="str">
        <f>"2170718078                    "</f>
        <v xml:space="preserve">2170718078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8.58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0.7</v>
      </c>
      <c r="BJ2247">
        <v>0.9</v>
      </c>
      <c r="BK2247">
        <v>1</v>
      </c>
      <c r="BL2247" s="4">
        <v>50.45</v>
      </c>
      <c r="BM2247" s="4">
        <v>7.57</v>
      </c>
      <c r="BN2247" s="4">
        <v>58.02</v>
      </c>
      <c r="BO2247" s="4">
        <v>58.02</v>
      </c>
      <c r="BQ2247" t="s">
        <v>121</v>
      </c>
      <c r="BR2247" t="s">
        <v>84</v>
      </c>
      <c r="BS2247" s="3">
        <v>43790</v>
      </c>
      <c r="BT2247" s="5">
        <v>0.33402777777777781</v>
      </c>
      <c r="BU2247" t="s">
        <v>2515</v>
      </c>
      <c r="BV2247" t="s">
        <v>86</v>
      </c>
      <c r="BY2247">
        <v>4528.25</v>
      </c>
      <c r="CA2247" t="s">
        <v>224</v>
      </c>
      <c r="CC2247" t="s">
        <v>177</v>
      </c>
      <c r="CD2247">
        <v>3610</v>
      </c>
      <c r="CE2247" t="s">
        <v>88</v>
      </c>
      <c r="CF2247" s="3">
        <v>43791</v>
      </c>
      <c r="CI2247">
        <v>1</v>
      </c>
      <c r="CJ2247">
        <v>1</v>
      </c>
      <c r="CK2247">
        <v>21</v>
      </c>
      <c r="CL2247" t="s">
        <v>89</v>
      </c>
    </row>
    <row r="2248" spans="1:90">
      <c r="A2248" t="s">
        <v>72</v>
      </c>
      <c r="B2248" t="s">
        <v>73</v>
      </c>
      <c r="C2248" t="s">
        <v>74</v>
      </c>
      <c r="E2248" t="str">
        <f>"FES1162723997"</f>
        <v>FES1162723997</v>
      </c>
      <c r="F2248" s="3">
        <v>43789</v>
      </c>
      <c r="G2248">
        <v>202005</v>
      </c>
      <c r="H2248" t="s">
        <v>75</v>
      </c>
      <c r="I2248" t="s">
        <v>76</v>
      </c>
      <c r="J2248" t="s">
        <v>77</v>
      </c>
      <c r="K2248" t="s">
        <v>78</v>
      </c>
      <c r="L2248" t="s">
        <v>90</v>
      </c>
      <c r="M2248" t="s">
        <v>91</v>
      </c>
      <c r="N2248" t="s">
        <v>1453</v>
      </c>
      <c r="O2248" t="s">
        <v>82</v>
      </c>
      <c r="P2248" t="str">
        <f>"2170712731                    "</f>
        <v xml:space="preserve">2170712731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75.06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13.3</v>
      </c>
      <c r="BJ2248">
        <v>17.2</v>
      </c>
      <c r="BK2248">
        <v>17.5</v>
      </c>
      <c r="BL2248" s="4">
        <v>441.19</v>
      </c>
      <c r="BM2248" s="4">
        <v>66.180000000000007</v>
      </c>
      <c r="BN2248" s="4">
        <v>507.37</v>
      </c>
      <c r="BO2248" s="4">
        <v>507.37</v>
      </c>
      <c r="BQ2248" t="s">
        <v>121</v>
      </c>
      <c r="BR2248" t="s">
        <v>84</v>
      </c>
      <c r="BS2248" s="3">
        <v>43790</v>
      </c>
      <c r="BT2248" s="5">
        <v>0.42430555555555555</v>
      </c>
      <c r="BU2248" t="s">
        <v>2516</v>
      </c>
      <c r="BV2248" t="s">
        <v>86</v>
      </c>
      <c r="BY2248">
        <v>86197.86</v>
      </c>
      <c r="CA2248" t="s">
        <v>1196</v>
      </c>
      <c r="CC2248" t="s">
        <v>91</v>
      </c>
      <c r="CD2248">
        <v>7580</v>
      </c>
      <c r="CE2248" t="s">
        <v>88</v>
      </c>
      <c r="CF2248" s="3">
        <v>43791</v>
      </c>
      <c r="CI2248">
        <v>1</v>
      </c>
      <c r="CJ2248">
        <v>1</v>
      </c>
      <c r="CK2248">
        <v>21</v>
      </c>
      <c r="CL2248" t="s">
        <v>89</v>
      </c>
    </row>
    <row r="2249" spans="1:90">
      <c r="A2249" t="s">
        <v>72</v>
      </c>
      <c r="B2249" t="s">
        <v>73</v>
      </c>
      <c r="C2249" t="s">
        <v>74</v>
      </c>
      <c r="E2249" t="str">
        <f>"FES1162724120"</f>
        <v>FES1162724120</v>
      </c>
      <c r="F2249" s="3">
        <v>43789</v>
      </c>
      <c r="G2249">
        <v>202005</v>
      </c>
      <c r="H2249" t="s">
        <v>75</v>
      </c>
      <c r="I2249" t="s">
        <v>76</v>
      </c>
      <c r="J2249" t="s">
        <v>77</v>
      </c>
      <c r="K2249" t="s">
        <v>78</v>
      </c>
      <c r="L2249" t="s">
        <v>90</v>
      </c>
      <c r="M2249" t="s">
        <v>91</v>
      </c>
      <c r="N2249" t="s">
        <v>538</v>
      </c>
      <c r="O2249" t="s">
        <v>82</v>
      </c>
      <c r="P2249" t="str">
        <f>"2170718081                    "</f>
        <v xml:space="preserve">2170718081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8.58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 s="4">
        <v>50.45</v>
      </c>
      <c r="BM2249" s="4">
        <v>7.57</v>
      </c>
      <c r="BN2249" s="4">
        <v>58.02</v>
      </c>
      <c r="BO2249" s="4">
        <v>58.02</v>
      </c>
      <c r="BQ2249" t="s">
        <v>109</v>
      </c>
      <c r="BR2249" t="s">
        <v>84</v>
      </c>
      <c r="BS2249" s="3">
        <v>43790</v>
      </c>
      <c r="BT2249" s="5">
        <v>0.32777777777777778</v>
      </c>
      <c r="BU2249" t="s">
        <v>2409</v>
      </c>
      <c r="BV2249" t="s">
        <v>86</v>
      </c>
      <c r="BY2249">
        <v>1200</v>
      </c>
      <c r="CA2249" t="s">
        <v>140</v>
      </c>
      <c r="CC2249" t="s">
        <v>91</v>
      </c>
      <c r="CD2249">
        <v>7530</v>
      </c>
      <c r="CE2249" t="s">
        <v>147</v>
      </c>
      <c r="CF2249" s="3">
        <v>43791</v>
      </c>
      <c r="CI2249">
        <v>1</v>
      </c>
      <c r="CJ2249">
        <v>1</v>
      </c>
      <c r="CK2249">
        <v>21</v>
      </c>
      <c r="CL2249" t="s">
        <v>89</v>
      </c>
    </row>
    <row r="2250" spans="1:90">
      <c r="A2250" t="s">
        <v>72</v>
      </c>
      <c r="B2250" t="s">
        <v>73</v>
      </c>
      <c r="C2250" t="s">
        <v>74</v>
      </c>
      <c r="E2250" t="str">
        <f>"FES1162724128"</f>
        <v>FES1162724128</v>
      </c>
      <c r="F2250" s="3">
        <v>43789</v>
      </c>
      <c r="G2250">
        <v>202005</v>
      </c>
      <c r="H2250" t="s">
        <v>75</v>
      </c>
      <c r="I2250" t="s">
        <v>76</v>
      </c>
      <c r="J2250" t="s">
        <v>77</v>
      </c>
      <c r="K2250" t="s">
        <v>78</v>
      </c>
      <c r="L2250" t="s">
        <v>124</v>
      </c>
      <c r="M2250" t="s">
        <v>125</v>
      </c>
      <c r="N2250" t="s">
        <v>642</v>
      </c>
      <c r="O2250" t="s">
        <v>82</v>
      </c>
      <c r="P2250" t="str">
        <f>"2170718092                    "</f>
        <v xml:space="preserve">2170718092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6.71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 s="4">
        <v>39.42</v>
      </c>
      <c r="BM2250" s="4">
        <v>5.91</v>
      </c>
      <c r="BN2250" s="4">
        <v>45.33</v>
      </c>
      <c r="BO2250" s="4">
        <v>45.33</v>
      </c>
      <c r="BQ2250" t="s">
        <v>2245</v>
      </c>
      <c r="BR2250" t="s">
        <v>84</v>
      </c>
      <c r="BS2250" s="3">
        <v>43790</v>
      </c>
      <c r="BT2250" s="5">
        <v>0.4291666666666667</v>
      </c>
      <c r="BU2250" t="s">
        <v>2517</v>
      </c>
      <c r="BV2250" t="s">
        <v>86</v>
      </c>
      <c r="BY2250">
        <v>1200</v>
      </c>
      <c r="CC2250" t="s">
        <v>125</v>
      </c>
      <c r="CD2250">
        <v>2091</v>
      </c>
      <c r="CE2250" t="s">
        <v>147</v>
      </c>
      <c r="CI2250">
        <v>1</v>
      </c>
      <c r="CJ2250">
        <v>1</v>
      </c>
      <c r="CK2250">
        <v>22</v>
      </c>
      <c r="CL2250" t="s">
        <v>89</v>
      </c>
    </row>
    <row r="2251" spans="1:90">
      <c r="A2251" t="s">
        <v>72</v>
      </c>
      <c r="B2251" t="s">
        <v>73</v>
      </c>
      <c r="C2251" t="s">
        <v>74</v>
      </c>
      <c r="E2251" t="str">
        <f>"FES1162724094"</f>
        <v>FES1162724094</v>
      </c>
      <c r="F2251" s="3">
        <v>43789</v>
      </c>
      <c r="G2251">
        <v>202005</v>
      </c>
      <c r="H2251" t="s">
        <v>75</v>
      </c>
      <c r="I2251" t="s">
        <v>76</v>
      </c>
      <c r="J2251" t="s">
        <v>77</v>
      </c>
      <c r="K2251" t="s">
        <v>78</v>
      </c>
      <c r="L2251" t="s">
        <v>202</v>
      </c>
      <c r="M2251" t="s">
        <v>203</v>
      </c>
      <c r="N2251" t="s">
        <v>1810</v>
      </c>
      <c r="O2251" t="s">
        <v>82</v>
      </c>
      <c r="P2251" t="str">
        <f>"2170716805                    "</f>
        <v xml:space="preserve">2170716805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8.31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2.2000000000000002</v>
      </c>
      <c r="BJ2251">
        <v>3</v>
      </c>
      <c r="BK2251">
        <v>3</v>
      </c>
      <c r="BL2251" s="4">
        <v>48.86</v>
      </c>
      <c r="BM2251" s="4">
        <v>7.33</v>
      </c>
      <c r="BN2251" s="4">
        <v>56.19</v>
      </c>
      <c r="BO2251" s="4">
        <v>56.19</v>
      </c>
      <c r="BQ2251" t="s">
        <v>121</v>
      </c>
      <c r="BR2251" t="s">
        <v>84</v>
      </c>
      <c r="BS2251" s="3">
        <v>43790</v>
      </c>
      <c r="BT2251" s="5">
        <v>0.3888888888888889</v>
      </c>
      <c r="BU2251" t="s">
        <v>801</v>
      </c>
      <c r="BV2251" t="s">
        <v>86</v>
      </c>
      <c r="BY2251">
        <v>15056.66</v>
      </c>
      <c r="CC2251" t="s">
        <v>203</v>
      </c>
      <c r="CD2251">
        <v>1428</v>
      </c>
      <c r="CE2251" t="s">
        <v>88</v>
      </c>
      <c r="CF2251" s="3">
        <v>43791</v>
      </c>
      <c r="CI2251">
        <v>1</v>
      </c>
      <c r="CJ2251">
        <v>1</v>
      </c>
      <c r="CK2251">
        <v>22</v>
      </c>
      <c r="CL2251" t="s">
        <v>89</v>
      </c>
    </row>
    <row r="2252" spans="1:90">
      <c r="A2252" t="s">
        <v>72</v>
      </c>
      <c r="B2252" t="s">
        <v>73</v>
      </c>
      <c r="C2252" t="s">
        <v>74</v>
      </c>
      <c r="E2252" t="str">
        <f>"FES1162724084"</f>
        <v>FES1162724084</v>
      </c>
      <c r="F2252" s="3">
        <v>43789</v>
      </c>
      <c r="G2252">
        <v>202005</v>
      </c>
      <c r="H2252" t="s">
        <v>75</v>
      </c>
      <c r="I2252" t="s">
        <v>76</v>
      </c>
      <c r="J2252" t="s">
        <v>77</v>
      </c>
      <c r="K2252" t="s">
        <v>78</v>
      </c>
      <c r="L2252" t="s">
        <v>106</v>
      </c>
      <c r="M2252" t="s">
        <v>107</v>
      </c>
      <c r="N2252" t="s">
        <v>108</v>
      </c>
      <c r="O2252" t="s">
        <v>82</v>
      </c>
      <c r="P2252" t="str">
        <f>"2170718052                    "</f>
        <v xml:space="preserve">2170718052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8.58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 s="4">
        <v>50.45</v>
      </c>
      <c r="BM2252" s="4">
        <v>7.57</v>
      </c>
      <c r="BN2252" s="4">
        <v>58.02</v>
      </c>
      <c r="BO2252" s="4">
        <v>58.02</v>
      </c>
      <c r="BQ2252" t="s">
        <v>109</v>
      </c>
      <c r="BR2252" t="s">
        <v>84</v>
      </c>
      <c r="BS2252" s="3">
        <v>43790</v>
      </c>
      <c r="BT2252" s="5">
        <v>0.39513888888888887</v>
      </c>
      <c r="BU2252" t="s">
        <v>2443</v>
      </c>
      <c r="BV2252" t="s">
        <v>86</v>
      </c>
      <c r="BY2252">
        <v>1200</v>
      </c>
      <c r="CA2252" t="s">
        <v>2415</v>
      </c>
      <c r="CC2252" t="s">
        <v>107</v>
      </c>
      <c r="CD2252">
        <v>6001</v>
      </c>
      <c r="CE2252" t="s">
        <v>147</v>
      </c>
      <c r="CF2252" s="3">
        <v>43791</v>
      </c>
      <c r="CI2252">
        <v>1</v>
      </c>
      <c r="CJ2252">
        <v>1</v>
      </c>
      <c r="CK2252">
        <v>21</v>
      </c>
      <c r="CL2252" t="s">
        <v>89</v>
      </c>
    </row>
    <row r="2253" spans="1:90">
      <c r="A2253" t="s">
        <v>72</v>
      </c>
      <c r="B2253" t="s">
        <v>73</v>
      </c>
      <c r="C2253" t="s">
        <v>74</v>
      </c>
      <c r="E2253" t="str">
        <f>"FES1162724085"</f>
        <v>FES1162724085</v>
      </c>
      <c r="F2253" s="3">
        <v>43789</v>
      </c>
      <c r="G2253">
        <v>202005</v>
      </c>
      <c r="H2253" t="s">
        <v>75</v>
      </c>
      <c r="I2253" t="s">
        <v>76</v>
      </c>
      <c r="J2253" t="s">
        <v>77</v>
      </c>
      <c r="K2253" t="s">
        <v>78</v>
      </c>
      <c r="L2253" t="s">
        <v>106</v>
      </c>
      <c r="M2253" t="s">
        <v>107</v>
      </c>
      <c r="N2253" t="s">
        <v>1311</v>
      </c>
      <c r="O2253" t="s">
        <v>82</v>
      </c>
      <c r="P2253" t="str">
        <f>"2170718054                    "</f>
        <v xml:space="preserve">2170718054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8.58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 s="4">
        <v>50.45</v>
      </c>
      <c r="BM2253" s="4">
        <v>7.57</v>
      </c>
      <c r="BN2253" s="4">
        <v>58.02</v>
      </c>
      <c r="BO2253" s="4">
        <v>58.02</v>
      </c>
      <c r="BQ2253" t="s">
        <v>109</v>
      </c>
      <c r="BR2253" t="s">
        <v>84</v>
      </c>
      <c r="BS2253" s="3">
        <v>43790</v>
      </c>
      <c r="BT2253" s="5">
        <v>0.41388888888888892</v>
      </c>
      <c r="BU2253" t="s">
        <v>2518</v>
      </c>
      <c r="BV2253" t="s">
        <v>86</v>
      </c>
      <c r="BY2253">
        <v>1200</v>
      </c>
      <c r="CA2253" t="s">
        <v>773</v>
      </c>
      <c r="CC2253" t="s">
        <v>107</v>
      </c>
      <c r="CD2253">
        <v>6001</v>
      </c>
      <c r="CE2253" t="s">
        <v>147</v>
      </c>
      <c r="CF2253" s="3">
        <v>43791</v>
      </c>
      <c r="CI2253">
        <v>1</v>
      </c>
      <c r="CJ2253">
        <v>1</v>
      </c>
      <c r="CK2253">
        <v>21</v>
      </c>
      <c r="CL2253" t="s">
        <v>89</v>
      </c>
    </row>
    <row r="2254" spans="1:90">
      <c r="A2254" t="s">
        <v>72</v>
      </c>
      <c r="B2254" t="s">
        <v>73</v>
      </c>
      <c r="C2254" t="s">
        <v>74</v>
      </c>
      <c r="E2254" t="str">
        <f>"FES1162724098"</f>
        <v>FES1162724098</v>
      </c>
      <c r="F2254" s="3">
        <v>43789</v>
      </c>
      <c r="G2254">
        <v>202005</v>
      </c>
      <c r="H2254" t="s">
        <v>75</v>
      </c>
      <c r="I2254" t="s">
        <v>76</v>
      </c>
      <c r="J2254" t="s">
        <v>77</v>
      </c>
      <c r="K2254" t="s">
        <v>78</v>
      </c>
      <c r="L2254" t="s">
        <v>79</v>
      </c>
      <c r="M2254" t="s">
        <v>80</v>
      </c>
      <c r="N2254" t="s">
        <v>458</v>
      </c>
      <c r="O2254" t="s">
        <v>82</v>
      </c>
      <c r="P2254" t="str">
        <f>"2170718040                    "</f>
        <v xml:space="preserve">2170718040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8.58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 s="4">
        <v>50.45</v>
      </c>
      <c r="BM2254" s="4">
        <v>7.57</v>
      </c>
      <c r="BN2254" s="4">
        <v>58.02</v>
      </c>
      <c r="BO2254" s="4">
        <v>58.02</v>
      </c>
      <c r="BQ2254" t="s">
        <v>109</v>
      </c>
      <c r="BR2254" t="s">
        <v>84</v>
      </c>
      <c r="BS2254" s="3">
        <v>43790</v>
      </c>
      <c r="BT2254" s="5">
        <v>0.32291666666666669</v>
      </c>
      <c r="BU2254" t="s">
        <v>2519</v>
      </c>
      <c r="BV2254" t="s">
        <v>86</v>
      </c>
      <c r="BY2254">
        <v>1200</v>
      </c>
      <c r="CA2254" t="s">
        <v>854</v>
      </c>
      <c r="CC2254" t="s">
        <v>80</v>
      </c>
      <c r="CD2254">
        <v>6230</v>
      </c>
      <c r="CE2254" t="s">
        <v>147</v>
      </c>
      <c r="CF2254" s="3">
        <v>43791</v>
      </c>
      <c r="CI2254">
        <v>1</v>
      </c>
      <c r="CJ2254">
        <v>1</v>
      </c>
      <c r="CK2254">
        <v>21</v>
      </c>
      <c r="CL2254" t="s">
        <v>89</v>
      </c>
    </row>
    <row r="2255" spans="1:90">
      <c r="A2255" t="s">
        <v>72</v>
      </c>
      <c r="B2255" t="s">
        <v>73</v>
      </c>
      <c r="C2255" t="s">
        <v>74</v>
      </c>
      <c r="E2255" t="str">
        <f>"FES1162723998"</f>
        <v>FES1162723998</v>
      </c>
      <c r="F2255" s="3">
        <v>43789</v>
      </c>
      <c r="G2255">
        <v>202005</v>
      </c>
      <c r="H2255" t="s">
        <v>75</v>
      </c>
      <c r="I2255" t="s">
        <v>76</v>
      </c>
      <c r="J2255" t="s">
        <v>77</v>
      </c>
      <c r="K2255" t="s">
        <v>78</v>
      </c>
      <c r="L2255" t="s">
        <v>90</v>
      </c>
      <c r="M2255" t="s">
        <v>91</v>
      </c>
      <c r="N2255" t="s">
        <v>1453</v>
      </c>
      <c r="O2255" t="s">
        <v>82</v>
      </c>
      <c r="P2255" t="str">
        <f>"2170714302                    "</f>
        <v xml:space="preserve">2170714302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75.06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13.4</v>
      </c>
      <c r="BJ2255">
        <v>17.2</v>
      </c>
      <c r="BK2255">
        <v>17.5</v>
      </c>
      <c r="BL2255" s="4">
        <v>441.19</v>
      </c>
      <c r="BM2255" s="4">
        <v>66.180000000000007</v>
      </c>
      <c r="BN2255" s="4">
        <v>507.37</v>
      </c>
      <c r="BO2255" s="4">
        <v>507.37</v>
      </c>
      <c r="BQ2255" t="s">
        <v>121</v>
      </c>
      <c r="BR2255" t="s">
        <v>84</v>
      </c>
      <c r="BS2255" s="3">
        <v>43790</v>
      </c>
      <c r="BT2255" s="5">
        <v>0.42430555555555555</v>
      </c>
      <c r="BU2255" t="s">
        <v>2516</v>
      </c>
      <c r="BV2255" t="s">
        <v>86</v>
      </c>
      <c r="BY2255">
        <v>85887.83</v>
      </c>
      <c r="CA2255" t="s">
        <v>1196</v>
      </c>
      <c r="CC2255" t="s">
        <v>91</v>
      </c>
      <c r="CD2255">
        <v>7580</v>
      </c>
      <c r="CE2255" t="s">
        <v>88</v>
      </c>
      <c r="CF2255" s="3">
        <v>43791</v>
      </c>
      <c r="CI2255">
        <v>1</v>
      </c>
      <c r="CJ2255">
        <v>1</v>
      </c>
      <c r="CK2255">
        <v>21</v>
      </c>
      <c r="CL2255" t="s">
        <v>89</v>
      </c>
    </row>
    <row r="2256" spans="1:90">
      <c r="A2256" t="s">
        <v>72</v>
      </c>
      <c r="B2256" t="s">
        <v>73</v>
      </c>
      <c r="C2256" t="s">
        <v>74</v>
      </c>
      <c r="E2256" t="str">
        <f>"FES1162724090"</f>
        <v>FES1162724090</v>
      </c>
      <c r="F2256" s="3">
        <v>43789</v>
      </c>
      <c r="G2256">
        <v>202005</v>
      </c>
      <c r="H2256" t="s">
        <v>75</v>
      </c>
      <c r="I2256" t="s">
        <v>76</v>
      </c>
      <c r="J2256" t="s">
        <v>77</v>
      </c>
      <c r="K2256" t="s">
        <v>78</v>
      </c>
      <c r="L2256" t="s">
        <v>79</v>
      </c>
      <c r="M2256" t="s">
        <v>80</v>
      </c>
      <c r="N2256" t="s">
        <v>2520</v>
      </c>
      <c r="O2256" t="s">
        <v>82</v>
      </c>
      <c r="P2256" t="str">
        <f>"2170718059                    "</f>
        <v xml:space="preserve">2170718059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15.02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3.3</v>
      </c>
      <c r="BJ2256">
        <v>1</v>
      </c>
      <c r="BK2256">
        <v>3.5</v>
      </c>
      <c r="BL2256" s="4">
        <v>88.27</v>
      </c>
      <c r="BM2256" s="4">
        <v>13.24</v>
      </c>
      <c r="BN2256" s="4">
        <v>101.51</v>
      </c>
      <c r="BO2256" s="4">
        <v>101.51</v>
      </c>
      <c r="BQ2256" t="s">
        <v>121</v>
      </c>
      <c r="BR2256" t="s">
        <v>84</v>
      </c>
      <c r="BS2256" s="3">
        <v>43790</v>
      </c>
      <c r="BT2256" s="5">
        <v>0.34722222222222227</v>
      </c>
      <c r="BU2256" t="s">
        <v>2521</v>
      </c>
      <c r="BV2256" t="s">
        <v>86</v>
      </c>
      <c r="BY2256">
        <v>4766.58</v>
      </c>
      <c r="CA2256" t="s">
        <v>854</v>
      </c>
      <c r="CC2256" t="s">
        <v>80</v>
      </c>
      <c r="CD2256">
        <v>6229</v>
      </c>
      <c r="CE2256" t="s">
        <v>88</v>
      </c>
      <c r="CF2256" s="3">
        <v>43791</v>
      </c>
      <c r="CI2256">
        <v>1</v>
      </c>
      <c r="CJ2256">
        <v>1</v>
      </c>
      <c r="CK2256">
        <v>21</v>
      </c>
      <c r="CL2256" t="s">
        <v>89</v>
      </c>
    </row>
    <row r="2257" spans="1:90">
      <c r="A2257" t="s">
        <v>72</v>
      </c>
      <c r="B2257" t="s">
        <v>73</v>
      </c>
      <c r="C2257" t="s">
        <v>74</v>
      </c>
      <c r="E2257" t="str">
        <f>"FES1162724095"</f>
        <v>FES1162724095</v>
      </c>
      <c r="F2257" s="3">
        <v>43789</v>
      </c>
      <c r="G2257">
        <v>202005</v>
      </c>
      <c r="H2257" t="s">
        <v>75</v>
      </c>
      <c r="I2257" t="s">
        <v>76</v>
      </c>
      <c r="J2257" t="s">
        <v>77</v>
      </c>
      <c r="K2257" t="s">
        <v>78</v>
      </c>
      <c r="L2257" t="s">
        <v>133</v>
      </c>
      <c r="M2257" t="s">
        <v>134</v>
      </c>
      <c r="N2257" t="s">
        <v>2522</v>
      </c>
      <c r="O2257" t="s">
        <v>82</v>
      </c>
      <c r="P2257" t="str">
        <f>"2170718064                    "</f>
        <v xml:space="preserve">2170718064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8.58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 s="4">
        <v>50.45</v>
      </c>
      <c r="BM2257" s="4">
        <v>7.57</v>
      </c>
      <c r="BN2257" s="4">
        <v>58.02</v>
      </c>
      <c r="BO2257" s="4">
        <v>58.02</v>
      </c>
      <c r="BQ2257" t="s">
        <v>142</v>
      </c>
      <c r="BR2257" t="s">
        <v>84</v>
      </c>
      <c r="BS2257" s="3">
        <v>43790</v>
      </c>
      <c r="BT2257" s="5">
        <v>0.41666666666666669</v>
      </c>
      <c r="BU2257" t="s">
        <v>2523</v>
      </c>
      <c r="BV2257" t="s">
        <v>86</v>
      </c>
      <c r="BY2257">
        <v>1200</v>
      </c>
      <c r="CA2257" t="s">
        <v>1910</v>
      </c>
      <c r="CC2257" t="s">
        <v>134</v>
      </c>
      <c r="CD2257">
        <v>5218</v>
      </c>
      <c r="CE2257" t="s">
        <v>147</v>
      </c>
      <c r="CF2257" s="3">
        <v>43791</v>
      </c>
      <c r="CI2257">
        <v>1</v>
      </c>
      <c r="CJ2257">
        <v>1</v>
      </c>
      <c r="CK2257">
        <v>21</v>
      </c>
      <c r="CL2257" t="s">
        <v>89</v>
      </c>
    </row>
    <row r="2258" spans="1:90">
      <c r="A2258" t="s">
        <v>72</v>
      </c>
      <c r="B2258" t="s">
        <v>73</v>
      </c>
      <c r="C2258" t="s">
        <v>74</v>
      </c>
      <c r="E2258" t="str">
        <f>"FES1162724130"</f>
        <v>FES1162724130</v>
      </c>
      <c r="F2258" s="3">
        <v>43789</v>
      </c>
      <c r="G2258">
        <v>202005</v>
      </c>
      <c r="H2258" t="s">
        <v>75</v>
      </c>
      <c r="I2258" t="s">
        <v>76</v>
      </c>
      <c r="J2258" t="s">
        <v>77</v>
      </c>
      <c r="K2258" t="s">
        <v>78</v>
      </c>
      <c r="L2258" t="s">
        <v>75</v>
      </c>
      <c r="M2258" t="s">
        <v>76</v>
      </c>
      <c r="N2258" t="s">
        <v>360</v>
      </c>
      <c r="O2258" t="s">
        <v>82</v>
      </c>
      <c r="P2258" t="str">
        <f>"2170718094                    "</f>
        <v xml:space="preserve">2170718094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6.71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 s="4">
        <v>39.42</v>
      </c>
      <c r="BM2258" s="4">
        <v>5.91</v>
      </c>
      <c r="BN2258" s="4">
        <v>45.33</v>
      </c>
      <c r="BO2258" s="4">
        <v>45.33</v>
      </c>
      <c r="BQ2258" t="s">
        <v>109</v>
      </c>
      <c r="BR2258" t="s">
        <v>84</v>
      </c>
      <c r="BS2258" s="3">
        <v>43790</v>
      </c>
      <c r="BT2258" s="5">
        <v>0.33333333333333331</v>
      </c>
      <c r="BU2258" t="s">
        <v>1075</v>
      </c>
      <c r="BV2258" t="s">
        <v>86</v>
      </c>
      <c r="BY2258">
        <v>1200</v>
      </c>
      <c r="CA2258" t="s">
        <v>797</v>
      </c>
      <c r="CC2258" t="s">
        <v>76</v>
      </c>
      <c r="CD2258">
        <v>1645</v>
      </c>
      <c r="CE2258" t="s">
        <v>147</v>
      </c>
      <c r="CF2258" s="3">
        <v>43791</v>
      </c>
      <c r="CI2258">
        <v>1</v>
      </c>
      <c r="CJ2258">
        <v>1</v>
      </c>
      <c r="CK2258">
        <v>22</v>
      </c>
      <c r="CL2258" t="s">
        <v>89</v>
      </c>
    </row>
    <row r="2259" spans="1:90">
      <c r="A2259" t="s">
        <v>72</v>
      </c>
      <c r="B2259" t="s">
        <v>73</v>
      </c>
      <c r="C2259" t="s">
        <v>74</v>
      </c>
      <c r="E2259" t="str">
        <f>"FES1162724092"</f>
        <v>FES1162724092</v>
      </c>
      <c r="F2259" s="3">
        <v>43789</v>
      </c>
      <c r="G2259">
        <v>202005</v>
      </c>
      <c r="H2259" t="s">
        <v>75</v>
      </c>
      <c r="I2259" t="s">
        <v>76</v>
      </c>
      <c r="J2259" t="s">
        <v>77</v>
      </c>
      <c r="K2259" t="s">
        <v>78</v>
      </c>
      <c r="L2259" t="s">
        <v>79</v>
      </c>
      <c r="M2259" t="s">
        <v>80</v>
      </c>
      <c r="N2259" t="s">
        <v>458</v>
      </c>
      <c r="O2259" t="s">
        <v>82</v>
      </c>
      <c r="P2259" t="str">
        <f>"2170716384                    "</f>
        <v xml:space="preserve">2170716384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25.74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3.1</v>
      </c>
      <c r="BJ2259">
        <v>6</v>
      </c>
      <c r="BK2259">
        <v>6</v>
      </c>
      <c r="BL2259" s="4">
        <v>151.29</v>
      </c>
      <c r="BM2259" s="4">
        <v>22.69</v>
      </c>
      <c r="BN2259" s="4">
        <v>173.98</v>
      </c>
      <c r="BO2259" s="4">
        <v>173.98</v>
      </c>
      <c r="BQ2259" t="s">
        <v>109</v>
      </c>
      <c r="BR2259" t="s">
        <v>84</v>
      </c>
      <c r="BS2259" s="3">
        <v>43790</v>
      </c>
      <c r="BT2259" s="5">
        <v>0.32291666666666669</v>
      </c>
      <c r="BU2259" t="s">
        <v>2519</v>
      </c>
      <c r="BV2259" t="s">
        <v>86</v>
      </c>
      <c r="BY2259">
        <v>29923.14</v>
      </c>
      <c r="CA2259" t="s">
        <v>854</v>
      </c>
      <c r="CC2259" t="s">
        <v>80</v>
      </c>
      <c r="CD2259">
        <v>6230</v>
      </c>
      <c r="CE2259" t="s">
        <v>88</v>
      </c>
      <c r="CF2259" s="3">
        <v>43791</v>
      </c>
      <c r="CI2259">
        <v>1</v>
      </c>
      <c r="CJ2259">
        <v>1</v>
      </c>
      <c r="CK2259">
        <v>21</v>
      </c>
      <c r="CL2259" t="s">
        <v>89</v>
      </c>
    </row>
    <row r="2260" spans="1:90">
      <c r="A2260" t="s">
        <v>72</v>
      </c>
      <c r="B2260" t="s">
        <v>73</v>
      </c>
      <c r="C2260" t="s">
        <v>74</v>
      </c>
      <c r="E2260" t="str">
        <f>"FES1162724124"</f>
        <v>FES1162724124</v>
      </c>
      <c r="F2260" s="3">
        <v>43789</v>
      </c>
      <c r="G2260">
        <v>202005</v>
      </c>
      <c r="H2260" t="s">
        <v>75</v>
      </c>
      <c r="I2260" t="s">
        <v>76</v>
      </c>
      <c r="J2260" t="s">
        <v>77</v>
      </c>
      <c r="K2260" t="s">
        <v>78</v>
      </c>
      <c r="L2260" t="s">
        <v>124</v>
      </c>
      <c r="M2260" t="s">
        <v>125</v>
      </c>
      <c r="N2260" t="s">
        <v>748</v>
      </c>
      <c r="O2260" t="s">
        <v>82</v>
      </c>
      <c r="P2260" t="str">
        <f>"2170718088                    "</f>
        <v xml:space="preserve">2170718088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6.71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 s="4">
        <v>39.42</v>
      </c>
      <c r="BM2260" s="4">
        <v>5.91</v>
      </c>
      <c r="BN2260" s="4">
        <v>45.33</v>
      </c>
      <c r="BO2260" s="4">
        <v>45.33</v>
      </c>
      <c r="BQ2260" t="s">
        <v>121</v>
      </c>
      <c r="BR2260" t="s">
        <v>84</v>
      </c>
      <c r="BS2260" s="3">
        <v>43790</v>
      </c>
      <c r="BT2260" s="5">
        <v>0.41805555555555557</v>
      </c>
      <c r="BU2260" t="s">
        <v>2453</v>
      </c>
      <c r="BV2260" t="s">
        <v>86</v>
      </c>
      <c r="BY2260">
        <v>1200</v>
      </c>
      <c r="CC2260" t="s">
        <v>125</v>
      </c>
      <c r="CD2260">
        <v>2094</v>
      </c>
      <c r="CE2260" t="s">
        <v>147</v>
      </c>
      <c r="CF2260" s="3">
        <v>43791</v>
      </c>
      <c r="CI2260">
        <v>1</v>
      </c>
      <c r="CJ2260">
        <v>1</v>
      </c>
      <c r="CK2260">
        <v>22</v>
      </c>
      <c r="CL2260" t="s">
        <v>89</v>
      </c>
    </row>
    <row r="2261" spans="1:90">
      <c r="A2261" t="s">
        <v>72</v>
      </c>
      <c r="B2261" t="s">
        <v>73</v>
      </c>
      <c r="C2261" t="s">
        <v>74</v>
      </c>
      <c r="E2261" t="str">
        <f>"FES1162723947"</f>
        <v>FES1162723947</v>
      </c>
      <c r="F2261" s="3">
        <v>43789</v>
      </c>
      <c r="G2261">
        <v>202005</v>
      </c>
      <c r="H2261" t="s">
        <v>75</v>
      </c>
      <c r="I2261" t="s">
        <v>76</v>
      </c>
      <c r="J2261" t="s">
        <v>77</v>
      </c>
      <c r="K2261" t="s">
        <v>78</v>
      </c>
      <c r="L2261" t="s">
        <v>214</v>
      </c>
      <c r="M2261" t="s">
        <v>214</v>
      </c>
      <c r="N2261" t="s">
        <v>314</v>
      </c>
      <c r="O2261" t="s">
        <v>82</v>
      </c>
      <c r="P2261" t="str">
        <f>"21707177962                   "</f>
        <v xml:space="preserve">21707177962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16.63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 s="4">
        <v>97.75</v>
      </c>
      <c r="BM2261" s="4">
        <v>14.66</v>
      </c>
      <c r="BN2261" s="4">
        <v>112.41</v>
      </c>
      <c r="BO2261" s="4">
        <v>112.41</v>
      </c>
      <c r="BQ2261" t="s">
        <v>109</v>
      </c>
      <c r="BR2261" t="s">
        <v>84</v>
      </c>
      <c r="BS2261" s="3">
        <v>43790</v>
      </c>
      <c r="BT2261" s="5">
        <v>0.42291666666666666</v>
      </c>
      <c r="BU2261" t="s">
        <v>315</v>
      </c>
      <c r="BV2261" t="s">
        <v>86</v>
      </c>
      <c r="BY2261">
        <v>1200</v>
      </c>
      <c r="CA2261" t="s">
        <v>217</v>
      </c>
      <c r="CC2261" t="s">
        <v>214</v>
      </c>
      <c r="CD2261">
        <v>7646</v>
      </c>
      <c r="CE2261" t="s">
        <v>147</v>
      </c>
      <c r="CF2261" s="3">
        <v>43791</v>
      </c>
      <c r="CI2261">
        <v>1</v>
      </c>
      <c r="CJ2261">
        <v>1</v>
      </c>
      <c r="CK2261">
        <v>23</v>
      </c>
      <c r="CL2261" t="s">
        <v>89</v>
      </c>
    </row>
    <row r="2262" spans="1:90">
      <c r="A2262" t="s">
        <v>72</v>
      </c>
      <c r="B2262" t="s">
        <v>73</v>
      </c>
      <c r="C2262" t="s">
        <v>74</v>
      </c>
      <c r="E2262" t="str">
        <f>"FES1162724088"</f>
        <v>FES1162724088</v>
      </c>
      <c r="F2262" s="3">
        <v>43789</v>
      </c>
      <c r="G2262">
        <v>202005</v>
      </c>
      <c r="H2262" t="s">
        <v>75</v>
      </c>
      <c r="I2262" t="s">
        <v>76</v>
      </c>
      <c r="J2262" t="s">
        <v>77</v>
      </c>
      <c r="K2262" t="s">
        <v>78</v>
      </c>
      <c r="L2262" t="s">
        <v>214</v>
      </c>
      <c r="M2262" t="s">
        <v>214</v>
      </c>
      <c r="N2262" t="s">
        <v>215</v>
      </c>
      <c r="O2262" t="s">
        <v>82</v>
      </c>
      <c r="P2262" t="str">
        <f>"2170718056                    "</f>
        <v xml:space="preserve">2170718056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16.63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 s="4">
        <v>97.75</v>
      </c>
      <c r="BM2262" s="4">
        <v>14.66</v>
      </c>
      <c r="BN2262" s="4">
        <v>112.41</v>
      </c>
      <c r="BO2262" s="4">
        <v>112.41</v>
      </c>
      <c r="BQ2262" t="s">
        <v>109</v>
      </c>
      <c r="BR2262" t="s">
        <v>84</v>
      </c>
      <c r="BS2262" s="3">
        <v>43790</v>
      </c>
      <c r="BT2262" s="5">
        <v>0.4145833333333333</v>
      </c>
      <c r="BU2262" t="s">
        <v>216</v>
      </c>
      <c r="BV2262" t="s">
        <v>86</v>
      </c>
      <c r="BY2262">
        <v>1200</v>
      </c>
      <c r="CA2262" t="s">
        <v>217</v>
      </c>
      <c r="CC2262" t="s">
        <v>214</v>
      </c>
      <c r="CD2262">
        <v>7646</v>
      </c>
      <c r="CE2262" t="s">
        <v>147</v>
      </c>
      <c r="CF2262" s="3">
        <v>43791</v>
      </c>
      <c r="CI2262">
        <v>1</v>
      </c>
      <c r="CJ2262">
        <v>1</v>
      </c>
      <c r="CK2262">
        <v>23</v>
      </c>
      <c r="CL2262" t="s">
        <v>89</v>
      </c>
    </row>
    <row r="2263" spans="1:90">
      <c r="A2263" t="s">
        <v>72</v>
      </c>
      <c r="B2263" t="s">
        <v>73</v>
      </c>
      <c r="C2263" t="s">
        <v>74</v>
      </c>
      <c r="E2263" t="str">
        <f>"FES1162724091"</f>
        <v>FES1162724091</v>
      </c>
      <c r="F2263" s="3">
        <v>43789</v>
      </c>
      <c r="G2263">
        <v>202005</v>
      </c>
      <c r="H2263" t="s">
        <v>75</v>
      </c>
      <c r="I2263" t="s">
        <v>76</v>
      </c>
      <c r="J2263" t="s">
        <v>77</v>
      </c>
      <c r="K2263" t="s">
        <v>78</v>
      </c>
      <c r="L2263" t="s">
        <v>349</v>
      </c>
      <c r="M2263" t="s">
        <v>350</v>
      </c>
      <c r="N2263" t="s">
        <v>351</v>
      </c>
      <c r="O2263" t="s">
        <v>82</v>
      </c>
      <c r="P2263" t="str">
        <f>"2170718063                    "</f>
        <v xml:space="preserve">2170718063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8.58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 s="4">
        <v>50.45</v>
      </c>
      <c r="BM2263" s="4">
        <v>7.57</v>
      </c>
      <c r="BN2263" s="4">
        <v>58.02</v>
      </c>
      <c r="BO2263" s="4">
        <v>58.02</v>
      </c>
      <c r="BQ2263" t="s">
        <v>109</v>
      </c>
      <c r="BR2263" t="s">
        <v>84</v>
      </c>
      <c r="BS2263" s="3">
        <v>43790</v>
      </c>
      <c r="BT2263" s="5">
        <v>0.40625</v>
      </c>
      <c r="BU2263" t="s">
        <v>543</v>
      </c>
      <c r="BV2263" t="s">
        <v>86</v>
      </c>
      <c r="BY2263">
        <v>1200</v>
      </c>
      <c r="CC2263" t="s">
        <v>350</v>
      </c>
      <c r="CD2263">
        <v>6536</v>
      </c>
      <c r="CE2263" t="s">
        <v>147</v>
      </c>
      <c r="CF2263" s="3">
        <v>43794</v>
      </c>
      <c r="CI2263">
        <v>1</v>
      </c>
      <c r="CJ2263">
        <v>1</v>
      </c>
      <c r="CK2263">
        <v>21</v>
      </c>
      <c r="CL2263" t="s">
        <v>89</v>
      </c>
    </row>
    <row r="2264" spans="1:90">
      <c r="A2264" t="s">
        <v>72</v>
      </c>
      <c r="B2264" t="s">
        <v>73</v>
      </c>
      <c r="C2264" t="s">
        <v>74</v>
      </c>
      <c r="E2264" t="str">
        <f>"FES1162724099"</f>
        <v>FES1162724099</v>
      </c>
      <c r="F2264" s="3">
        <v>43789</v>
      </c>
      <c r="G2264">
        <v>202005</v>
      </c>
      <c r="H2264" t="s">
        <v>75</v>
      </c>
      <c r="I2264" t="s">
        <v>76</v>
      </c>
      <c r="J2264" t="s">
        <v>77</v>
      </c>
      <c r="K2264" t="s">
        <v>78</v>
      </c>
      <c r="L2264" t="s">
        <v>701</v>
      </c>
      <c r="M2264" t="s">
        <v>702</v>
      </c>
      <c r="N2264" t="s">
        <v>2524</v>
      </c>
      <c r="O2264" t="s">
        <v>82</v>
      </c>
      <c r="P2264" t="str">
        <f>"2170718060                    "</f>
        <v xml:space="preserve">2170718060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12.07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 s="4">
        <v>70.95</v>
      </c>
      <c r="BM2264" s="4">
        <v>10.64</v>
      </c>
      <c r="BN2264" s="4">
        <v>81.59</v>
      </c>
      <c r="BO2264" s="4">
        <v>81.59</v>
      </c>
      <c r="BQ2264" t="s">
        <v>2525</v>
      </c>
      <c r="BR2264" t="s">
        <v>84</v>
      </c>
      <c r="BS2264" s="3">
        <v>43791</v>
      </c>
      <c r="BT2264" s="5">
        <v>0.42708333333333331</v>
      </c>
      <c r="BU2264" t="s">
        <v>2319</v>
      </c>
      <c r="BV2264" t="s">
        <v>89</v>
      </c>
      <c r="BW2264" t="s">
        <v>319</v>
      </c>
      <c r="BX2264" t="s">
        <v>2385</v>
      </c>
      <c r="BY2264">
        <v>1200</v>
      </c>
      <c r="CA2264" t="s">
        <v>873</v>
      </c>
      <c r="CC2264" t="s">
        <v>702</v>
      </c>
      <c r="CD2264">
        <v>299</v>
      </c>
      <c r="CE2264" t="s">
        <v>147</v>
      </c>
      <c r="CF2264" s="3">
        <v>43795</v>
      </c>
      <c r="CI2264">
        <v>1</v>
      </c>
      <c r="CJ2264">
        <v>2</v>
      </c>
      <c r="CK2264">
        <v>24</v>
      </c>
      <c r="CL2264" t="s">
        <v>89</v>
      </c>
    </row>
    <row r="2265" spans="1:90">
      <c r="A2265" t="s">
        <v>72</v>
      </c>
      <c r="B2265" t="s">
        <v>73</v>
      </c>
      <c r="C2265" t="s">
        <v>74</v>
      </c>
      <c r="E2265" t="str">
        <f>"FES1162724100"</f>
        <v>FES1162724100</v>
      </c>
      <c r="F2265" s="3">
        <v>43789</v>
      </c>
      <c r="G2265">
        <v>202005</v>
      </c>
      <c r="H2265" t="s">
        <v>75</v>
      </c>
      <c r="I2265" t="s">
        <v>76</v>
      </c>
      <c r="J2265" t="s">
        <v>77</v>
      </c>
      <c r="K2265" t="s">
        <v>78</v>
      </c>
      <c r="L2265" t="s">
        <v>917</v>
      </c>
      <c r="M2265" t="s">
        <v>918</v>
      </c>
      <c r="N2265" t="s">
        <v>919</v>
      </c>
      <c r="O2265" t="s">
        <v>82</v>
      </c>
      <c r="P2265" t="str">
        <f>"2170718062                    "</f>
        <v xml:space="preserve">2170718062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12.07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 s="4">
        <v>70.95</v>
      </c>
      <c r="BM2265" s="4">
        <v>10.64</v>
      </c>
      <c r="BN2265" s="4">
        <v>81.59</v>
      </c>
      <c r="BO2265" s="4">
        <v>81.59</v>
      </c>
      <c r="BQ2265" t="s">
        <v>109</v>
      </c>
      <c r="BR2265" t="s">
        <v>84</v>
      </c>
      <c r="BS2265" s="3">
        <v>43790</v>
      </c>
      <c r="BT2265" s="5">
        <v>0.41666666666666669</v>
      </c>
      <c r="BU2265" t="s">
        <v>982</v>
      </c>
      <c r="BV2265" t="s">
        <v>86</v>
      </c>
      <c r="BY2265">
        <v>1200</v>
      </c>
      <c r="CC2265" t="s">
        <v>918</v>
      </c>
      <c r="CD2265">
        <v>2210</v>
      </c>
      <c r="CE2265" t="s">
        <v>147</v>
      </c>
      <c r="CF2265" s="3">
        <v>43791</v>
      </c>
      <c r="CI2265">
        <v>1</v>
      </c>
      <c r="CJ2265">
        <v>1</v>
      </c>
      <c r="CK2265">
        <v>24</v>
      </c>
      <c r="CL2265" t="s">
        <v>89</v>
      </c>
    </row>
    <row r="2266" spans="1:90">
      <c r="A2266" t="s">
        <v>72</v>
      </c>
      <c r="B2266" t="s">
        <v>73</v>
      </c>
      <c r="C2266" t="s">
        <v>74</v>
      </c>
      <c r="E2266" t="str">
        <f>"FES1162724116"</f>
        <v>FES1162724116</v>
      </c>
      <c r="F2266" s="3">
        <v>43789</v>
      </c>
      <c r="G2266">
        <v>202005</v>
      </c>
      <c r="H2266" t="s">
        <v>75</v>
      </c>
      <c r="I2266" t="s">
        <v>76</v>
      </c>
      <c r="J2266" t="s">
        <v>77</v>
      </c>
      <c r="K2266" t="s">
        <v>78</v>
      </c>
      <c r="L2266" t="s">
        <v>214</v>
      </c>
      <c r="M2266" t="s">
        <v>214</v>
      </c>
      <c r="N2266" t="s">
        <v>592</v>
      </c>
      <c r="O2266" t="s">
        <v>82</v>
      </c>
      <c r="P2266" t="str">
        <f>"2170718079                    "</f>
        <v xml:space="preserve">2170718079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16.63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 s="4">
        <v>97.75</v>
      </c>
      <c r="BM2266" s="4">
        <v>14.66</v>
      </c>
      <c r="BN2266" s="4">
        <v>112.41</v>
      </c>
      <c r="BO2266" s="4">
        <v>112.41</v>
      </c>
      <c r="BR2266" t="s">
        <v>84</v>
      </c>
      <c r="BS2266" s="3">
        <v>43790</v>
      </c>
      <c r="BT2266" s="5">
        <v>0.44305555555555554</v>
      </c>
      <c r="BU2266" t="s">
        <v>1230</v>
      </c>
      <c r="BV2266" t="s">
        <v>86</v>
      </c>
      <c r="BY2266">
        <v>1200</v>
      </c>
      <c r="CA2266" t="s">
        <v>217</v>
      </c>
      <c r="CC2266" t="s">
        <v>214</v>
      </c>
      <c r="CD2266">
        <v>7646</v>
      </c>
      <c r="CE2266" t="s">
        <v>147</v>
      </c>
      <c r="CF2266" s="3">
        <v>43791</v>
      </c>
      <c r="CI2266">
        <v>1</v>
      </c>
      <c r="CJ2266">
        <v>1</v>
      </c>
      <c r="CK2266">
        <v>23</v>
      </c>
      <c r="CL2266" t="s">
        <v>89</v>
      </c>
    </row>
    <row r="2267" spans="1:90">
      <c r="A2267" t="s">
        <v>72</v>
      </c>
      <c r="B2267" t="s">
        <v>73</v>
      </c>
      <c r="C2267" t="s">
        <v>74</v>
      </c>
      <c r="E2267" t="str">
        <f>"FES1162724037"</f>
        <v>FES1162724037</v>
      </c>
      <c r="F2267" s="3">
        <v>43789</v>
      </c>
      <c r="G2267">
        <v>202005</v>
      </c>
      <c r="H2267" t="s">
        <v>75</v>
      </c>
      <c r="I2267" t="s">
        <v>76</v>
      </c>
      <c r="J2267" t="s">
        <v>77</v>
      </c>
      <c r="K2267" t="s">
        <v>78</v>
      </c>
      <c r="L2267" t="s">
        <v>106</v>
      </c>
      <c r="M2267" t="s">
        <v>107</v>
      </c>
      <c r="N2267" t="s">
        <v>489</v>
      </c>
      <c r="O2267" t="s">
        <v>82</v>
      </c>
      <c r="P2267" t="str">
        <f>"2170715164                    "</f>
        <v xml:space="preserve">2170715164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21.45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2</v>
      </c>
      <c r="BI2267">
        <v>4.9000000000000004</v>
      </c>
      <c r="BJ2267">
        <v>2.2000000000000002</v>
      </c>
      <c r="BK2267">
        <v>5</v>
      </c>
      <c r="BL2267" s="4">
        <v>126.08</v>
      </c>
      <c r="BM2267" s="4">
        <v>18.91</v>
      </c>
      <c r="BN2267" s="4">
        <v>144.99</v>
      </c>
      <c r="BO2267" s="4">
        <v>144.99</v>
      </c>
      <c r="BQ2267" t="s">
        <v>121</v>
      </c>
      <c r="BR2267" t="s">
        <v>84</v>
      </c>
      <c r="BS2267" s="3">
        <v>43790</v>
      </c>
      <c r="BT2267" s="5">
        <v>0.4236111111111111</v>
      </c>
      <c r="BU2267" t="s">
        <v>2506</v>
      </c>
      <c r="BV2267" t="s">
        <v>86</v>
      </c>
      <c r="BY2267">
        <v>11202.96</v>
      </c>
      <c r="CA2267" t="s">
        <v>773</v>
      </c>
      <c r="CC2267" t="s">
        <v>107</v>
      </c>
      <c r="CD2267">
        <v>6001</v>
      </c>
      <c r="CE2267" t="s">
        <v>1892</v>
      </c>
      <c r="CF2267" s="3">
        <v>43791</v>
      </c>
      <c r="CI2267">
        <v>1</v>
      </c>
      <c r="CJ2267">
        <v>1</v>
      </c>
      <c r="CK2267">
        <v>21</v>
      </c>
      <c r="CL2267" t="s">
        <v>89</v>
      </c>
    </row>
    <row r="2268" spans="1:90">
      <c r="A2268" t="s">
        <v>72</v>
      </c>
      <c r="B2268" t="s">
        <v>73</v>
      </c>
      <c r="C2268" t="s">
        <v>74</v>
      </c>
      <c r="E2268" t="str">
        <f>"FES1162724054"</f>
        <v>FES1162724054</v>
      </c>
      <c r="F2268" s="3">
        <v>43789</v>
      </c>
      <c r="G2268">
        <v>202005</v>
      </c>
      <c r="H2268" t="s">
        <v>75</v>
      </c>
      <c r="I2268" t="s">
        <v>76</v>
      </c>
      <c r="J2268" t="s">
        <v>77</v>
      </c>
      <c r="K2268" t="s">
        <v>78</v>
      </c>
      <c r="L2268" t="s">
        <v>133</v>
      </c>
      <c r="M2268" t="s">
        <v>134</v>
      </c>
      <c r="N2268" t="s">
        <v>135</v>
      </c>
      <c r="O2268" t="s">
        <v>82</v>
      </c>
      <c r="P2268" t="str">
        <f>"2170718021                    "</f>
        <v xml:space="preserve">2170718021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19.3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2</v>
      </c>
      <c r="BI2268">
        <v>4.3</v>
      </c>
      <c r="BJ2268">
        <v>2.4</v>
      </c>
      <c r="BK2268">
        <v>4.5</v>
      </c>
      <c r="BL2268" s="4">
        <v>113.47</v>
      </c>
      <c r="BM2268" s="4">
        <v>17.02</v>
      </c>
      <c r="BN2268" s="4">
        <v>130.49</v>
      </c>
      <c r="BO2268" s="4">
        <v>130.49</v>
      </c>
      <c r="BQ2268" t="s">
        <v>109</v>
      </c>
      <c r="BR2268" t="s">
        <v>84</v>
      </c>
      <c r="BS2268" s="3">
        <v>43790</v>
      </c>
      <c r="BT2268" s="5">
        <v>0.38194444444444442</v>
      </c>
      <c r="BU2268" t="s">
        <v>2168</v>
      </c>
      <c r="BV2268" t="s">
        <v>86</v>
      </c>
      <c r="BY2268">
        <v>11890.3</v>
      </c>
      <c r="CA2268" t="s">
        <v>912</v>
      </c>
      <c r="CC2268" t="s">
        <v>134</v>
      </c>
      <c r="CD2268">
        <v>5201</v>
      </c>
      <c r="CE2268" t="s">
        <v>1892</v>
      </c>
      <c r="CF2268" s="3">
        <v>43791</v>
      </c>
      <c r="CI2268">
        <v>1</v>
      </c>
      <c r="CJ2268">
        <v>1</v>
      </c>
      <c r="CK2268">
        <v>21</v>
      </c>
      <c r="CL2268" t="s">
        <v>89</v>
      </c>
    </row>
    <row r="2269" spans="1:90">
      <c r="A2269" t="s">
        <v>72</v>
      </c>
      <c r="B2269" t="s">
        <v>73</v>
      </c>
      <c r="C2269" t="s">
        <v>74</v>
      </c>
      <c r="E2269" t="str">
        <f>"FES1162724119"</f>
        <v>FES1162724119</v>
      </c>
      <c r="F2269" s="3">
        <v>43789</v>
      </c>
      <c r="G2269">
        <v>202005</v>
      </c>
      <c r="H2269" t="s">
        <v>75</v>
      </c>
      <c r="I2269" t="s">
        <v>76</v>
      </c>
      <c r="J2269" t="s">
        <v>77</v>
      </c>
      <c r="K2269" t="s">
        <v>78</v>
      </c>
      <c r="L2269" t="s">
        <v>214</v>
      </c>
      <c r="M2269" t="s">
        <v>214</v>
      </c>
      <c r="N2269" t="s">
        <v>592</v>
      </c>
      <c r="O2269" t="s">
        <v>82</v>
      </c>
      <c r="P2269" t="str">
        <f>"2170718083                    "</f>
        <v xml:space="preserve">2170718083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16.63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 s="4">
        <v>97.75</v>
      </c>
      <c r="BM2269" s="4">
        <v>14.66</v>
      </c>
      <c r="BN2269" s="4">
        <v>112.41</v>
      </c>
      <c r="BO2269" s="4">
        <v>112.41</v>
      </c>
      <c r="BR2269" t="s">
        <v>84</v>
      </c>
      <c r="BS2269" s="3">
        <v>43790</v>
      </c>
      <c r="BT2269" s="5">
        <v>0.44305555555555554</v>
      </c>
      <c r="BU2269" t="s">
        <v>1230</v>
      </c>
      <c r="BV2269" t="s">
        <v>86</v>
      </c>
      <c r="BY2269">
        <v>1200</v>
      </c>
      <c r="CA2269" t="s">
        <v>217</v>
      </c>
      <c r="CC2269" t="s">
        <v>214</v>
      </c>
      <c r="CD2269">
        <v>7646</v>
      </c>
      <c r="CE2269" t="s">
        <v>147</v>
      </c>
      <c r="CF2269" s="3">
        <v>43791</v>
      </c>
      <c r="CI2269">
        <v>1</v>
      </c>
      <c r="CJ2269">
        <v>1</v>
      </c>
      <c r="CK2269">
        <v>23</v>
      </c>
      <c r="CL2269" t="s">
        <v>89</v>
      </c>
    </row>
    <row r="2270" spans="1:90">
      <c r="A2270" t="s">
        <v>72</v>
      </c>
      <c r="B2270" t="s">
        <v>73</v>
      </c>
      <c r="C2270" t="s">
        <v>74</v>
      </c>
      <c r="E2270" t="str">
        <f>"FES1162723949"</f>
        <v>FES1162723949</v>
      </c>
      <c r="F2270" s="3">
        <v>43789</v>
      </c>
      <c r="G2270">
        <v>202005</v>
      </c>
      <c r="H2270" t="s">
        <v>75</v>
      </c>
      <c r="I2270" t="s">
        <v>76</v>
      </c>
      <c r="J2270" t="s">
        <v>77</v>
      </c>
      <c r="K2270" t="s">
        <v>78</v>
      </c>
      <c r="L2270" t="s">
        <v>90</v>
      </c>
      <c r="M2270" t="s">
        <v>91</v>
      </c>
      <c r="N2270" t="s">
        <v>401</v>
      </c>
      <c r="O2270" t="s">
        <v>82</v>
      </c>
      <c r="P2270" t="str">
        <f>"2170717933                    "</f>
        <v xml:space="preserve">2170717933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8.58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 s="4">
        <v>50.45</v>
      </c>
      <c r="BM2270" s="4">
        <v>7.57</v>
      </c>
      <c r="BN2270" s="4">
        <v>58.02</v>
      </c>
      <c r="BO2270" s="4">
        <v>58.02</v>
      </c>
      <c r="BQ2270" t="s">
        <v>109</v>
      </c>
      <c r="BR2270" t="s">
        <v>84</v>
      </c>
      <c r="BS2270" s="3">
        <v>43790</v>
      </c>
      <c r="BT2270" s="5">
        <v>0.34236111111111112</v>
      </c>
      <c r="BU2270" t="s">
        <v>402</v>
      </c>
      <c r="BV2270" t="s">
        <v>86</v>
      </c>
      <c r="BY2270">
        <v>1200</v>
      </c>
      <c r="CA2270" t="s">
        <v>221</v>
      </c>
      <c r="CC2270" t="s">
        <v>91</v>
      </c>
      <c r="CD2270">
        <v>7441</v>
      </c>
      <c r="CE2270" t="s">
        <v>147</v>
      </c>
      <c r="CF2270" s="3">
        <v>43791</v>
      </c>
      <c r="CI2270">
        <v>1</v>
      </c>
      <c r="CJ2270">
        <v>1</v>
      </c>
      <c r="CK2270">
        <v>21</v>
      </c>
      <c r="CL2270" t="s">
        <v>89</v>
      </c>
    </row>
    <row r="2271" spans="1:90">
      <c r="A2271" t="s">
        <v>72</v>
      </c>
      <c r="B2271" t="s">
        <v>73</v>
      </c>
      <c r="C2271" t="s">
        <v>74</v>
      </c>
      <c r="E2271" t="str">
        <f>"FES1162724096"</f>
        <v>FES1162724096</v>
      </c>
      <c r="F2271" s="3">
        <v>43789</v>
      </c>
      <c r="G2271">
        <v>202005</v>
      </c>
      <c r="H2271" t="s">
        <v>75</v>
      </c>
      <c r="I2271" t="s">
        <v>76</v>
      </c>
      <c r="J2271" t="s">
        <v>77</v>
      </c>
      <c r="K2271" t="s">
        <v>78</v>
      </c>
      <c r="L2271" t="s">
        <v>90</v>
      </c>
      <c r="M2271" t="s">
        <v>91</v>
      </c>
      <c r="N2271" t="s">
        <v>1825</v>
      </c>
      <c r="O2271" t="s">
        <v>82</v>
      </c>
      <c r="P2271" t="str">
        <f>"2170718065                    "</f>
        <v xml:space="preserve">2170718065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8.58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 s="4">
        <v>50.45</v>
      </c>
      <c r="BM2271" s="4">
        <v>7.57</v>
      </c>
      <c r="BN2271" s="4">
        <v>58.02</v>
      </c>
      <c r="BO2271" s="4">
        <v>58.02</v>
      </c>
      <c r="BQ2271" t="s">
        <v>121</v>
      </c>
      <c r="BR2271" t="s">
        <v>84</v>
      </c>
      <c r="BS2271" s="3">
        <v>43790</v>
      </c>
      <c r="BT2271" s="5">
        <v>0.40972222222222227</v>
      </c>
      <c r="BU2271" t="s">
        <v>2526</v>
      </c>
      <c r="BV2271" t="s">
        <v>86</v>
      </c>
      <c r="BY2271">
        <v>1200</v>
      </c>
      <c r="CA2271" t="s">
        <v>2527</v>
      </c>
      <c r="CC2271" t="s">
        <v>91</v>
      </c>
      <c r="CD2271">
        <v>7460</v>
      </c>
      <c r="CE2271" t="s">
        <v>147</v>
      </c>
      <c r="CF2271" s="3">
        <v>43791</v>
      </c>
      <c r="CI2271">
        <v>1</v>
      </c>
      <c r="CJ2271">
        <v>1</v>
      </c>
      <c r="CK2271">
        <v>21</v>
      </c>
      <c r="CL2271" t="s">
        <v>89</v>
      </c>
    </row>
    <row r="2272" spans="1:90">
      <c r="A2272" t="s">
        <v>72</v>
      </c>
      <c r="B2272" t="s">
        <v>73</v>
      </c>
      <c r="C2272" t="s">
        <v>74</v>
      </c>
      <c r="E2272" t="str">
        <f>"FES1162724105"</f>
        <v>FES1162724105</v>
      </c>
      <c r="F2272" s="3">
        <v>43789</v>
      </c>
      <c r="G2272">
        <v>202005</v>
      </c>
      <c r="H2272" t="s">
        <v>75</v>
      </c>
      <c r="I2272" t="s">
        <v>76</v>
      </c>
      <c r="J2272" t="s">
        <v>77</v>
      </c>
      <c r="K2272" t="s">
        <v>78</v>
      </c>
      <c r="L2272" t="s">
        <v>101</v>
      </c>
      <c r="M2272" t="s">
        <v>102</v>
      </c>
      <c r="N2272" t="s">
        <v>2480</v>
      </c>
      <c r="O2272" t="s">
        <v>82</v>
      </c>
      <c r="P2272" t="str">
        <f>"2170718071                    "</f>
        <v xml:space="preserve">2170718071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8.58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 s="4">
        <v>50.45</v>
      </c>
      <c r="BM2272" s="4">
        <v>7.57</v>
      </c>
      <c r="BN2272" s="4">
        <v>58.02</v>
      </c>
      <c r="BO2272" s="4">
        <v>58.02</v>
      </c>
      <c r="BR2272" t="s">
        <v>84</v>
      </c>
      <c r="BS2272" s="3">
        <v>43790</v>
      </c>
      <c r="BT2272" s="5">
        <v>0.39583333333333331</v>
      </c>
      <c r="BU2272" t="s">
        <v>2528</v>
      </c>
      <c r="BV2272" t="s">
        <v>86</v>
      </c>
      <c r="BY2272">
        <v>1200</v>
      </c>
      <c r="CA2272" t="s">
        <v>720</v>
      </c>
      <c r="CC2272" t="s">
        <v>102</v>
      </c>
      <c r="CD2272">
        <v>47</v>
      </c>
      <c r="CE2272" t="s">
        <v>147</v>
      </c>
      <c r="CF2272" s="3">
        <v>43791</v>
      </c>
      <c r="CI2272">
        <v>1</v>
      </c>
      <c r="CJ2272">
        <v>1</v>
      </c>
      <c r="CK2272">
        <v>21</v>
      </c>
      <c r="CL2272" t="s">
        <v>89</v>
      </c>
    </row>
    <row r="2273" spans="1:90">
      <c r="A2273" t="s">
        <v>72</v>
      </c>
      <c r="B2273" t="s">
        <v>73</v>
      </c>
      <c r="C2273" t="s">
        <v>74</v>
      </c>
      <c r="E2273" t="str">
        <f>"FES1162724103"</f>
        <v>FES1162724103</v>
      </c>
      <c r="F2273" s="3">
        <v>43789</v>
      </c>
      <c r="G2273">
        <v>202005</v>
      </c>
      <c r="H2273" t="s">
        <v>75</v>
      </c>
      <c r="I2273" t="s">
        <v>76</v>
      </c>
      <c r="J2273" t="s">
        <v>77</v>
      </c>
      <c r="K2273" t="s">
        <v>78</v>
      </c>
      <c r="L2273" t="s">
        <v>214</v>
      </c>
      <c r="M2273" t="s">
        <v>214</v>
      </c>
      <c r="N2273" t="s">
        <v>2529</v>
      </c>
      <c r="O2273" t="s">
        <v>82</v>
      </c>
      <c r="P2273" t="str">
        <f>"2170718068                    "</f>
        <v xml:space="preserve">2170718068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16.63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 s="4">
        <v>97.75</v>
      </c>
      <c r="BM2273" s="4">
        <v>14.66</v>
      </c>
      <c r="BN2273" s="4">
        <v>112.41</v>
      </c>
      <c r="BO2273" s="4">
        <v>112.41</v>
      </c>
      <c r="BQ2273" t="s">
        <v>2530</v>
      </c>
      <c r="BR2273" t="s">
        <v>84</v>
      </c>
      <c r="BS2273" s="3">
        <v>43790</v>
      </c>
      <c r="BT2273" s="5">
        <v>0.44305555555555554</v>
      </c>
      <c r="BU2273" t="s">
        <v>1230</v>
      </c>
      <c r="BV2273" t="s">
        <v>86</v>
      </c>
      <c r="BY2273">
        <v>1200</v>
      </c>
      <c r="CA2273" t="s">
        <v>217</v>
      </c>
      <c r="CC2273" t="s">
        <v>214</v>
      </c>
      <c r="CD2273">
        <v>7646</v>
      </c>
      <c r="CE2273" t="s">
        <v>147</v>
      </c>
      <c r="CF2273" s="3">
        <v>43791</v>
      </c>
      <c r="CI2273">
        <v>1</v>
      </c>
      <c r="CJ2273">
        <v>1</v>
      </c>
      <c r="CK2273">
        <v>23</v>
      </c>
      <c r="CL2273" t="s">
        <v>89</v>
      </c>
    </row>
    <row r="2274" spans="1:90">
      <c r="A2274" t="s">
        <v>72</v>
      </c>
      <c r="B2274" t="s">
        <v>73</v>
      </c>
      <c r="C2274" t="s">
        <v>74</v>
      </c>
      <c r="E2274" t="str">
        <f>"FES1162724077"</f>
        <v>FES1162724077</v>
      </c>
      <c r="F2274" s="3">
        <v>43789</v>
      </c>
      <c r="G2274">
        <v>202005</v>
      </c>
      <c r="H2274" t="s">
        <v>75</v>
      </c>
      <c r="I2274" t="s">
        <v>76</v>
      </c>
      <c r="J2274" t="s">
        <v>77</v>
      </c>
      <c r="K2274" t="s">
        <v>78</v>
      </c>
      <c r="L2274" t="s">
        <v>124</v>
      </c>
      <c r="M2274" t="s">
        <v>125</v>
      </c>
      <c r="N2274" t="s">
        <v>487</v>
      </c>
      <c r="O2274" t="s">
        <v>82</v>
      </c>
      <c r="P2274" t="str">
        <f>"2170714239                    "</f>
        <v xml:space="preserve">2170714239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10.72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4.4000000000000004</v>
      </c>
      <c r="BJ2274">
        <v>3.3</v>
      </c>
      <c r="BK2274">
        <v>4.5</v>
      </c>
      <c r="BL2274" s="4">
        <v>63.03</v>
      </c>
      <c r="BM2274" s="4">
        <v>9.4499999999999993</v>
      </c>
      <c r="BN2274" s="4">
        <v>72.48</v>
      </c>
      <c r="BO2274" s="4">
        <v>72.48</v>
      </c>
      <c r="BQ2274" t="s">
        <v>121</v>
      </c>
      <c r="BR2274" t="s">
        <v>84</v>
      </c>
      <c r="BS2274" s="3">
        <v>43790</v>
      </c>
      <c r="BT2274" s="5">
        <v>0.31319444444444444</v>
      </c>
      <c r="BU2274" t="s">
        <v>2531</v>
      </c>
      <c r="BV2274" t="s">
        <v>86</v>
      </c>
      <c r="BY2274">
        <v>16662.849999999999</v>
      </c>
      <c r="CC2274" t="s">
        <v>125</v>
      </c>
      <c r="CD2274">
        <v>2094</v>
      </c>
      <c r="CE2274" t="s">
        <v>88</v>
      </c>
      <c r="CF2274" s="3">
        <v>43791</v>
      </c>
      <c r="CI2274">
        <v>1</v>
      </c>
      <c r="CJ2274">
        <v>1</v>
      </c>
      <c r="CK2274">
        <v>22</v>
      </c>
      <c r="CL2274" t="s">
        <v>89</v>
      </c>
    </row>
    <row r="2275" spans="1:90">
      <c r="A2275" t="s">
        <v>72</v>
      </c>
      <c r="B2275" t="s">
        <v>73</v>
      </c>
      <c r="C2275" t="s">
        <v>74</v>
      </c>
      <c r="E2275" t="str">
        <f>"FES1162724074"</f>
        <v>FES1162724074</v>
      </c>
      <c r="F2275" s="3">
        <v>43789</v>
      </c>
      <c r="G2275">
        <v>202005</v>
      </c>
      <c r="H2275" t="s">
        <v>75</v>
      </c>
      <c r="I2275" t="s">
        <v>76</v>
      </c>
      <c r="J2275" t="s">
        <v>77</v>
      </c>
      <c r="K2275" t="s">
        <v>78</v>
      </c>
      <c r="L2275" t="s">
        <v>691</v>
      </c>
      <c r="M2275" t="s">
        <v>692</v>
      </c>
      <c r="N2275" t="s">
        <v>1217</v>
      </c>
      <c r="O2275" t="s">
        <v>756</v>
      </c>
      <c r="P2275" t="str">
        <f>"2170718039                    "</f>
        <v xml:space="preserve">2170718039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6.71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2</v>
      </c>
      <c r="BJ2275">
        <v>1.2</v>
      </c>
      <c r="BK2275">
        <v>2</v>
      </c>
      <c r="BL2275" s="4">
        <v>39.42</v>
      </c>
      <c r="BM2275" s="4">
        <v>5.91</v>
      </c>
      <c r="BN2275" s="4">
        <v>45.33</v>
      </c>
      <c r="BO2275" s="4">
        <v>45.33</v>
      </c>
      <c r="BP2275" t="s">
        <v>757</v>
      </c>
      <c r="BQ2275" t="s">
        <v>109</v>
      </c>
      <c r="BR2275" t="s">
        <v>84</v>
      </c>
      <c r="BS2275" s="3">
        <v>43790</v>
      </c>
      <c r="BT2275" s="5">
        <v>0.4375</v>
      </c>
      <c r="BU2275" t="s">
        <v>1263</v>
      </c>
      <c r="BV2275" t="s">
        <v>86</v>
      </c>
      <c r="BY2275">
        <v>6066.48</v>
      </c>
      <c r="CC2275" t="s">
        <v>692</v>
      </c>
      <c r="CD2275">
        <v>1559</v>
      </c>
      <c r="CE2275" t="s">
        <v>88</v>
      </c>
      <c r="CF2275" s="3">
        <v>43791</v>
      </c>
      <c r="CI2275">
        <v>1</v>
      </c>
      <c r="CJ2275">
        <v>1</v>
      </c>
      <c r="CK2275">
        <v>32</v>
      </c>
      <c r="CL2275" t="s">
        <v>89</v>
      </c>
    </row>
    <row r="2276" spans="1:90">
      <c r="A2276" t="s">
        <v>72</v>
      </c>
      <c r="B2276" t="s">
        <v>73</v>
      </c>
      <c r="C2276" t="s">
        <v>74</v>
      </c>
      <c r="E2276" t="str">
        <f>"FES1162724080"</f>
        <v>FES1162724080</v>
      </c>
      <c r="F2276" s="3">
        <v>43789</v>
      </c>
      <c r="G2276">
        <v>202005</v>
      </c>
      <c r="H2276" t="s">
        <v>75</v>
      </c>
      <c r="I2276" t="s">
        <v>76</v>
      </c>
      <c r="J2276" t="s">
        <v>77</v>
      </c>
      <c r="K2276" t="s">
        <v>78</v>
      </c>
      <c r="L2276" t="s">
        <v>90</v>
      </c>
      <c r="M2276" t="s">
        <v>91</v>
      </c>
      <c r="N2276" t="s">
        <v>190</v>
      </c>
      <c r="O2276" t="s">
        <v>82</v>
      </c>
      <c r="P2276" t="str">
        <f>"2170718048                    "</f>
        <v xml:space="preserve">2170718048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8.58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 s="4">
        <v>50.45</v>
      </c>
      <c r="BM2276" s="4">
        <v>7.57</v>
      </c>
      <c r="BN2276" s="4">
        <v>58.02</v>
      </c>
      <c r="BO2276" s="4">
        <v>58.02</v>
      </c>
      <c r="BQ2276" t="s">
        <v>109</v>
      </c>
      <c r="BR2276" t="s">
        <v>84</v>
      </c>
      <c r="BS2276" s="3">
        <v>43790</v>
      </c>
      <c r="BT2276" s="5">
        <v>0.40208333333333335</v>
      </c>
      <c r="BU2276" t="s">
        <v>2532</v>
      </c>
      <c r="BV2276" t="s">
        <v>86</v>
      </c>
      <c r="BY2276">
        <v>1200</v>
      </c>
      <c r="CA2276" t="s">
        <v>213</v>
      </c>
      <c r="CC2276" t="s">
        <v>91</v>
      </c>
      <c r="CD2276">
        <v>7441</v>
      </c>
      <c r="CE2276" t="s">
        <v>147</v>
      </c>
      <c r="CF2276" s="3">
        <v>43791</v>
      </c>
      <c r="CI2276">
        <v>1</v>
      </c>
      <c r="CJ2276">
        <v>1</v>
      </c>
      <c r="CK2276">
        <v>21</v>
      </c>
      <c r="CL2276" t="s">
        <v>89</v>
      </c>
    </row>
    <row r="2277" spans="1:90">
      <c r="A2277" t="s">
        <v>72</v>
      </c>
      <c r="B2277" t="s">
        <v>73</v>
      </c>
      <c r="C2277" t="s">
        <v>74</v>
      </c>
      <c r="E2277" t="str">
        <f>"FES1162724078"</f>
        <v>FES1162724078</v>
      </c>
      <c r="F2277" s="3">
        <v>43789</v>
      </c>
      <c r="G2277">
        <v>202005</v>
      </c>
      <c r="H2277" t="s">
        <v>75</v>
      </c>
      <c r="I2277" t="s">
        <v>76</v>
      </c>
      <c r="J2277" t="s">
        <v>77</v>
      </c>
      <c r="K2277" t="s">
        <v>78</v>
      </c>
      <c r="L2277" t="s">
        <v>681</v>
      </c>
      <c r="M2277" t="s">
        <v>682</v>
      </c>
      <c r="N2277" t="s">
        <v>1870</v>
      </c>
      <c r="O2277" t="s">
        <v>82</v>
      </c>
      <c r="P2277" t="str">
        <f>"2170717892                    "</f>
        <v xml:space="preserve">2170717892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12.07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 s="4">
        <v>70.95</v>
      </c>
      <c r="BM2277" s="4">
        <v>10.64</v>
      </c>
      <c r="BN2277" s="4">
        <v>81.59</v>
      </c>
      <c r="BO2277" s="4">
        <v>81.59</v>
      </c>
      <c r="BQ2277" t="s">
        <v>142</v>
      </c>
      <c r="BR2277" t="s">
        <v>84</v>
      </c>
      <c r="BS2277" s="3">
        <v>43790</v>
      </c>
      <c r="BT2277" s="5">
        <v>0.375</v>
      </c>
      <c r="BU2277" t="s">
        <v>370</v>
      </c>
      <c r="BV2277" t="s">
        <v>86</v>
      </c>
      <c r="BY2277">
        <v>1200</v>
      </c>
      <c r="CA2277" t="s">
        <v>1224</v>
      </c>
      <c r="CC2277" t="s">
        <v>682</v>
      </c>
      <c r="CD2277">
        <v>1930</v>
      </c>
      <c r="CE2277" t="s">
        <v>147</v>
      </c>
      <c r="CF2277" s="3">
        <v>43791</v>
      </c>
      <c r="CI2277">
        <v>1</v>
      </c>
      <c r="CJ2277">
        <v>1</v>
      </c>
      <c r="CK2277">
        <v>24</v>
      </c>
      <c r="CL2277" t="s">
        <v>89</v>
      </c>
    </row>
    <row r="2278" spans="1:90">
      <c r="A2278" t="s">
        <v>72</v>
      </c>
      <c r="B2278" t="s">
        <v>73</v>
      </c>
      <c r="C2278" t="s">
        <v>74</v>
      </c>
      <c r="E2278" t="str">
        <f>"FES1162724031"</f>
        <v>FES1162724031</v>
      </c>
      <c r="F2278" s="3">
        <v>43789</v>
      </c>
      <c r="G2278">
        <v>202005</v>
      </c>
      <c r="H2278" t="s">
        <v>75</v>
      </c>
      <c r="I2278" t="s">
        <v>76</v>
      </c>
      <c r="J2278" t="s">
        <v>77</v>
      </c>
      <c r="K2278" t="s">
        <v>78</v>
      </c>
      <c r="L2278" t="s">
        <v>106</v>
      </c>
      <c r="M2278" t="s">
        <v>107</v>
      </c>
      <c r="N2278" t="s">
        <v>489</v>
      </c>
      <c r="O2278" t="s">
        <v>82</v>
      </c>
      <c r="P2278" t="str">
        <f>"2170715041                    "</f>
        <v xml:space="preserve">2170715041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38.6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8.6999999999999993</v>
      </c>
      <c r="BJ2278">
        <v>8.1</v>
      </c>
      <c r="BK2278">
        <v>9</v>
      </c>
      <c r="BL2278" s="4">
        <v>226.91</v>
      </c>
      <c r="BM2278" s="4">
        <v>34.04</v>
      </c>
      <c r="BN2278" s="4">
        <v>260.95</v>
      </c>
      <c r="BO2278" s="4">
        <v>260.95</v>
      </c>
      <c r="BQ2278" t="s">
        <v>121</v>
      </c>
      <c r="BR2278" t="s">
        <v>84</v>
      </c>
      <c r="BS2278" s="3">
        <v>43790</v>
      </c>
      <c r="BT2278" s="5">
        <v>0.4236111111111111</v>
      </c>
      <c r="BU2278" t="s">
        <v>2506</v>
      </c>
      <c r="BV2278" t="s">
        <v>86</v>
      </c>
      <c r="BY2278">
        <v>40707.58</v>
      </c>
      <c r="CA2278" t="s">
        <v>773</v>
      </c>
      <c r="CC2278" t="s">
        <v>107</v>
      </c>
      <c r="CD2278">
        <v>6001</v>
      </c>
      <c r="CE2278" t="s">
        <v>88</v>
      </c>
      <c r="CF2278" s="3">
        <v>43791</v>
      </c>
      <c r="CI2278">
        <v>1</v>
      </c>
      <c r="CJ2278">
        <v>1</v>
      </c>
      <c r="CK2278">
        <v>21</v>
      </c>
      <c r="CL2278" t="s">
        <v>89</v>
      </c>
    </row>
    <row r="2279" spans="1:90">
      <c r="A2279" t="s">
        <v>72</v>
      </c>
      <c r="B2279" t="s">
        <v>73</v>
      </c>
      <c r="C2279" t="s">
        <v>74</v>
      </c>
      <c r="E2279" t="str">
        <f>"FES1162724063"</f>
        <v>FES1162724063</v>
      </c>
      <c r="F2279" s="3">
        <v>43789</v>
      </c>
      <c r="G2279">
        <v>202005</v>
      </c>
      <c r="H2279" t="s">
        <v>75</v>
      </c>
      <c r="I2279" t="s">
        <v>76</v>
      </c>
      <c r="J2279" t="s">
        <v>77</v>
      </c>
      <c r="K2279" t="s">
        <v>78</v>
      </c>
      <c r="L2279" t="s">
        <v>106</v>
      </c>
      <c r="M2279" t="s">
        <v>107</v>
      </c>
      <c r="N2279" t="s">
        <v>2533</v>
      </c>
      <c r="O2279" t="s">
        <v>82</v>
      </c>
      <c r="P2279" t="str">
        <f>"2170718029                    "</f>
        <v xml:space="preserve">2170718029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19.3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2.8</v>
      </c>
      <c r="BJ2279">
        <v>4.4000000000000004</v>
      </c>
      <c r="BK2279">
        <v>4.5</v>
      </c>
      <c r="BL2279" s="4">
        <v>113.47</v>
      </c>
      <c r="BM2279" s="4">
        <v>17.02</v>
      </c>
      <c r="BN2279" s="4">
        <v>130.49</v>
      </c>
      <c r="BO2279" s="4">
        <v>130.49</v>
      </c>
      <c r="BQ2279" t="s">
        <v>142</v>
      </c>
      <c r="BR2279" t="s">
        <v>84</v>
      </c>
      <c r="BS2279" s="3">
        <v>43790</v>
      </c>
      <c r="BT2279" s="5">
        <v>0.41666666666666669</v>
      </c>
      <c r="BU2279" t="s">
        <v>2534</v>
      </c>
      <c r="BV2279" t="s">
        <v>86</v>
      </c>
      <c r="BY2279">
        <v>21775.599999999999</v>
      </c>
      <c r="CA2279" t="s">
        <v>2535</v>
      </c>
      <c r="CC2279" t="s">
        <v>107</v>
      </c>
      <c r="CD2279">
        <v>6001</v>
      </c>
      <c r="CE2279" t="s">
        <v>88</v>
      </c>
      <c r="CF2279" s="3">
        <v>43791</v>
      </c>
      <c r="CI2279">
        <v>1</v>
      </c>
      <c r="CJ2279">
        <v>1</v>
      </c>
      <c r="CK2279">
        <v>21</v>
      </c>
      <c r="CL2279" t="s">
        <v>89</v>
      </c>
    </row>
    <row r="2280" spans="1:90">
      <c r="A2280" t="s">
        <v>72</v>
      </c>
      <c r="B2280" t="s">
        <v>73</v>
      </c>
      <c r="C2280" t="s">
        <v>74</v>
      </c>
      <c r="E2280" t="str">
        <f>"FES1162724087"</f>
        <v>FES1162724087</v>
      </c>
      <c r="F2280" s="3">
        <v>43789</v>
      </c>
      <c r="G2280">
        <v>202005</v>
      </c>
      <c r="H2280" t="s">
        <v>75</v>
      </c>
      <c r="I2280" t="s">
        <v>76</v>
      </c>
      <c r="J2280" t="s">
        <v>77</v>
      </c>
      <c r="K2280" t="s">
        <v>78</v>
      </c>
      <c r="L2280" t="s">
        <v>578</v>
      </c>
      <c r="M2280" t="s">
        <v>579</v>
      </c>
      <c r="N2280" t="s">
        <v>1020</v>
      </c>
      <c r="O2280" t="s">
        <v>82</v>
      </c>
      <c r="P2280" t="str">
        <f>"2170716023                    "</f>
        <v xml:space="preserve">2170716023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15.02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2</v>
      </c>
      <c r="BI2280">
        <v>3.1</v>
      </c>
      <c r="BJ2280">
        <v>2.7</v>
      </c>
      <c r="BK2280">
        <v>3.5</v>
      </c>
      <c r="BL2280" s="4">
        <v>88.27</v>
      </c>
      <c r="BM2280" s="4">
        <v>13.24</v>
      </c>
      <c r="BN2280" s="4">
        <v>101.51</v>
      </c>
      <c r="BO2280" s="4">
        <v>101.51</v>
      </c>
      <c r="BQ2280" t="s">
        <v>121</v>
      </c>
      <c r="BR2280" t="s">
        <v>84</v>
      </c>
      <c r="BS2280" s="3">
        <v>43790</v>
      </c>
      <c r="BT2280" s="5">
        <v>0.34583333333333338</v>
      </c>
      <c r="BU2280" t="s">
        <v>1305</v>
      </c>
      <c r="BV2280" t="s">
        <v>86</v>
      </c>
      <c r="BY2280">
        <v>13506.29</v>
      </c>
      <c r="CA2280" t="s">
        <v>1022</v>
      </c>
      <c r="CC2280" t="s">
        <v>579</v>
      </c>
      <c r="CD2280">
        <v>7600</v>
      </c>
      <c r="CE2280" t="s">
        <v>2536</v>
      </c>
      <c r="CF2280" s="3">
        <v>43791</v>
      </c>
      <c r="CI2280">
        <v>1</v>
      </c>
      <c r="CJ2280">
        <v>1</v>
      </c>
      <c r="CK2280">
        <v>21</v>
      </c>
      <c r="CL2280" t="s">
        <v>89</v>
      </c>
    </row>
    <row r="2281" spans="1:90">
      <c r="A2281" t="s">
        <v>72</v>
      </c>
      <c r="B2281" t="s">
        <v>73</v>
      </c>
      <c r="C2281" t="s">
        <v>74</v>
      </c>
      <c r="E2281" t="str">
        <f>"FES1162724081"</f>
        <v>FES1162724081</v>
      </c>
      <c r="F2281" s="3">
        <v>43789</v>
      </c>
      <c r="G2281">
        <v>202005</v>
      </c>
      <c r="H2281" t="s">
        <v>75</v>
      </c>
      <c r="I2281" t="s">
        <v>76</v>
      </c>
      <c r="J2281" t="s">
        <v>77</v>
      </c>
      <c r="K2281" t="s">
        <v>78</v>
      </c>
      <c r="L2281" t="s">
        <v>176</v>
      </c>
      <c r="M2281" t="s">
        <v>177</v>
      </c>
      <c r="N2281" t="s">
        <v>178</v>
      </c>
      <c r="O2281" t="s">
        <v>82</v>
      </c>
      <c r="P2281" t="str">
        <f>"2170718050                    "</f>
        <v xml:space="preserve">2170718050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8.58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0.9</v>
      </c>
      <c r="BJ2281">
        <v>0.8</v>
      </c>
      <c r="BK2281">
        <v>1</v>
      </c>
      <c r="BL2281" s="4">
        <v>50.45</v>
      </c>
      <c r="BM2281" s="4">
        <v>7.57</v>
      </c>
      <c r="BN2281" s="4">
        <v>58.02</v>
      </c>
      <c r="BO2281" s="4">
        <v>58.02</v>
      </c>
      <c r="BQ2281" t="s">
        <v>142</v>
      </c>
      <c r="BR2281" t="s">
        <v>84</v>
      </c>
      <c r="BS2281" s="3">
        <v>43790</v>
      </c>
      <c r="BT2281" s="5">
        <v>0.37847222222222227</v>
      </c>
      <c r="BU2281" t="s">
        <v>2537</v>
      </c>
      <c r="BV2281" t="s">
        <v>86</v>
      </c>
      <c r="BY2281">
        <v>4203.9399999999996</v>
      </c>
      <c r="CA2281" t="s">
        <v>180</v>
      </c>
      <c r="CC2281" t="s">
        <v>177</v>
      </c>
      <c r="CD2281">
        <v>3610</v>
      </c>
      <c r="CE2281" t="s">
        <v>88</v>
      </c>
      <c r="CF2281" s="3">
        <v>43791</v>
      </c>
      <c r="CI2281">
        <v>1</v>
      </c>
      <c r="CJ2281">
        <v>1</v>
      </c>
      <c r="CK2281">
        <v>21</v>
      </c>
      <c r="CL2281" t="s">
        <v>89</v>
      </c>
    </row>
    <row r="2282" spans="1:90">
      <c r="A2282" t="s">
        <v>72</v>
      </c>
      <c r="B2282" t="s">
        <v>73</v>
      </c>
      <c r="C2282" t="s">
        <v>74</v>
      </c>
      <c r="E2282" t="str">
        <f>"FES1162724089"</f>
        <v>FES1162724089</v>
      </c>
      <c r="F2282" s="3">
        <v>43789</v>
      </c>
      <c r="G2282">
        <v>202005</v>
      </c>
      <c r="H2282" t="s">
        <v>75</v>
      </c>
      <c r="I2282" t="s">
        <v>76</v>
      </c>
      <c r="J2282" t="s">
        <v>77</v>
      </c>
      <c r="K2282" t="s">
        <v>78</v>
      </c>
      <c r="L2282" t="s">
        <v>176</v>
      </c>
      <c r="M2282" t="s">
        <v>177</v>
      </c>
      <c r="N2282" t="s">
        <v>178</v>
      </c>
      <c r="O2282" t="s">
        <v>82</v>
      </c>
      <c r="P2282" t="str">
        <f>"2170718058                    "</f>
        <v xml:space="preserve">2170718058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30.03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7</v>
      </c>
      <c r="BJ2282">
        <v>2.8</v>
      </c>
      <c r="BK2282">
        <v>7</v>
      </c>
      <c r="BL2282" s="4">
        <v>176.5</v>
      </c>
      <c r="BM2282" s="4">
        <v>26.48</v>
      </c>
      <c r="BN2282" s="4">
        <v>202.98</v>
      </c>
      <c r="BO2282" s="4">
        <v>202.98</v>
      </c>
      <c r="BQ2282" t="s">
        <v>142</v>
      </c>
      <c r="BR2282" t="s">
        <v>84</v>
      </c>
      <c r="BS2282" s="3">
        <v>43790</v>
      </c>
      <c r="BT2282" s="5">
        <v>0.37916666666666665</v>
      </c>
      <c r="BU2282" t="s">
        <v>2537</v>
      </c>
      <c r="BV2282" t="s">
        <v>86</v>
      </c>
      <c r="BY2282">
        <v>13923.2</v>
      </c>
      <c r="CA2282" t="s">
        <v>180</v>
      </c>
      <c r="CC2282" t="s">
        <v>177</v>
      </c>
      <c r="CD2282">
        <v>3610</v>
      </c>
      <c r="CE2282" t="s">
        <v>88</v>
      </c>
      <c r="CF2282" s="3">
        <v>43791</v>
      </c>
      <c r="CI2282">
        <v>1</v>
      </c>
      <c r="CJ2282">
        <v>1</v>
      </c>
      <c r="CK2282">
        <v>21</v>
      </c>
      <c r="CL2282" t="s">
        <v>89</v>
      </c>
    </row>
    <row r="2283" spans="1:90">
      <c r="A2283" t="s">
        <v>72</v>
      </c>
      <c r="B2283" t="s">
        <v>73</v>
      </c>
      <c r="C2283" t="s">
        <v>74</v>
      </c>
      <c r="E2283" t="str">
        <f>"FES1162724056"</f>
        <v>FES1162724056</v>
      </c>
      <c r="F2283" s="3">
        <v>43789</v>
      </c>
      <c r="G2283">
        <v>202005</v>
      </c>
      <c r="H2283" t="s">
        <v>75</v>
      </c>
      <c r="I2283" t="s">
        <v>76</v>
      </c>
      <c r="J2283" t="s">
        <v>77</v>
      </c>
      <c r="K2283" t="s">
        <v>78</v>
      </c>
      <c r="L2283" t="s">
        <v>106</v>
      </c>
      <c r="M2283" t="s">
        <v>107</v>
      </c>
      <c r="N2283" t="s">
        <v>489</v>
      </c>
      <c r="O2283" t="s">
        <v>82</v>
      </c>
      <c r="P2283" t="str">
        <f>"2170714726                    "</f>
        <v xml:space="preserve">2170714726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55.76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2</v>
      </c>
      <c r="BI2283">
        <v>13</v>
      </c>
      <c r="BJ2283">
        <v>6.2</v>
      </c>
      <c r="BK2283">
        <v>13</v>
      </c>
      <c r="BL2283" s="4">
        <v>327.75</v>
      </c>
      <c r="BM2283" s="4">
        <v>49.16</v>
      </c>
      <c r="BN2283" s="4">
        <v>376.91</v>
      </c>
      <c r="BO2283" s="4">
        <v>376.91</v>
      </c>
      <c r="BQ2283" t="s">
        <v>121</v>
      </c>
      <c r="BR2283" t="s">
        <v>84</v>
      </c>
      <c r="BS2283" s="3">
        <v>43790</v>
      </c>
      <c r="BT2283" s="5">
        <v>0.4236111111111111</v>
      </c>
      <c r="BU2283" t="s">
        <v>2506</v>
      </c>
      <c r="BV2283" t="s">
        <v>86</v>
      </c>
      <c r="BY2283">
        <v>30949.38</v>
      </c>
      <c r="CA2283" t="s">
        <v>773</v>
      </c>
      <c r="CC2283" t="s">
        <v>107</v>
      </c>
      <c r="CD2283">
        <v>6001</v>
      </c>
      <c r="CE2283" t="s">
        <v>1892</v>
      </c>
      <c r="CF2283" s="3">
        <v>43791</v>
      </c>
      <c r="CI2283">
        <v>1</v>
      </c>
      <c r="CJ2283">
        <v>1</v>
      </c>
      <c r="CK2283">
        <v>21</v>
      </c>
      <c r="CL2283" t="s">
        <v>89</v>
      </c>
    </row>
    <row r="2284" spans="1:90">
      <c r="A2284" t="s">
        <v>72</v>
      </c>
      <c r="B2284" t="s">
        <v>73</v>
      </c>
      <c r="C2284" t="s">
        <v>74</v>
      </c>
      <c r="E2284" t="str">
        <f>"FES1162723806"</f>
        <v>FES1162723806</v>
      </c>
      <c r="F2284" s="3">
        <v>43789</v>
      </c>
      <c r="G2284">
        <v>202005</v>
      </c>
      <c r="H2284" t="s">
        <v>75</v>
      </c>
      <c r="I2284" t="s">
        <v>76</v>
      </c>
      <c r="J2284" t="s">
        <v>77</v>
      </c>
      <c r="K2284" t="s">
        <v>78</v>
      </c>
      <c r="L2284" t="s">
        <v>90</v>
      </c>
      <c r="M2284" t="s">
        <v>91</v>
      </c>
      <c r="N2284" t="s">
        <v>2538</v>
      </c>
      <c r="O2284" t="s">
        <v>82</v>
      </c>
      <c r="P2284" t="str">
        <f>"2170717779                    "</f>
        <v xml:space="preserve">2170717779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8.58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 s="4">
        <v>50.45</v>
      </c>
      <c r="BM2284" s="4">
        <v>7.57</v>
      </c>
      <c r="BN2284" s="4">
        <v>58.02</v>
      </c>
      <c r="BO2284" s="4">
        <v>58.02</v>
      </c>
      <c r="BR2284" t="s">
        <v>84</v>
      </c>
      <c r="BS2284" s="3">
        <v>43790</v>
      </c>
      <c r="BT2284" s="5">
        <v>0.35347222222222219</v>
      </c>
      <c r="BU2284" t="s">
        <v>2539</v>
      </c>
      <c r="BV2284" t="s">
        <v>86</v>
      </c>
      <c r="BY2284">
        <v>1200</v>
      </c>
      <c r="CA2284" t="s">
        <v>1281</v>
      </c>
      <c r="CC2284" t="s">
        <v>91</v>
      </c>
      <c r="CD2284">
        <v>7945</v>
      </c>
      <c r="CE2284" t="s">
        <v>147</v>
      </c>
      <c r="CF2284" s="3">
        <v>43791</v>
      </c>
      <c r="CI2284">
        <v>1</v>
      </c>
      <c r="CJ2284">
        <v>1</v>
      </c>
      <c r="CK2284">
        <v>21</v>
      </c>
      <c r="CL2284" t="s">
        <v>89</v>
      </c>
    </row>
    <row r="2285" spans="1:90">
      <c r="A2285" t="s">
        <v>72</v>
      </c>
      <c r="B2285" t="s">
        <v>73</v>
      </c>
      <c r="C2285" t="s">
        <v>74</v>
      </c>
      <c r="E2285" t="str">
        <f>"FES1162724083"</f>
        <v>FES1162724083</v>
      </c>
      <c r="F2285" s="3">
        <v>43789</v>
      </c>
      <c r="G2285">
        <v>202005</v>
      </c>
      <c r="H2285" t="s">
        <v>75</v>
      </c>
      <c r="I2285" t="s">
        <v>76</v>
      </c>
      <c r="J2285" t="s">
        <v>77</v>
      </c>
      <c r="K2285" t="s">
        <v>78</v>
      </c>
      <c r="L2285" t="s">
        <v>90</v>
      </c>
      <c r="M2285" t="s">
        <v>91</v>
      </c>
      <c r="N2285" t="s">
        <v>1825</v>
      </c>
      <c r="O2285" t="s">
        <v>82</v>
      </c>
      <c r="P2285" t="str">
        <f>"2170718051                    "</f>
        <v xml:space="preserve">2170718051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8.58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 s="4">
        <v>50.45</v>
      </c>
      <c r="BM2285" s="4">
        <v>7.57</v>
      </c>
      <c r="BN2285" s="4">
        <v>58.02</v>
      </c>
      <c r="BO2285" s="4">
        <v>58.02</v>
      </c>
      <c r="BQ2285" t="s">
        <v>121</v>
      </c>
      <c r="BR2285" t="s">
        <v>84</v>
      </c>
      <c r="BS2285" s="3">
        <v>43790</v>
      </c>
      <c r="BT2285" s="5">
        <v>0.40902777777777777</v>
      </c>
      <c r="BU2285" t="s">
        <v>2526</v>
      </c>
      <c r="BV2285" t="s">
        <v>86</v>
      </c>
      <c r="BY2285">
        <v>1200</v>
      </c>
      <c r="CA2285" t="s">
        <v>2527</v>
      </c>
      <c r="CC2285" t="s">
        <v>91</v>
      </c>
      <c r="CD2285">
        <v>7460</v>
      </c>
      <c r="CE2285" t="s">
        <v>147</v>
      </c>
      <c r="CF2285" s="3">
        <v>43791</v>
      </c>
      <c r="CI2285">
        <v>1</v>
      </c>
      <c r="CJ2285">
        <v>1</v>
      </c>
      <c r="CK2285">
        <v>21</v>
      </c>
      <c r="CL2285" t="s">
        <v>89</v>
      </c>
    </row>
    <row r="2286" spans="1:90">
      <c r="A2286" t="s">
        <v>72</v>
      </c>
      <c r="B2286" t="s">
        <v>73</v>
      </c>
      <c r="C2286" t="s">
        <v>74</v>
      </c>
      <c r="E2286" t="str">
        <f>"FES1162724086"</f>
        <v>FES1162724086</v>
      </c>
      <c r="F2286" s="3">
        <v>43789</v>
      </c>
      <c r="G2286">
        <v>202005</v>
      </c>
      <c r="H2286" t="s">
        <v>75</v>
      </c>
      <c r="I2286" t="s">
        <v>76</v>
      </c>
      <c r="J2286" t="s">
        <v>77</v>
      </c>
      <c r="K2286" t="s">
        <v>78</v>
      </c>
      <c r="L2286" t="s">
        <v>90</v>
      </c>
      <c r="M2286" t="s">
        <v>91</v>
      </c>
      <c r="N2286" t="s">
        <v>1610</v>
      </c>
      <c r="O2286" t="s">
        <v>82</v>
      </c>
      <c r="P2286" t="str">
        <f>"2170718055                    "</f>
        <v xml:space="preserve">2170718055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8.58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 s="4">
        <v>50.45</v>
      </c>
      <c r="BM2286" s="4">
        <v>7.57</v>
      </c>
      <c r="BN2286" s="4">
        <v>58.02</v>
      </c>
      <c r="BO2286" s="4">
        <v>58.02</v>
      </c>
      <c r="BQ2286" t="s">
        <v>121</v>
      </c>
      <c r="BR2286" t="s">
        <v>84</v>
      </c>
      <c r="BS2286" s="3">
        <v>43790</v>
      </c>
      <c r="BT2286" s="5">
        <v>0.4993055555555555</v>
      </c>
      <c r="BU2286" t="s">
        <v>2540</v>
      </c>
      <c r="BV2286" t="s">
        <v>86</v>
      </c>
      <c r="BY2286">
        <v>1200</v>
      </c>
      <c r="CA2286" t="s">
        <v>2541</v>
      </c>
      <c r="CC2286" t="s">
        <v>91</v>
      </c>
      <c r="CD2286">
        <v>7975</v>
      </c>
      <c r="CE2286" t="s">
        <v>147</v>
      </c>
      <c r="CF2286" s="3">
        <v>43791</v>
      </c>
      <c r="CI2286">
        <v>1</v>
      </c>
      <c r="CJ2286">
        <v>1</v>
      </c>
      <c r="CK2286">
        <v>21</v>
      </c>
      <c r="CL2286" t="s">
        <v>89</v>
      </c>
    </row>
    <row r="2287" spans="1:90">
      <c r="A2287" t="s">
        <v>72</v>
      </c>
      <c r="B2287" t="s">
        <v>73</v>
      </c>
      <c r="C2287" t="s">
        <v>74</v>
      </c>
      <c r="E2287" t="str">
        <f>"FES1162724079"</f>
        <v>FES1162724079</v>
      </c>
      <c r="F2287" s="3">
        <v>43789</v>
      </c>
      <c r="G2287">
        <v>202005</v>
      </c>
      <c r="H2287" t="s">
        <v>75</v>
      </c>
      <c r="I2287" t="s">
        <v>76</v>
      </c>
      <c r="J2287" t="s">
        <v>77</v>
      </c>
      <c r="K2287" t="s">
        <v>78</v>
      </c>
      <c r="L2287" t="s">
        <v>90</v>
      </c>
      <c r="M2287" t="s">
        <v>91</v>
      </c>
      <c r="N2287" t="s">
        <v>576</v>
      </c>
      <c r="O2287" t="s">
        <v>82</v>
      </c>
      <c r="P2287" t="str">
        <f>"21707181047                   "</f>
        <v xml:space="preserve">21707181047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8.58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 s="4">
        <v>50.45</v>
      </c>
      <c r="BM2287" s="4">
        <v>7.57</v>
      </c>
      <c r="BN2287" s="4">
        <v>58.02</v>
      </c>
      <c r="BO2287" s="4">
        <v>58.02</v>
      </c>
      <c r="BQ2287" t="s">
        <v>109</v>
      </c>
      <c r="BR2287" t="s">
        <v>84</v>
      </c>
      <c r="BS2287" s="3">
        <v>43790</v>
      </c>
      <c r="BT2287" s="5">
        <v>0.35069444444444442</v>
      </c>
      <c r="BU2287" t="s">
        <v>2081</v>
      </c>
      <c r="BV2287" t="s">
        <v>86</v>
      </c>
      <c r="BY2287">
        <v>1200</v>
      </c>
      <c r="CA2287" t="s">
        <v>213</v>
      </c>
      <c r="CC2287" t="s">
        <v>91</v>
      </c>
      <c r="CD2287">
        <v>7441</v>
      </c>
      <c r="CE2287" t="s">
        <v>147</v>
      </c>
      <c r="CF2287" s="3">
        <v>43791</v>
      </c>
      <c r="CI2287">
        <v>1</v>
      </c>
      <c r="CJ2287">
        <v>1</v>
      </c>
      <c r="CK2287">
        <v>21</v>
      </c>
      <c r="CL2287" t="s">
        <v>89</v>
      </c>
    </row>
    <row r="2288" spans="1:90">
      <c r="A2288" t="s">
        <v>72</v>
      </c>
      <c r="B2288" t="s">
        <v>73</v>
      </c>
      <c r="C2288" t="s">
        <v>74</v>
      </c>
      <c r="E2288" t="str">
        <f>"FES1162724076"</f>
        <v>FES1162724076</v>
      </c>
      <c r="F2288" s="3">
        <v>43789</v>
      </c>
      <c r="G2288">
        <v>202005</v>
      </c>
      <c r="H2288" t="s">
        <v>75</v>
      </c>
      <c r="I2288" t="s">
        <v>76</v>
      </c>
      <c r="J2288" t="s">
        <v>77</v>
      </c>
      <c r="K2288" t="s">
        <v>78</v>
      </c>
      <c r="L2288" t="s">
        <v>176</v>
      </c>
      <c r="M2288" t="s">
        <v>177</v>
      </c>
      <c r="N2288" t="s">
        <v>587</v>
      </c>
      <c r="O2288" t="s">
        <v>82</v>
      </c>
      <c r="P2288" t="str">
        <f>"2170718044                    "</f>
        <v xml:space="preserve">2170718044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8.58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 s="4">
        <v>50.45</v>
      </c>
      <c r="BM2288" s="4">
        <v>7.57</v>
      </c>
      <c r="BN2288" s="4">
        <v>58.02</v>
      </c>
      <c r="BO2288" s="4">
        <v>58.02</v>
      </c>
      <c r="BQ2288" t="s">
        <v>142</v>
      </c>
      <c r="BR2288" t="s">
        <v>84</v>
      </c>
      <c r="BS2288" s="3">
        <v>43790</v>
      </c>
      <c r="BT2288" s="5">
        <v>0.42569444444444443</v>
      </c>
      <c r="BU2288" t="s">
        <v>2542</v>
      </c>
      <c r="BV2288" t="s">
        <v>86</v>
      </c>
      <c r="BY2288">
        <v>1200</v>
      </c>
      <c r="CA2288" t="s">
        <v>224</v>
      </c>
      <c r="CC2288" t="s">
        <v>177</v>
      </c>
      <c r="CD2288">
        <v>3610</v>
      </c>
      <c r="CE2288" t="s">
        <v>147</v>
      </c>
      <c r="CF2288" s="3">
        <v>43791</v>
      </c>
      <c r="CI2288">
        <v>1</v>
      </c>
      <c r="CJ2288">
        <v>1</v>
      </c>
      <c r="CK2288">
        <v>21</v>
      </c>
      <c r="CL2288" t="s">
        <v>89</v>
      </c>
    </row>
    <row r="2289" spans="1:90">
      <c r="A2289" t="s">
        <v>72</v>
      </c>
      <c r="B2289" t="s">
        <v>73</v>
      </c>
      <c r="C2289" t="s">
        <v>74</v>
      </c>
      <c r="E2289" t="str">
        <f>"FES1162724070"</f>
        <v>FES1162724070</v>
      </c>
      <c r="F2289" s="3">
        <v>43789</v>
      </c>
      <c r="G2289">
        <v>202005</v>
      </c>
      <c r="H2289" t="s">
        <v>75</v>
      </c>
      <c r="I2289" t="s">
        <v>76</v>
      </c>
      <c r="J2289" t="s">
        <v>77</v>
      </c>
      <c r="K2289" t="s">
        <v>78</v>
      </c>
      <c r="L2289" t="s">
        <v>118</v>
      </c>
      <c r="M2289" t="s">
        <v>119</v>
      </c>
      <c r="N2289" t="s">
        <v>120</v>
      </c>
      <c r="O2289" t="s">
        <v>82</v>
      </c>
      <c r="P2289" t="str">
        <f>"217078030                     "</f>
        <v xml:space="preserve">217078030 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10.73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2.2000000000000002</v>
      </c>
      <c r="BJ2289">
        <v>0.9</v>
      </c>
      <c r="BK2289">
        <v>2.5</v>
      </c>
      <c r="BL2289" s="4">
        <v>63.06</v>
      </c>
      <c r="BM2289" s="4">
        <v>9.4600000000000009</v>
      </c>
      <c r="BN2289" s="4">
        <v>72.52</v>
      </c>
      <c r="BO2289" s="4">
        <v>72.52</v>
      </c>
      <c r="BQ2289" t="s">
        <v>121</v>
      </c>
      <c r="BR2289" t="s">
        <v>84</v>
      </c>
      <c r="BS2289" s="3">
        <v>43790</v>
      </c>
      <c r="BT2289" s="5">
        <v>0.41250000000000003</v>
      </c>
      <c r="BU2289" t="s">
        <v>623</v>
      </c>
      <c r="BV2289" t="s">
        <v>86</v>
      </c>
      <c r="BY2289">
        <v>4696.74</v>
      </c>
      <c r="CA2289" t="s">
        <v>435</v>
      </c>
      <c r="CC2289" t="s">
        <v>119</v>
      </c>
      <c r="CD2289">
        <v>3201</v>
      </c>
      <c r="CE2289" t="s">
        <v>88</v>
      </c>
      <c r="CF2289" s="3">
        <v>43791</v>
      </c>
      <c r="CI2289">
        <v>1</v>
      </c>
      <c r="CJ2289">
        <v>1</v>
      </c>
      <c r="CK2289">
        <v>21</v>
      </c>
      <c r="CL2289" t="s">
        <v>89</v>
      </c>
    </row>
    <row r="2290" spans="1:90">
      <c r="A2290" t="s">
        <v>72</v>
      </c>
      <c r="B2290" t="s">
        <v>73</v>
      </c>
      <c r="C2290" t="s">
        <v>74</v>
      </c>
      <c r="E2290" t="str">
        <f>"FES1162724030"</f>
        <v>FES1162724030</v>
      </c>
      <c r="F2290" s="3">
        <v>43789</v>
      </c>
      <c r="G2290">
        <v>202005</v>
      </c>
      <c r="H2290" t="s">
        <v>75</v>
      </c>
      <c r="I2290" t="s">
        <v>76</v>
      </c>
      <c r="J2290" t="s">
        <v>77</v>
      </c>
      <c r="K2290" t="s">
        <v>78</v>
      </c>
      <c r="L2290" t="s">
        <v>90</v>
      </c>
      <c r="M2290" t="s">
        <v>91</v>
      </c>
      <c r="N2290" t="s">
        <v>401</v>
      </c>
      <c r="O2290" t="s">
        <v>82</v>
      </c>
      <c r="P2290" t="str">
        <f>"21707181017                   "</f>
        <v xml:space="preserve">21707181017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8.58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 s="4">
        <v>50.45</v>
      </c>
      <c r="BM2290" s="4">
        <v>7.57</v>
      </c>
      <c r="BN2290" s="4">
        <v>58.02</v>
      </c>
      <c r="BO2290" s="4">
        <v>58.02</v>
      </c>
      <c r="BQ2290" t="s">
        <v>109</v>
      </c>
      <c r="BR2290" t="s">
        <v>84</v>
      </c>
      <c r="BS2290" s="3">
        <v>43790</v>
      </c>
      <c r="BT2290" s="5">
        <v>0.34236111111111112</v>
      </c>
      <c r="BU2290" t="s">
        <v>402</v>
      </c>
      <c r="BV2290" t="s">
        <v>86</v>
      </c>
      <c r="BY2290">
        <v>1200</v>
      </c>
      <c r="CA2290" t="s">
        <v>221</v>
      </c>
      <c r="CC2290" t="s">
        <v>91</v>
      </c>
      <c r="CD2290">
        <v>7441</v>
      </c>
      <c r="CE2290" t="s">
        <v>147</v>
      </c>
      <c r="CF2290" s="3">
        <v>43791</v>
      </c>
      <c r="CI2290">
        <v>1</v>
      </c>
      <c r="CJ2290">
        <v>1</v>
      </c>
      <c r="CK2290">
        <v>21</v>
      </c>
      <c r="CL2290" t="s">
        <v>89</v>
      </c>
    </row>
    <row r="2291" spans="1:90">
      <c r="A2291" t="s">
        <v>72</v>
      </c>
      <c r="B2291" t="s">
        <v>73</v>
      </c>
      <c r="C2291" t="s">
        <v>74</v>
      </c>
      <c r="E2291" t="str">
        <f>"FES1162724015"</f>
        <v>FES1162724015</v>
      </c>
      <c r="F2291" s="3">
        <v>43789</v>
      </c>
      <c r="G2291">
        <v>202005</v>
      </c>
      <c r="H2291" t="s">
        <v>75</v>
      </c>
      <c r="I2291" t="s">
        <v>76</v>
      </c>
      <c r="J2291" t="s">
        <v>77</v>
      </c>
      <c r="K2291" t="s">
        <v>78</v>
      </c>
      <c r="L2291" t="s">
        <v>552</v>
      </c>
      <c r="M2291" t="s">
        <v>553</v>
      </c>
      <c r="N2291" t="s">
        <v>2543</v>
      </c>
      <c r="O2291" t="s">
        <v>82</v>
      </c>
      <c r="P2291" t="str">
        <f>"2170718000                    "</f>
        <v xml:space="preserve">2170718000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6.71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 s="4">
        <v>39.42</v>
      </c>
      <c r="BM2291" s="4">
        <v>5.91</v>
      </c>
      <c r="BN2291" s="4">
        <v>45.33</v>
      </c>
      <c r="BO2291" s="4">
        <v>45.33</v>
      </c>
      <c r="BQ2291" t="s">
        <v>109</v>
      </c>
      <c r="BR2291" t="s">
        <v>84</v>
      </c>
      <c r="BS2291" s="3">
        <v>43790</v>
      </c>
      <c r="BT2291" s="5">
        <v>0.34791666666666665</v>
      </c>
      <c r="BU2291" t="s">
        <v>2544</v>
      </c>
      <c r="BV2291" t="s">
        <v>86</v>
      </c>
      <c r="BY2291">
        <v>1200</v>
      </c>
      <c r="CA2291" t="s">
        <v>734</v>
      </c>
      <c r="CC2291" t="s">
        <v>553</v>
      </c>
      <c r="CD2291">
        <v>1540</v>
      </c>
      <c r="CE2291" t="s">
        <v>147</v>
      </c>
      <c r="CF2291" s="3">
        <v>43791</v>
      </c>
      <c r="CI2291">
        <v>1</v>
      </c>
      <c r="CJ2291">
        <v>1</v>
      </c>
      <c r="CK2291">
        <v>22</v>
      </c>
      <c r="CL2291" t="s">
        <v>89</v>
      </c>
    </row>
    <row r="2292" spans="1:90">
      <c r="A2292" t="s">
        <v>72</v>
      </c>
      <c r="B2292" t="s">
        <v>73</v>
      </c>
      <c r="C2292" t="s">
        <v>74</v>
      </c>
      <c r="E2292" t="str">
        <f>"FES1162724061"</f>
        <v>FES1162724061</v>
      </c>
      <c r="F2292" s="3">
        <v>43789</v>
      </c>
      <c r="G2292">
        <v>202005</v>
      </c>
      <c r="H2292" t="s">
        <v>75</v>
      </c>
      <c r="I2292" t="s">
        <v>76</v>
      </c>
      <c r="J2292" t="s">
        <v>77</v>
      </c>
      <c r="K2292" t="s">
        <v>78</v>
      </c>
      <c r="L2292" t="s">
        <v>124</v>
      </c>
      <c r="M2292" t="s">
        <v>125</v>
      </c>
      <c r="N2292" t="s">
        <v>218</v>
      </c>
      <c r="O2292" t="s">
        <v>82</v>
      </c>
      <c r="P2292" t="str">
        <f>"2170718027                    "</f>
        <v xml:space="preserve">2170718027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6.71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 s="4">
        <v>39.42</v>
      </c>
      <c r="BM2292" s="4">
        <v>5.91</v>
      </c>
      <c r="BN2292" s="4">
        <v>45.33</v>
      </c>
      <c r="BO2292" s="4">
        <v>45.33</v>
      </c>
      <c r="BQ2292" t="s">
        <v>121</v>
      </c>
      <c r="BR2292" t="s">
        <v>84</v>
      </c>
      <c r="BS2292" s="3">
        <v>43790</v>
      </c>
      <c r="BT2292" s="5">
        <v>0.35416666666666669</v>
      </c>
      <c r="BU2292" t="s">
        <v>2545</v>
      </c>
      <c r="BV2292" t="s">
        <v>86</v>
      </c>
      <c r="BY2292">
        <v>1200</v>
      </c>
      <c r="CC2292" t="s">
        <v>125</v>
      </c>
      <c r="CD2292">
        <v>2094</v>
      </c>
      <c r="CE2292" t="s">
        <v>147</v>
      </c>
      <c r="CF2292" s="3">
        <v>43791</v>
      </c>
      <c r="CI2292">
        <v>1</v>
      </c>
      <c r="CJ2292">
        <v>1</v>
      </c>
      <c r="CK2292">
        <v>22</v>
      </c>
      <c r="CL2292" t="s">
        <v>89</v>
      </c>
    </row>
    <row r="2293" spans="1:90">
      <c r="A2293" t="s">
        <v>72</v>
      </c>
      <c r="B2293" t="s">
        <v>73</v>
      </c>
      <c r="C2293" t="s">
        <v>74</v>
      </c>
      <c r="E2293" t="str">
        <f>"FES1162724073"</f>
        <v>FES1162724073</v>
      </c>
      <c r="F2293" s="3">
        <v>43789</v>
      </c>
      <c r="G2293">
        <v>202005</v>
      </c>
      <c r="H2293" t="s">
        <v>75</v>
      </c>
      <c r="I2293" t="s">
        <v>76</v>
      </c>
      <c r="J2293" t="s">
        <v>77</v>
      </c>
      <c r="K2293" t="s">
        <v>78</v>
      </c>
      <c r="L2293" t="s">
        <v>133</v>
      </c>
      <c r="M2293" t="s">
        <v>134</v>
      </c>
      <c r="N2293" t="s">
        <v>310</v>
      </c>
      <c r="O2293" t="s">
        <v>82</v>
      </c>
      <c r="P2293" t="str">
        <f>"2170718038                    "</f>
        <v xml:space="preserve">2170718038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8.58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 s="4">
        <v>50.45</v>
      </c>
      <c r="BM2293" s="4">
        <v>7.57</v>
      </c>
      <c r="BN2293" s="4">
        <v>58.02</v>
      </c>
      <c r="BO2293" s="4">
        <v>58.02</v>
      </c>
      <c r="BQ2293" t="s">
        <v>121</v>
      </c>
      <c r="BR2293" t="s">
        <v>84</v>
      </c>
      <c r="BS2293" s="3">
        <v>43790</v>
      </c>
      <c r="BT2293" s="5">
        <v>0.38541666666666669</v>
      </c>
      <c r="BU2293" t="s">
        <v>1108</v>
      </c>
      <c r="BV2293" t="s">
        <v>86</v>
      </c>
      <c r="BY2293">
        <v>1200</v>
      </c>
      <c r="CA2293" t="s">
        <v>912</v>
      </c>
      <c r="CC2293" t="s">
        <v>134</v>
      </c>
      <c r="CD2293">
        <v>5201</v>
      </c>
      <c r="CE2293" t="s">
        <v>147</v>
      </c>
      <c r="CF2293" s="3">
        <v>43791</v>
      </c>
      <c r="CI2293">
        <v>1</v>
      </c>
      <c r="CJ2293">
        <v>1</v>
      </c>
      <c r="CK2293">
        <v>21</v>
      </c>
      <c r="CL2293" t="s">
        <v>89</v>
      </c>
    </row>
    <row r="2294" spans="1:90">
      <c r="A2294" t="s">
        <v>72</v>
      </c>
      <c r="B2294" t="s">
        <v>73</v>
      </c>
      <c r="C2294" t="s">
        <v>74</v>
      </c>
      <c r="E2294" t="str">
        <f>"FES1162723504"</f>
        <v>FES1162723504</v>
      </c>
      <c r="F2294" s="3">
        <v>43789</v>
      </c>
      <c r="G2294">
        <v>202005</v>
      </c>
      <c r="H2294" t="s">
        <v>75</v>
      </c>
      <c r="I2294" t="s">
        <v>76</v>
      </c>
      <c r="J2294" t="s">
        <v>77</v>
      </c>
      <c r="K2294" t="s">
        <v>78</v>
      </c>
      <c r="L2294" t="s">
        <v>90</v>
      </c>
      <c r="M2294" t="s">
        <v>91</v>
      </c>
      <c r="N2294" t="s">
        <v>393</v>
      </c>
      <c r="O2294" t="s">
        <v>82</v>
      </c>
      <c r="P2294" t="str">
        <f>"2170717452                    "</f>
        <v xml:space="preserve">2170717452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15.02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3.4</v>
      </c>
      <c r="BJ2294">
        <v>2</v>
      </c>
      <c r="BK2294">
        <v>3.5</v>
      </c>
      <c r="BL2294" s="4">
        <v>88.27</v>
      </c>
      <c r="BM2294" s="4">
        <v>13.24</v>
      </c>
      <c r="BN2294" s="4">
        <v>101.51</v>
      </c>
      <c r="BO2294" s="4">
        <v>101.51</v>
      </c>
      <c r="BQ2294" t="s">
        <v>1630</v>
      </c>
      <c r="BR2294" t="s">
        <v>84</v>
      </c>
      <c r="BS2294" s="3">
        <v>43791</v>
      </c>
      <c r="BT2294" s="5">
        <v>0.30416666666666664</v>
      </c>
      <c r="BU2294" t="s">
        <v>2033</v>
      </c>
      <c r="BV2294" t="s">
        <v>89</v>
      </c>
      <c r="BW2294" t="s">
        <v>364</v>
      </c>
      <c r="BX2294" t="s">
        <v>365</v>
      </c>
      <c r="BY2294">
        <v>10054.61</v>
      </c>
      <c r="CA2294" t="s">
        <v>221</v>
      </c>
      <c r="CC2294" t="s">
        <v>91</v>
      </c>
      <c r="CD2294">
        <v>7405</v>
      </c>
      <c r="CE2294" t="s">
        <v>88</v>
      </c>
      <c r="CF2294" s="3">
        <v>43794</v>
      </c>
      <c r="CI2294">
        <v>1</v>
      </c>
      <c r="CJ2294">
        <v>2</v>
      </c>
      <c r="CK2294">
        <v>21</v>
      </c>
      <c r="CL2294" t="s">
        <v>89</v>
      </c>
    </row>
    <row r="2295" spans="1:90">
      <c r="A2295" t="s">
        <v>72</v>
      </c>
      <c r="B2295" t="s">
        <v>73</v>
      </c>
      <c r="C2295" t="s">
        <v>74</v>
      </c>
      <c r="E2295" t="str">
        <f>"FES1162723952"</f>
        <v>FES1162723952</v>
      </c>
      <c r="F2295" s="3">
        <v>43789</v>
      </c>
      <c r="G2295">
        <v>202005</v>
      </c>
      <c r="H2295" t="s">
        <v>75</v>
      </c>
      <c r="I2295" t="s">
        <v>76</v>
      </c>
      <c r="J2295" t="s">
        <v>77</v>
      </c>
      <c r="K2295" t="s">
        <v>78</v>
      </c>
      <c r="L2295" t="s">
        <v>917</v>
      </c>
      <c r="M2295" t="s">
        <v>918</v>
      </c>
      <c r="N2295" t="s">
        <v>2546</v>
      </c>
      <c r="O2295" t="s">
        <v>82</v>
      </c>
      <c r="P2295" t="str">
        <f>"2170717929                    "</f>
        <v xml:space="preserve">2170717929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12.07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1.2</v>
      </c>
      <c r="BJ2295">
        <v>2</v>
      </c>
      <c r="BK2295">
        <v>2</v>
      </c>
      <c r="BL2295" s="4">
        <v>70.95</v>
      </c>
      <c r="BM2295" s="4">
        <v>10.64</v>
      </c>
      <c r="BN2295" s="4">
        <v>81.59</v>
      </c>
      <c r="BO2295" s="4">
        <v>81.59</v>
      </c>
      <c r="BQ2295" t="s">
        <v>121</v>
      </c>
      <c r="BR2295" t="s">
        <v>84</v>
      </c>
      <c r="BS2295" s="3">
        <v>43790</v>
      </c>
      <c r="BT2295" s="5">
        <v>0.33333333333333331</v>
      </c>
      <c r="BU2295" t="s">
        <v>2547</v>
      </c>
      <c r="BV2295" t="s">
        <v>86</v>
      </c>
      <c r="BY2295">
        <v>10036.82</v>
      </c>
      <c r="CC2295" t="s">
        <v>918</v>
      </c>
      <c r="CD2295">
        <v>2210</v>
      </c>
      <c r="CE2295" t="s">
        <v>88</v>
      </c>
      <c r="CF2295" s="3">
        <v>43791</v>
      </c>
      <c r="CI2295">
        <v>1</v>
      </c>
      <c r="CJ2295">
        <v>1</v>
      </c>
      <c r="CK2295">
        <v>24</v>
      </c>
      <c r="CL2295" t="s">
        <v>89</v>
      </c>
    </row>
    <row r="2296" spans="1:90">
      <c r="A2296" t="s">
        <v>72</v>
      </c>
      <c r="B2296" t="s">
        <v>73</v>
      </c>
      <c r="C2296" t="s">
        <v>74</v>
      </c>
      <c r="E2296" t="str">
        <f>"FES1162723982"</f>
        <v>FES1162723982</v>
      </c>
      <c r="F2296" s="3">
        <v>43789</v>
      </c>
      <c r="G2296">
        <v>202005</v>
      </c>
      <c r="H2296" t="s">
        <v>75</v>
      </c>
      <c r="I2296" t="s">
        <v>76</v>
      </c>
      <c r="J2296" t="s">
        <v>77</v>
      </c>
      <c r="K2296" t="s">
        <v>78</v>
      </c>
      <c r="L2296" t="s">
        <v>75</v>
      </c>
      <c r="M2296" t="s">
        <v>76</v>
      </c>
      <c r="N2296" t="s">
        <v>942</v>
      </c>
      <c r="O2296" t="s">
        <v>82</v>
      </c>
      <c r="P2296" t="str">
        <f>"2170717956                    "</f>
        <v xml:space="preserve">2170717956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7.51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0.9</v>
      </c>
      <c r="BJ2296">
        <v>2.2000000000000002</v>
      </c>
      <c r="BK2296">
        <v>2.5</v>
      </c>
      <c r="BL2296" s="4">
        <v>44.14</v>
      </c>
      <c r="BM2296" s="4">
        <v>6.62</v>
      </c>
      <c r="BN2296" s="4">
        <v>50.76</v>
      </c>
      <c r="BO2296" s="4">
        <v>50.76</v>
      </c>
      <c r="BQ2296" t="s">
        <v>121</v>
      </c>
      <c r="BR2296" t="s">
        <v>84</v>
      </c>
      <c r="BS2296" s="3">
        <v>43790</v>
      </c>
      <c r="BT2296" s="5">
        <v>0.3743055555555555</v>
      </c>
      <c r="BU2296" t="s">
        <v>1831</v>
      </c>
      <c r="BV2296" t="s">
        <v>86</v>
      </c>
      <c r="BY2296">
        <v>11160.76</v>
      </c>
      <c r="CA2296" t="s">
        <v>198</v>
      </c>
      <c r="CC2296" t="s">
        <v>76</v>
      </c>
      <c r="CD2296">
        <v>1619</v>
      </c>
      <c r="CE2296" t="s">
        <v>88</v>
      </c>
      <c r="CF2296" s="3">
        <v>43791</v>
      </c>
      <c r="CI2296">
        <v>1</v>
      </c>
      <c r="CJ2296">
        <v>1</v>
      </c>
      <c r="CK2296">
        <v>22</v>
      </c>
      <c r="CL2296" t="s">
        <v>89</v>
      </c>
    </row>
    <row r="2297" spans="1:90">
      <c r="A2297" t="s">
        <v>72</v>
      </c>
      <c r="B2297" t="s">
        <v>73</v>
      </c>
      <c r="C2297" t="s">
        <v>74</v>
      </c>
      <c r="E2297" t="str">
        <f>"FES1162724053"</f>
        <v>FES1162724053</v>
      </c>
      <c r="F2297" s="3">
        <v>43789</v>
      </c>
      <c r="G2297">
        <v>202005</v>
      </c>
      <c r="H2297" t="s">
        <v>75</v>
      </c>
      <c r="I2297" t="s">
        <v>76</v>
      </c>
      <c r="J2297" t="s">
        <v>77</v>
      </c>
      <c r="K2297" t="s">
        <v>78</v>
      </c>
      <c r="L2297" t="s">
        <v>90</v>
      </c>
      <c r="M2297" t="s">
        <v>91</v>
      </c>
      <c r="N2297" t="s">
        <v>527</v>
      </c>
      <c r="O2297" t="s">
        <v>82</v>
      </c>
      <c r="P2297" t="str">
        <f>"2170716529                    "</f>
        <v xml:space="preserve">2170716529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8.58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0.2</v>
      </c>
      <c r="BJ2297">
        <v>1.1000000000000001</v>
      </c>
      <c r="BK2297">
        <v>1.5</v>
      </c>
      <c r="BL2297" s="4">
        <v>50.45</v>
      </c>
      <c r="BM2297" s="4">
        <v>7.57</v>
      </c>
      <c r="BN2297" s="4">
        <v>58.02</v>
      </c>
      <c r="BO2297" s="4">
        <v>58.02</v>
      </c>
      <c r="BQ2297" t="s">
        <v>109</v>
      </c>
      <c r="BR2297" t="s">
        <v>84</v>
      </c>
      <c r="BS2297" s="3">
        <v>43790</v>
      </c>
      <c r="BT2297" s="5">
        <v>0.32569444444444445</v>
      </c>
      <c r="BU2297" t="s">
        <v>2548</v>
      </c>
      <c r="BV2297" t="s">
        <v>86</v>
      </c>
      <c r="BY2297">
        <v>5290.74</v>
      </c>
      <c r="CA2297" t="s">
        <v>221</v>
      </c>
      <c r="CC2297" t="s">
        <v>91</v>
      </c>
      <c r="CD2297">
        <v>7405</v>
      </c>
      <c r="CE2297" t="s">
        <v>88</v>
      </c>
      <c r="CF2297" s="3">
        <v>43791</v>
      </c>
      <c r="CI2297">
        <v>1</v>
      </c>
      <c r="CJ2297">
        <v>1</v>
      </c>
      <c r="CK2297">
        <v>21</v>
      </c>
      <c r="CL2297" t="s">
        <v>89</v>
      </c>
    </row>
    <row r="2298" spans="1:90">
      <c r="A2298" t="s">
        <v>72</v>
      </c>
      <c r="B2298" t="s">
        <v>73</v>
      </c>
      <c r="C2298" t="s">
        <v>74</v>
      </c>
      <c r="E2298" t="str">
        <f>"FES1162724044"</f>
        <v>FES1162724044</v>
      </c>
      <c r="F2298" s="3">
        <v>43789</v>
      </c>
      <c r="G2298">
        <v>202005</v>
      </c>
      <c r="H2298" t="s">
        <v>75</v>
      </c>
      <c r="I2298" t="s">
        <v>76</v>
      </c>
      <c r="J2298" t="s">
        <v>77</v>
      </c>
      <c r="K2298" t="s">
        <v>78</v>
      </c>
      <c r="L2298" t="s">
        <v>891</v>
      </c>
      <c r="M2298" t="s">
        <v>892</v>
      </c>
      <c r="N2298" t="s">
        <v>893</v>
      </c>
      <c r="O2298" t="s">
        <v>82</v>
      </c>
      <c r="P2298" t="str">
        <f>"2170714947                    "</f>
        <v xml:space="preserve">2170714947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35.409999999999997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2.1</v>
      </c>
      <c r="BJ2298">
        <v>4.3</v>
      </c>
      <c r="BK2298">
        <v>4.5</v>
      </c>
      <c r="BL2298" s="4">
        <v>208.13</v>
      </c>
      <c r="BM2298" s="4">
        <v>31.22</v>
      </c>
      <c r="BN2298" s="4">
        <v>239.35</v>
      </c>
      <c r="BO2298" s="4">
        <v>239.35</v>
      </c>
      <c r="BQ2298" t="s">
        <v>121</v>
      </c>
      <c r="BR2298" t="s">
        <v>84</v>
      </c>
      <c r="BS2298" s="3">
        <v>43790</v>
      </c>
      <c r="BT2298" s="5">
        <v>0.46875</v>
      </c>
      <c r="BU2298" t="s">
        <v>593</v>
      </c>
      <c r="BV2298" t="s">
        <v>86</v>
      </c>
      <c r="BY2298">
        <v>21735.94</v>
      </c>
      <c r="CA2298" t="s">
        <v>217</v>
      </c>
      <c r="CC2298" t="s">
        <v>892</v>
      </c>
      <c r="CD2298">
        <v>7654</v>
      </c>
      <c r="CE2298" t="s">
        <v>88</v>
      </c>
      <c r="CF2298" s="3">
        <v>43791</v>
      </c>
      <c r="CI2298">
        <v>1</v>
      </c>
      <c r="CJ2298">
        <v>1</v>
      </c>
      <c r="CK2298">
        <v>23</v>
      </c>
      <c r="CL2298" t="s">
        <v>89</v>
      </c>
    </row>
    <row r="2299" spans="1:90">
      <c r="A2299" t="s">
        <v>72</v>
      </c>
      <c r="B2299" t="s">
        <v>73</v>
      </c>
      <c r="C2299" t="s">
        <v>74</v>
      </c>
      <c r="E2299" t="str">
        <f>"FES1162724005"</f>
        <v>FES1162724005</v>
      </c>
      <c r="F2299" s="3">
        <v>43789</v>
      </c>
      <c r="G2299">
        <v>202005</v>
      </c>
      <c r="H2299" t="s">
        <v>75</v>
      </c>
      <c r="I2299" t="s">
        <v>76</v>
      </c>
      <c r="J2299" t="s">
        <v>77</v>
      </c>
      <c r="K2299" t="s">
        <v>78</v>
      </c>
      <c r="L2299" t="s">
        <v>112</v>
      </c>
      <c r="M2299" t="s">
        <v>113</v>
      </c>
      <c r="N2299" t="s">
        <v>1678</v>
      </c>
      <c r="O2299" t="s">
        <v>82</v>
      </c>
      <c r="P2299" t="str">
        <f>"2170715437                    "</f>
        <v xml:space="preserve">2170715437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36.46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8.1999999999999993</v>
      </c>
      <c r="BJ2299">
        <v>4.5</v>
      </c>
      <c r="BK2299">
        <v>8.5</v>
      </c>
      <c r="BL2299" s="4">
        <v>214.31</v>
      </c>
      <c r="BM2299" s="4">
        <v>32.15</v>
      </c>
      <c r="BN2299" s="4">
        <v>246.46</v>
      </c>
      <c r="BO2299" s="4">
        <v>246.46</v>
      </c>
      <c r="BQ2299" t="s">
        <v>142</v>
      </c>
      <c r="BR2299" t="s">
        <v>84</v>
      </c>
      <c r="BS2299" s="3">
        <v>43790</v>
      </c>
      <c r="BT2299" s="5">
        <v>0.375</v>
      </c>
      <c r="BU2299" t="s">
        <v>2549</v>
      </c>
      <c r="BV2299" t="s">
        <v>86</v>
      </c>
      <c r="BY2299">
        <v>22701.05</v>
      </c>
      <c r="CA2299" t="s">
        <v>255</v>
      </c>
      <c r="CC2299" t="s">
        <v>113</v>
      </c>
      <c r="CD2299">
        <v>4068</v>
      </c>
      <c r="CE2299" t="s">
        <v>88</v>
      </c>
      <c r="CF2299" s="3">
        <v>43791</v>
      </c>
      <c r="CI2299">
        <v>1</v>
      </c>
      <c r="CJ2299">
        <v>1</v>
      </c>
      <c r="CK2299">
        <v>21</v>
      </c>
      <c r="CL2299" t="s">
        <v>89</v>
      </c>
    </row>
    <row r="2300" spans="1:90">
      <c r="A2300" t="s">
        <v>72</v>
      </c>
      <c r="B2300" t="s">
        <v>73</v>
      </c>
      <c r="C2300" t="s">
        <v>74</v>
      </c>
      <c r="E2300" t="str">
        <f>"FES1162723999"</f>
        <v>FES1162723999</v>
      </c>
      <c r="F2300" s="3">
        <v>43789</v>
      </c>
      <c r="G2300">
        <v>202005</v>
      </c>
      <c r="H2300" t="s">
        <v>75</v>
      </c>
      <c r="I2300" t="s">
        <v>76</v>
      </c>
      <c r="J2300" t="s">
        <v>77</v>
      </c>
      <c r="K2300" t="s">
        <v>78</v>
      </c>
      <c r="L2300" t="s">
        <v>1268</v>
      </c>
      <c r="M2300" t="s">
        <v>1269</v>
      </c>
      <c r="N2300" t="s">
        <v>1270</v>
      </c>
      <c r="O2300" t="s">
        <v>82</v>
      </c>
      <c r="P2300" t="str">
        <f>"2170713861                    "</f>
        <v xml:space="preserve">2170713861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12.87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</v>
      </c>
      <c r="BJ2300">
        <v>2.8</v>
      </c>
      <c r="BK2300">
        <v>3</v>
      </c>
      <c r="BL2300" s="4">
        <v>75.66</v>
      </c>
      <c r="BM2300" s="4">
        <v>11.35</v>
      </c>
      <c r="BN2300" s="4">
        <v>87.01</v>
      </c>
      <c r="BO2300" s="4">
        <v>87.01</v>
      </c>
      <c r="BQ2300" t="s">
        <v>109</v>
      </c>
      <c r="BR2300" t="s">
        <v>84</v>
      </c>
      <c r="BS2300" s="3">
        <v>43790</v>
      </c>
      <c r="BT2300" s="5">
        <v>0.46597222222222223</v>
      </c>
      <c r="BU2300" t="s">
        <v>2486</v>
      </c>
      <c r="BV2300" t="s">
        <v>86</v>
      </c>
      <c r="BY2300">
        <v>13790.88</v>
      </c>
      <c r="CA2300" t="s">
        <v>1215</v>
      </c>
      <c r="CC2300" t="s">
        <v>1269</v>
      </c>
      <c r="CD2300">
        <v>3290</v>
      </c>
      <c r="CE2300" t="s">
        <v>88</v>
      </c>
      <c r="CF2300" s="3">
        <v>43791</v>
      </c>
      <c r="CI2300">
        <v>1</v>
      </c>
      <c r="CJ2300">
        <v>1</v>
      </c>
      <c r="CK2300">
        <v>21</v>
      </c>
      <c r="CL2300" t="s">
        <v>89</v>
      </c>
    </row>
    <row r="2301" spans="1:90">
      <c r="A2301" t="s">
        <v>72</v>
      </c>
      <c r="B2301" t="s">
        <v>73</v>
      </c>
      <c r="C2301" t="s">
        <v>74</v>
      </c>
      <c r="E2301" t="str">
        <f>"FES1162724040"</f>
        <v>FES1162724040</v>
      </c>
      <c r="F2301" s="3">
        <v>43789</v>
      </c>
      <c r="G2301">
        <v>202005</v>
      </c>
      <c r="H2301" t="s">
        <v>75</v>
      </c>
      <c r="I2301" t="s">
        <v>76</v>
      </c>
      <c r="J2301" t="s">
        <v>77</v>
      </c>
      <c r="K2301" t="s">
        <v>78</v>
      </c>
      <c r="L2301" t="s">
        <v>214</v>
      </c>
      <c r="M2301" t="s">
        <v>214</v>
      </c>
      <c r="N2301" t="s">
        <v>314</v>
      </c>
      <c r="O2301" t="s">
        <v>82</v>
      </c>
      <c r="P2301" t="str">
        <f>"2170713902                    "</f>
        <v xml:space="preserve">2170713902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24.14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1.5</v>
      </c>
      <c r="BJ2301">
        <v>2.6</v>
      </c>
      <c r="BK2301">
        <v>3</v>
      </c>
      <c r="BL2301" s="4">
        <v>141.9</v>
      </c>
      <c r="BM2301" s="4">
        <v>21.29</v>
      </c>
      <c r="BN2301" s="4">
        <v>163.19</v>
      </c>
      <c r="BO2301" s="4">
        <v>163.19</v>
      </c>
      <c r="BQ2301" t="s">
        <v>109</v>
      </c>
      <c r="BR2301" t="s">
        <v>84</v>
      </c>
      <c r="BS2301" s="3">
        <v>43790</v>
      </c>
      <c r="BT2301" s="5">
        <v>0.42291666666666666</v>
      </c>
      <c r="BU2301" t="s">
        <v>315</v>
      </c>
      <c r="BV2301" t="s">
        <v>86</v>
      </c>
      <c r="BY2301">
        <v>12765.57</v>
      </c>
      <c r="CA2301" t="s">
        <v>217</v>
      </c>
      <c r="CC2301" t="s">
        <v>214</v>
      </c>
      <c r="CD2301">
        <v>7646</v>
      </c>
      <c r="CE2301" t="s">
        <v>88</v>
      </c>
      <c r="CF2301" s="3">
        <v>43791</v>
      </c>
      <c r="CI2301">
        <v>1</v>
      </c>
      <c r="CJ2301">
        <v>1</v>
      </c>
      <c r="CK2301">
        <v>23</v>
      </c>
      <c r="CL2301" t="s">
        <v>89</v>
      </c>
    </row>
    <row r="2302" spans="1:90">
      <c r="A2302" t="s">
        <v>72</v>
      </c>
      <c r="B2302" t="s">
        <v>73</v>
      </c>
      <c r="C2302" t="s">
        <v>74</v>
      </c>
      <c r="E2302" t="str">
        <f>"FES1162724021"</f>
        <v>FES1162724021</v>
      </c>
      <c r="F2302" s="3">
        <v>43789</v>
      </c>
      <c r="G2302">
        <v>202005</v>
      </c>
      <c r="H2302" t="s">
        <v>75</v>
      </c>
      <c r="I2302" t="s">
        <v>76</v>
      </c>
      <c r="J2302" t="s">
        <v>77</v>
      </c>
      <c r="K2302" t="s">
        <v>78</v>
      </c>
      <c r="L2302" t="s">
        <v>124</v>
      </c>
      <c r="M2302" t="s">
        <v>125</v>
      </c>
      <c r="N2302" t="s">
        <v>218</v>
      </c>
      <c r="O2302" t="s">
        <v>82</v>
      </c>
      <c r="P2302" t="str">
        <f>"2170718010                    "</f>
        <v xml:space="preserve">2170718010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8.31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2.9</v>
      </c>
      <c r="BJ2302">
        <v>1.3</v>
      </c>
      <c r="BK2302">
        <v>3</v>
      </c>
      <c r="BL2302" s="4">
        <v>48.86</v>
      </c>
      <c r="BM2302" s="4">
        <v>7.33</v>
      </c>
      <c r="BN2302" s="4">
        <v>56.19</v>
      </c>
      <c r="BO2302" s="4">
        <v>56.19</v>
      </c>
      <c r="BQ2302" t="s">
        <v>121</v>
      </c>
      <c r="BR2302" t="s">
        <v>84</v>
      </c>
      <c r="BS2302" s="3">
        <v>43790</v>
      </c>
      <c r="BT2302" s="5">
        <v>0.3576388888888889</v>
      </c>
      <c r="BU2302" t="s">
        <v>370</v>
      </c>
      <c r="BV2302" t="s">
        <v>86</v>
      </c>
      <c r="BY2302">
        <v>6336.54</v>
      </c>
      <c r="CC2302" t="s">
        <v>125</v>
      </c>
      <c r="CD2302">
        <v>2094</v>
      </c>
      <c r="CE2302" t="s">
        <v>88</v>
      </c>
      <c r="CF2302" s="3">
        <v>43791</v>
      </c>
      <c r="CI2302">
        <v>1</v>
      </c>
      <c r="CJ2302">
        <v>1</v>
      </c>
      <c r="CK2302">
        <v>22</v>
      </c>
      <c r="CL2302" t="s">
        <v>89</v>
      </c>
    </row>
    <row r="2303" spans="1:90">
      <c r="A2303" t="s">
        <v>72</v>
      </c>
      <c r="B2303" t="s">
        <v>73</v>
      </c>
      <c r="C2303" t="s">
        <v>74</v>
      </c>
      <c r="E2303" t="str">
        <f>"FES1162724052"</f>
        <v>FES1162724052</v>
      </c>
      <c r="F2303" s="3">
        <v>43789</v>
      </c>
      <c r="G2303">
        <v>202005</v>
      </c>
      <c r="H2303" t="s">
        <v>75</v>
      </c>
      <c r="I2303" t="s">
        <v>76</v>
      </c>
      <c r="J2303" t="s">
        <v>77</v>
      </c>
      <c r="K2303" t="s">
        <v>78</v>
      </c>
      <c r="L2303" t="s">
        <v>176</v>
      </c>
      <c r="M2303" t="s">
        <v>177</v>
      </c>
      <c r="N2303" t="s">
        <v>1136</v>
      </c>
      <c r="O2303" t="s">
        <v>82</v>
      </c>
      <c r="P2303" t="str">
        <f>"2170716018                    "</f>
        <v xml:space="preserve">2170716018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36.46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8.1999999999999993</v>
      </c>
      <c r="BJ2303">
        <v>3.3</v>
      </c>
      <c r="BK2303">
        <v>8.5</v>
      </c>
      <c r="BL2303" s="4">
        <v>214.31</v>
      </c>
      <c r="BM2303" s="4">
        <v>32.15</v>
      </c>
      <c r="BN2303" s="4">
        <v>246.46</v>
      </c>
      <c r="BO2303" s="4">
        <v>246.46</v>
      </c>
      <c r="BQ2303" t="s">
        <v>121</v>
      </c>
      <c r="BR2303" t="s">
        <v>84</v>
      </c>
      <c r="BS2303" s="3">
        <v>43790</v>
      </c>
      <c r="BT2303" s="5">
        <v>0.43055555555555558</v>
      </c>
      <c r="BU2303" t="s">
        <v>1137</v>
      </c>
      <c r="BV2303" t="s">
        <v>86</v>
      </c>
      <c r="BY2303">
        <v>16528.96</v>
      </c>
      <c r="CA2303" t="s">
        <v>180</v>
      </c>
      <c r="CC2303" t="s">
        <v>177</v>
      </c>
      <c r="CD2303">
        <v>3610</v>
      </c>
      <c r="CE2303" t="s">
        <v>88</v>
      </c>
      <c r="CF2303" s="3">
        <v>43791</v>
      </c>
      <c r="CI2303">
        <v>1</v>
      </c>
      <c r="CJ2303">
        <v>1</v>
      </c>
      <c r="CK2303">
        <v>21</v>
      </c>
      <c r="CL2303" t="s">
        <v>89</v>
      </c>
    </row>
    <row r="2304" spans="1:90">
      <c r="A2304" t="s">
        <v>72</v>
      </c>
      <c r="B2304" t="s">
        <v>73</v>
      </c>
      <c r="C2304" t="s">
        <v>74</v>
      </c>
      <c r="E2304" t="str">
        <f>"FES1162724000"</f>
        <v>FES1162724000</v>
      </c>
      <c r="F2304" s="3">
        <v>43789</v>
      </c>
      <c r="G2304">
        <v>202005</v>
      </c>
      <c r="H2304" t="s">
        <v>75</v>
      </c>
      <c r="I2304" t="s">
        <v>76</v>
      </c>
      <c r="J2304" t="s">
        <v>77</v>
      </c>
      <c r="K2304" t="s">
        <v>78</v>
      </c>
      <c r="L2304" t="s">
        <v>451</v>
      </c>
      <c r="M2304" t="s">
        <v>452</v>
      </c>
      <c r="N2304" t="s">
        <v>453</v>
      </c>
      <c r="O2304" t="s">
        <v>82</v>
      </c>
      <c r="P2304" t="str">
        <f>"2170713952                    "</f>
        <v xml:space="preserve">2170713952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23.59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5.3</v>
      </c>
      <c r="BJ2304">
        <v>2.8</v>
      </c>
      <c r="BK2304">
        <v>5.5</v>
      </c>
      <c r="BL2304" s="4">
        <v>138.68</v>
      </c>
      <c r="BM2304" s="4">
        <v>20.8</v>
      </c>
      <c r="BN2304" s="4">
        <v>159.47999999999999</v>
      </c>
      <c r="BO2304" s="4">
        <v>159.47999999999999</v>
      </c>
      <c r="BQ2304" t="s">
        <v>109</v>
      </c>
      <c r="BR2304" t="s">
        <v>84</v>
      </c>
      <c r="BS2304" s="3">
        <v>43790</v>
      </c>
      <c r="BT2304" s="5">
        <v>0.4861111111111111</v>
      </c>
      <c r="BU2304" t="s">
        <v>2550</v>
      </c>
      <c r="BV2304" t="s">
        <v>86</v>
      </c>
      <c r="BY2304">
        <v>14183.42</v>
      </c>
      <c r="CA2304" t="s">
        <v>455</v>
      </c>
      <c r="CC2304" t="s">
        <v>452</v>
      </c>
      <c r="CD2304">
        <v>3310</v>
      </c>
      <c r="CE2304" t="s">
        <v>88</v>
      </c>
      <c r="CF2304" s="3">
        <v>43791</v>
      </c>
      <c r="CI2304">
        <v>1</v>
      </c>
      <c r="CJ2304">
        <v>1</v>
      </c>
      <c r="CK2304">
        <v>21</v>
      </c>
      <c r="CL2304" t="s">
        <v>89</v>
      </c>
    </row>
    <row r="2305" spans="1:90">
      <c r="A2305" t="s">
        <v>72</v>
      </c>
      <c r="B2305" t="s">
        <v>73</v>
      </c>
      <c r="C2305" t="s">
        <v>74</v>
      </c>
      <c r="E2305" t="str">
        <f>"FES1162724058"</f>
        <v>FES1162724058</v>
      </c>
      <c r="F2305" s="3">
        <v>43789</v>
      </c>
      <c r="G2305">
        <v>202005</v>
      </c>
      <c r="H2305" t="s">
        <v>75</v>
      </c>
      <c r="I2305" t="s">
        <v>76</v>
      </c>
      <c r="J2305" t="s">
        <v>77</v>
      </c>
      <c r="K2305" t="s">
        <v>78</v>
      </c>
      <c r="L2305" t="s">
        <v>124</v>
      </c>
      <c r="M2305" t="s">
        <v>125</v>
      </c>
      <c r="N2305" t="s">
        <v>218</v>
      </c>
      <c r="O2305" t="s">
        <v>82</v>
      </c>
      <c r="P2305" t="str">
        <f>"2170718023                    "</f>
        <v xml:space="preserve">2170718023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7.51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2.2999999999999998</v>
      </c>
      <c r="BJ2305">
        <v>0.9</v>
      </c>
      <c r="BK2305">
        <v>2.5</v>
      </c>
      <c r="BL2305" s="4">
        <v>44.14</v>
      </c>
      <c r="BM2305" s="4">
        <v>6.62</v>
      </c>
      <c r="BN2305" s="4">
        <v>50.76</v>
      </c>
      <c r="BO2305" s="4">
        <v>50.76</v>
      </c>
      <c r="BQ2305" t="s">
        <v>121</v>
      </c>
      <c r="BR2305" t="s">
        <v>84</v>
      </c>
      <c r="BS2305" s="3">
        <v>43790</v>
      </c>
      <c r="BT2305" s="5">
        <v>0.35902777777777778</v>
      </c>
      <c r="BU2305" t="s">
        <v>2551</v>
      </c>
      <c r="BV2305" t="s">
        <v>86</v>
      </c>
      <c r="BY2305">
        <v>4392.84</v>
      </c>
      <c r="CC2305" t="s">
        <v>125</v>
      </c>
      <c r="CD2305">
        <v>2094</v>
      </c>
      <c r="CE2305" t="s">
        <v>88</v>
      </c>
      <c r="CF2305" s="3">
        <v>43791</v>
      </c>
      <c r="CI2305">
        <v>1</v>
      </c>
      <c r="CJ2305">
        <v>1</v>
      </c>
      <c r="CK2305">
        <v>22</v>
      </c>
      <c r="CL2305" t="s">
        <v>89</v>
      </c>
    </row>
    <row r="2306" spans="1:90">
      <c r="A2306" t="s">
        <v>72</v>
      </c>
      <c r="B2306" t="s">
        <v>73</v>
      </c>
      <c r="C2306" t="s">
        <v>74</v>
      </c>
      <c r="E2306" t="str">
        <f>"FES1162724045"</f>
        <v>FES1162724045</v>
      </c>
      <c r="F2306" s="3">
        <v>43789</v>
      </c>
      <c r="G2306">
        <v>202005</v>
      </c>
      <c r="H2306" t="s">
        <v>75</v>
      </c>
      <c r="I2306" t="s">
        <v>76</v>
      </c>
      <c r="J2306" t="s">
        <v>77</v>
      </c>
      <c r="K2306" t="s">
        <v>78</v>
      </c>
      <c r="L2306" t="s">
        <v>106</v>
      </c>
      <c r="M2306" t="s">
        <v>107</v>
      </c>
      <c r="N2306" t="s">
        <v>128</v>
      </c>
      <c r="O2306" t="s">
        <v>82</v>
      </c>
      <c r="P2306" t="str">
        <f>"2170715014                    "</f>
        <v xml:space="preserve">2170715014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30.03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6.7</v>
      </c>
      <c r="BJ2306">
        <v>2.7</v>
      </c>
      <c r="BK2306">
        <v>7</v>
      </c>
      <c r="BL2306" s="4">
        <v>176.5</v>
      </c>
      <c r="BM2306" s="4">
        <v>26.48</v>
      </c>
      <c r="BN2306" s="4">
        <v>202.98</v>
      </c>
      <c r="BO2306" s="4">
        <v>202.98</v>
      </c>
      <c r="BQ2306" t="s">
        <v>121</v>
      </c>
      <c r="BR2306" t="s">
        <v>84</v>
      </c>
      <c r="BS2306" s="3">
        <v>43790</v>
      </c>
      <c r="BT2306" s="5">
        <v>0.32847222222222222</v>
      </c>
      <c r="BU2306" t="s">
        <v>714</v>
      </c>
      <c r="BV2306" t="s">
        <v>86</v>
      </c>
      <c r="BY2306">
        <v>13722.56</v>
      </c>
      <c r="CA2306" t="s">
        <v>87</v>
      </c>
      <c r="CC2306" t="s">
        <v>107</v>
      </c>
      <c r="CD2306">
        <v>6001</v>
      </c>
      <c r="CE2306" t="s">
        <v>88</v>
      </c>
      <c r="CF2306" s="3">
        <v>43791</v>
      </c>
      <c r="CI2306">
        <v>1</v>
      </c>
      <c r="CJ2306">
        <v>1</v>
      </c>
      <c r="CK2306">
        <v>21</v>
      </c>
      <c r="CL2306" t="s">
        <v>89</v>
      </c>
    </row>
    <row r="2307" spans="1:90">
      <c r="A2307" t="s">
        <v>72</v>
      </c>
      <c r="B2307" t="s">
        <v>73</v>
      </c>
      <c r="C2307" t="s">
        <v>74</v>
      </c>
      <c r="E2307" t="str">
        <f>"FES1162724047"</f>
        <v>FES1162724047</v>
      </c>
      <c r="F2307" s="3">
        <v>43789</v>
      </c>
      <c r="G2307">
        <v>202005</v>
      </c>
      <c r="H2307" t="s">
        <v>75</v>
      </c>
      <c r="I2307" t="s">
        <v>76</v>
      </c>
      <c r="J2307" t="s">
        <v>77</v>
      </c>
      <c r="K2307" t="s">
        <v>78</v>
      </c>
      <c r="L2307" t="s">
        <v>133</v>
      </c>
      <c r="M2307" t="s">
        <v>134</v>
      </c>
      <c r="N2307" t="s">
        <v>1569</v>
      </c>
      <c r="O2307" t="s">
        <v>82</v>
      </c>
      <c r="P2307" t="str">
        <f>"2170715032                    "</f>
        <v xml:space="preserve">2170715032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25.74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5.7</v>
      </c>
      <c r="BJ2307">
        <v>3.2</v>
      </c>
      <c r="BK2307">
        <v>6</v>
      </c>
      <c r="BL2307" s="4">
        <v>151.29</v>
      </c>
      <c r="BM2307" s="4">
        <v>22.69</v>
      </c>
      <c r="BN2307" s="4">
        <v>173.98</v>
      </c>
      <c r="BO2307" s="4">
        <v>173.98</v>
      </c>
      <c r="BQ2307" t="s">
        <v>121</v>
      </c>
      <c r="BR2307" t="s">
        <v>84</v>
      </c>
      <c r="BS2307" s="3">
        <v>43790</v>
      </c>
      <c r="BT2307" s="5">
        <v>0.43402777777777773</v>
      </c>
      <c r="BU2307" t="s">
        <v>264</v>
      </c>
      <c r="BV2307" t="s">
        <v>86</v>
      </c>
      <c r="BY2307">
        <v>15776.15</v>
      </c>
      <c r="CA2307" t="s">
        <v>1422</v>
      </c>
      <c r="CC2307" t="s">
        <v>134</v>
      </c>
      <c r="CD2307">
        <v>5201</v>
      </c>
      <c r="CE2307" t="s">
        <v>88</v>
      </c>
      <c r="CF2307" s="3">
        <v>43794</v>
      </c>
      <c r="CI2307">
        <v>1</v>
      </c>
      <c r="CJ2307">
        <v>1</v>
      </c>
      <c r="CK2307">
        <v>21</v>
      </c>
      <c r="CL2307" t="s">
        <v>89</v>
      </c>
    </row>
    <row r="2308" spans="1:90">
      <c r="A2308" t="s">
        <v>72</v>
      </c>
      <c r="B2308" t="s">
        <v>73</v>
      </c>
      <c r="C2308" t="s">
        <v>74</v>
      </c>
      <c r="E2308" t="str">
        <f>"FES1162724036"</f>
        <v>FES1162724036</v>
      </c>
      <c r="F2308" s="3">
        <v>43789</v>
      </c>
      <c r="G2308">
        <v>202005</v>
      </c>
      <c r="H2308" t="s">
        <v>75</v>
      </c>
      <c r="I2308" t="s">
        <v>76</v>
      </c>
      <c r="J2308" t="s">
        <v>77</v>
      </c>
      <c r="K2308" t="s">
        <v>78</v>
      </c>
      <c r="L2308" t="s">
        <v>106</v>
      </c>
      <c r="M2308" t="s">
        <v>107</v>
      </c>
      <c r="N2308" t="s">
        <v>489</v>
      </c>
      <c r="O2308" t="s">
        <v>82</v>
      </c>
      <c r="P2308" t="str">
        <f>"2170713250                    "</f>
        <v xml:space="preserve">2170713250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23.59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5.2</v>
      </c>
      <c r="BJ2308">
        <v>1.7</v>
      </c>
      <c r="BK2308">
        <v>5.5</v>
      </c>
      <c r="BL2308" s="4">
        <v>138.68</v>
      </c>
      <c r="BM2308" s="4">
        <v>20.8</v>
      </c>
      <c r="BN2308" s="4">
        <v>159.47999999999999</v>
      </c>
      <c r="BO2308" s="4">
        <v>159.47999999999999</v>
      </c>
      <c r="BQ2308" t="s">
        <v>121</v>
      </c>
      <c r="BR2308" t="s">
        <v>84</v>
      </c>
      <c r="BS2308" s="3">
        <v>43790</v>
      </c>
      <c r="BT2308" s="5">
        <v>0.42291666666666666</v>
      </c>
      <c r="BU2308" t="s">
        <v>2506</v>
      </c>
      <c r="BV2308" t="s">
        <v>86</v>
      </c>
      <c r="BY2308">
        <v>8364.84</v>
      </c>
      <c r="CA2308" t="s">
        <v>773</v>
      </c>
      <c r="CC2308" t="s">
        <v>107</v>
      </c>
      <c r="CD2308">
        <v>6001</v>
      </c>
      <c r="CE2308" t="s">
        <v>88</v>
      </c>
      <c r="CI2308">
        <v>1</v>
      </c>
      <c r="CJ2308">
        <v>1</v>
      </c>
      <c r="CK2308">
        <v>21</v>
      </c>
      <c r="CL2308" t="s">
        <v>89</v>
      </c>
    </row>
    <row r="2309" spans="1:90">
      <c r="A2309" t="s">
        <v>72</v>
      </c>
      <c r="B2309" t="s">
        <v>73</v>
      </c>
      <c r="C2309" t="s">
        <v>74</v>
      </c>
      <c r="E2309" t="str">
        <f>"FES1162724041"</f>
        <v>FES1162724041</v>
      </c>
      <c r="F2309" s="3">
        <v>43789</v>
      </c>
      <c r="G2309">
        <v>202005</v>
      </c>
      <c r="H2309" t="s">
        <v>75</v>
      </c>
      <c r="I2309" t="s">
        <v>76</v>
      </c>
      <c r="J2309" t="s">
        <v>77</v>
      </c>
      <c r="K2309" t="s">
        <v>78</v>
      </c>
      <c r="L2309" t="s">
        <v>106</v>
      </c>
      <c r="M2309" t="s">
        <v>107</v>
      </c>
      <c r="N2309" t="s">
        <v>324</v>
      </c>
      <c r="O2309" t="s">
        <v>82</v>
      </c>
      <c r="P2309" t="str">
        <f>"2170714316                    "</f>
        <v xml:space="preserve">2170714316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17.16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2</v>
      </c>
      <c r="BI2309">
        <v>3.6</v>
      </c>
      <c r="BJ2309">
        <v>3.9</v>
      </c>
      <c r="BK2309">
        <v>4</v>
      </c>
      <c r="BL2309" s="4">
        <v>100.87</v>
      </c>
      <c r="BM2309" s="4">
        <v>15.13</v>
      </c>
      <c r="BN2309" s="4">
        <v>116</v>
      </c>
      <c r="BO2309" s="4">
        <v>116</v>
      </c>
      <c r="BQ2309" t="s">
        <v>121</v>
      </c>
      <c r="BR2309" t="s">
        <v>84</v>
      </c>
      <c r="BS2309" s="3">
        <v>43790</v>
      </c>
      <c r="BT2309" s="5">
        <v>0.36458333333333331</v>
      </c>
      <c r="BU2309" t="s">
        <v>2552</v>
      </c>
      <c r="BV2309" t="s">
        <v>86</v>
      </c>
      <c r="BY2309">
        <v>19501.14</v>
      </c>
      <c r="CA2309" t="s">
        <v>2415</v>
      </c>
      <c r="CC2309" t="s">
        <v>107</v>
      </c>
      <c r="CD2309">
        <v>6001</v>
      </c>
      <c r="CE2309" t="s">
        <v>1892</v>
      </c>
      <c r="CF2309" s="3">
        <v>43791</v>
      </c>
      <c r="CI2309">
        <v>1</v>
      </c>
      <c r="CJ2309">
        <v>1</v>
      </c>
      <c r="CK2309">
        <v>21</v>
      </c>
      <c r="CL2309" t="s">
        <v>89</v>
      </c>
    </row>
    <row r="2310" spans="1:90">
      <c r="A2310" t="s">
        <v>72</v>
      </c>
      <c r="B2310" t="s">
        <v>73</v>
      </c>
      <c r="C2310" t="s">
        <v>74</v>
      </c>
      <c r="E2310" t="str">
        <f>"FES1162724035"</f>
        <v>FES1162724035</v>
      </c>
      <c r="F2310" s="3">
        <v>43789</v>
      </c>
      <c r="G2310">
        <v>202005</v>
      </c>
      <c r="H2310" t="s">
        <v>75</v>
      </c>
      <c r="I2310" t="s">
        <v>76</v>
      </c>
      <c r="J2310" t="s">
        <v>77</v>
      </c>
      <c r="K2310" t="s">
        <v>78</v>
      </c>
      <c r="L2310" t="s">
        <v>106</v>
      </c>
      <c r="M2310" t="s">
        <v>107</v>
      </c>
      <c r="N2310" t="s">
        <v>489</v>
      </c>
      <c r="O2310" t="s">
        <v>82</v>
      </c>
      <c r="P2310" t="str">
        <f>"2170713697                    "</f>
        <v xml:space="preserve">2170713697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15.02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3.1</v>
      </c>
      <c r="BJ2310">
        <v>1.8</v>
      </c>
      <c r="BK2310">
        <v>3.5</v>
      </c>
      <c r="BL2310" s="4">
        <v>88.27</v>
      </c>
      <c r="BM2310" s="4">
        <v>13.24</v>
      </c>
      <c r="BN2310" s="4">
        <v>101.51</v>
      </c>
      <c r="BO2310" s="4">
        <v>101.51</v>
      </c>
      <c r="BQ2310" t="s">
        <v>121</v>
      </c>
      <c r="BR2310" t="s">
        <v>84</v>
      </c>
      <c r="BS2310" s="3">
        <v>43790</v>
      </c>
      <c r="BT2310" s="5">
        <v>0.4236111111111111</v>
      </c>
      <c r="BU2310" t="s">
        <v>2506</v>
      </c>
      <c r="BV2310" t="s">
        <v>86</v>
      </c>
      <c r="BY2310">
        <v>9171.76</v>
      </c>
      <c r="CA2310" t="s">
        <v>773</v>
      </c>
      <c r="CC2310" t="s">
        <v>107</v>
      </c>
      <c r="CD2310">
        <v>6001</v>
      </c>
      <c r="CE2310" t="s">
        <v>88</v>
      </c>
      <c r="CF2310" s="3">
        <v>43791</v>
      </c>
      <c r="CI2310">
        <v>1</v>
      </c>
      <c r="CJ2310">
        <v>1</v>
      </c>
      <c r="CK2310">
        <v>21</v>
      </c>
      <c r="CL2310" t="s">
        <v>89</v>
      </c>
    </row>
    <row r="2311" spans="1:90">
      <c r="A2311" t="s">
        <v>72</v>
      </c>
      <c r="B2311" t="s">
        <v>73</v>
      </c>
      <c r="C2311" t="s">
        <v>74</v>
      </c>
      <c r="E2311" t="str">
        <f>"FES1162724038"</f>
        <v>FES1162724038</v>
      </c>
      <c r="F2311" s="3">
        <v>43789</v>
      </c>
      <c r="G2311">
        <v>202005</v>
      </c>
      <c r="H2311" t="s">
        <v>75</v>
      </c>
      <c r="I2311" t="s">
        <v>76</v>
      </c>
      <c r="J2311" t="s">
        <v>77</v>
      </c>
      <c r="K2311" t="s">
        <v>78</v>
      </c>
      <c r="L2311" t="s">
        <v>79</v>
      </c>
      <c r="M2311" t="s">
        <v>80</v>
      </c>
      <c r="N2311" t="s">
        <v>1447</v>
      </c>
      <c r="O2311" t="s">
        <v>82</v>
      </c>
      <c r="P2311" t="str">
        <f>"2170712746                    "</f>
        <v xml:space="preserve">2170712746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15.02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2.9</v>
      </c>
      <c r="BJ2311">
        <v>3.2</v>
      </c>
      <c r="BK2311">
        <v>3.5</v>
      </c>
      <c r="BL2311" s="4">
        <v>88.27</v>
      </c>
      <c r="BM2311" s="4">
        <v>13.24</v>
      </c>
      <c r="BN2311" s="4">
        <v>101.51</v>
      </c>
      <c r="BO2311" s="4">
        <v>101.51</v>
      </c>
      <c r="BQ2311" t="s">
        <v>109</v>
      </c>
      <c r="BR2311" t="s">
        <v>84</v>
      </c>
      <c r="BS2311" s="3">
        <v>43790</v>
      </c>
      <c r="BT2311" s="5">
        <v>0.35416666666666669</v>
      </c>
      <c r="BU2311" t="s">
        <v>2553</v>
      </c>
      <c r="BV2311" t="s">
        <v>86</v>
      </c>
      <c r="BY2311">
        <v>15790.82</v>
      </c>
      <c r="CA2311" t="s">
        <v>854</v>
      </c>
      <c r="CC2311" t="s">
        <v>80</v>
      </c>
      <c r="CD2311">
        <v>6230</v>
      </c>
      <c r="CE2311" t="s">
        <v>88</v>
      </c>
      <c r="CF2311" s="3">
        <v>43791</v>
      </c>
      <c r="CI2311">
        <v>1</v>
      </c>
      <c r="CJ2311">
        <v>1</v>
      </c>
      <c r="CK2311">
        <v>21</v>
      </c>
      <c r="CL2311" t="s">
        <v>89</v>
      </c>
    </row>
    <row r="2312" spans="1:90">
      <c r="A2312" t="s">
        <v>72</v>
      </c>
      <c r="B2312" t="s">
        <v>73</v>
      </c>
      <c r="C2312" t="s">
        <v>74</v>
      </c>
      <c r="E2312" t="str">
        <f>"FES1162724046"</f>
        <v>FES1162724046</v>
      </c>
      <c r="F2312" s="3">
        <v>43789</v>
      </c>
      <c r="G2312">
        <v>202005</v>
      </c>
      <c r="H2312" t="s">
        <v>75</v>
      </c>
      <c r="I2312" t="s">
        <v>76</v>
      </c>
      <c r="J2312" t="s">
        <v>77</v>
      </c>
      <c r="K2312" t="s">
        <v>78</v>
      </c>
      <c r="L2312" t="s">
        <v>79</v>
      </c>
      <c r="M2312" t="s">
        <v>80</v>
      </c>
      <c r="N2312" t="s">
        <v>1447</v>
      </c>
      <c r="O2312" t="s">
        <v>82</v>
      </c>
      <c r="P2312" t="str">
        <f>"2170715022                    "</f>
        <v xml:space="preserve">2170715022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12.87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2.9</v>
      </c>
      <c r="BJ2312">
        <v>2.2000000000000002</v>
      </c>
      <c r="BK2312">
        <v>3</v>
      </c>
      <c r="BL2312" s="4">
        <v>75.66</v>
      </c>
      <c r="BM2312" s="4">
        <v>11.35</v>
      </c>
      <c r="BN2312" s="4">
        <v>87.01</v>
      </c>
      <c r="BO2312" s="4">
        <v>87.01</v>
      </c>
      <c r="BQ2312" t="s">
        <v>109</v>
      </c>
      <c r="BR2312" t="s">
        <v>84</v>
      </c>
      <c r="BS2312" s="3">
        <v>43790</v>
      </c>
      <c r="BT2312" s="5">
        <v>0.35416666666666669</v>
      </c>
      <c r="BU2312" t="s">
        <v>2553</v>
      </c>
      <c r="BV2312" t="s">
        <v>86</v>
      </c>
      <c r="BY2312">
        <v>10761.3</v>
      </c>
      <c r="CA2312" t="s">
        <v>854</v>
      </c>
      <c r="CC2312" t="s">
        <v>80</v>
      </c>
      <c r="CD2312">
        <v>6230</v>
      </c>
      <c r="CE2312" t="s">
        <v>88</v>
      </c>
      <c r="CF2312" s="3">
        <v>43791</v>
      </c>
      <c r="CI2312">
        <v>1</v>
      </c>
      <c r="CJ2312">
        <v>1</v>
      </c>
      <c r="CK2312">
        <v>21</v>
      </c>
      <c r="CL2312" t="s">
        <v>89</v>
      </c>
    </row>
    <row r="2313" spans="1:90">
      <c r="A2313" t="s">
        <v>72</v>
      </c>
      <c r="B2313" t="s">
        <v>73</v>
      </c>
      <c r="C2313" t="s">
        <v>74</v>
      </c>
      <c r="E2313" t="str">
        <f>"FES1162724060"</f>
        <v>FES1162724060</v>
      </c>
      <c r="F2313" s="3">
        <v>43789</v>
      </c>
      <c r="G2313">
        <v>202005</v>
      </c>
      <c r="H2313" t="s">
        <v>75</v>
      </c>
      <c r="I2313" t="s">
        <v>76</v>
      </c>
      <c r="J2313" t="s">
        <v>77</v>
      </c>
      <c r="K2313" t="s">
        <v>78</v>
      </c>
      <c r="L2313" t="s">
        <v>124</v>
      </c>
      <c r="M2313" t="s">
        <v>125</v>
      </c>
      <c r="N2313" t="s">
        <v>218</v>
      </c>
      <c r="O2313" t="s">
        <v>82</v>
      </c>
      <c r="P2313" t="str">
        <f>"2170718026                    "</f>
        <v xml:space="preserve">2170718026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9.92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3.7</v>
      </c>
      <c r="BJ2313">
        <v>1.3</v>
      </c>
      <c r="BK2313">
        <v>4</v>
      </c>
      <c r="BL2313" s="4">
        <v>58.31</v>
      </c>
      <c r="BM2313" s="4">
        <v>8.75</v>
      </c>
      <c r="BN2313" s="4">
        <v>67.06</v>
      </c>
      <c r="BO2313" s="4">
        <v>67.06</v>
      </c>
      <c r="BQ2313" t="s">
        <v>121</v>
      </c>
      <c r="BR2313" t="s">
        <v>84</v>
      </c>
      <c r="BS2313" s="3">
        <v>43790</v>
      </c>
      <c r="BT2313" s="5">
        <v>0.3576388888888889</v>
      </c>
      <c r="BU2313" t="s">
        <v>2554</v>
      </c>
      <c r="BV2313" t="s">
        <v>86</v>
      </c>
      <c r="BY2313">
        <v>6711.04</v>
      </c>
      <c r="CC2313" t="s">
        <v>125</v>
      </c>
      <c r="CD2313">
        <v>2094</v>
      </c>
      <c r="CE2313" t="s">
        <v>88</v>
      </c>
      <c r="CF2313" s="3">
        <v>43791</v>
      </c>
      <c r="CI2313">
        <v>1</v>
      </c>
      <c r="CJ2313">
        <v>1</v>
      </c>
      <c r="CK2313">
        <v>22</v>
      </c>
      <c r="CL2313" t="s">
        <v>89</v>
      </c>
    </row>
    <row r="2314" spans="1:90">
      <c r="A2314" t="s">
        <v>72</v>
      </c>
      <c r="B2314" t="s">
        <v>73</v>
      </c>
      <c r="C2314" t="s">
        <v>74</v>
      </c>
      <c r="E2314" t="str">
        <f>"FES1162724051"</f>
        <v>FES1162724051</v>
      </c>
      <c r="F2314" s="3">
        <v>43789</v>
      </c>
      <c r="G2314">
        <v>202005</v>
      </c>
      <c r="H2314" t="s">
        <v>75</v>
      </c>
      <c r="I2314" t="s">
        <v>76</v>
      </c>
      <c r="J2314" t="s">
        <v>77</v>
      </c>
      <c r="K2314" t="s">
        <v>78</v>
      </c>
      <c r="L2314" t="s">
        <v>75</v>
      </c>
      <c r="M2314" t="s">
        <v>76</v>
      </c>
      <c r="N2314" t="s">
        <v>2555</v>
      </c>
      <c r="O2314" t="s">
        <v>82</v>
      </c>
      <c r="P2314" t="str">
        <f>"2170715864                    "</f>
        <v xml:space="preserve">2170715864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10.72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4.0999999999999996</v>
      </c>
      <c r="BK2314">
        <v>4.5</v>
      </c>
      <c r="BL2314" s="4">
        <v>63.03</v>
      </c>
      <c r="BM2314" s="4">
        <v>9.4499999999999993</v>
      </c>
      <c r="BN2314" s="4">
        <v>72.48</v>
      </c>
      <c r="BO2314" s="4">
        <v>72.48</v>
      </c>
      <c r="BQ2314" t="s">
        <v>121</v>
      </c>
      <c r="BR2314" t="s">
        <v>84</v>
      </c>
      <c r="BS2314" s="3">
        <v>43790</v>
      </c>
      <c r="BT2314" s="5">
        <v>0.33333333333333331</v>
      </c>
      <c r="BU2314" t="s">
        <v>1789</v>
      </c>
      <c r="BV2314" t="s">
        <v>86</v>
      </c>
      <c r="BY2314">
        <v>20358</v>
      </c>
      <c r="CA2314" t="s">
        <v>368</v>
      </c>
      <c r="CC2314" t="s">
        <v>76</v>
      </c>
      <c r="CD2314">
        <v>1619</v>
      </c>
      <c r="CE2314" t="s">
        <v>88</v>
      </c>
      <c r="CI2314">
        <v>1</v>
      </c>
      <c r="CJ2314">
        <v>1</v>
      </c>
      <c r="CK2314">
        <v>22</v>
      </c>
      <c r="CL2314" t="s">
        <v>89</v>
      </c>
    </row>
    <row r="2315" spans="1:90">
      <c r="A2315" t="s">
        <v>72</v>
      </c>
      <c r="B2315" t="s">
        <v>73</v>
      </c>
      <c r="C2315" t="s">
        <v>74</v>
      </c>
      <c r="E2315" t="str">
        <f>"FES1162724026"</f>
        <v>FES1162724026</v>
      </c>
      <c r="F2315" s="3">
        <v>43789</v>
      </c>
      <c r="G2315">
        <v>202005</v>
      </c>
      <c r="H2315" t="s">
        <v>75</v>
      </c>
      <c r="I2315" t="s">
        <v>76</v>
      </c>
      <c r="J2315" t="s">
        <v>77</v>
      </c>
      <c r="K2315" t="s">
        <v>78</v>
      </c>
      <c r="L2315" t="s">
        <v>124</v>
      </c>
      <c r="M2315" t="s">
        <v>125</v>
      </c>
      <c r="N2315" t="s">
        <v>218</v>
      </c>
      <c r="O2315" t="s">
        <v>82</v>
      </c>
      <c r="P2315" t="str">
        <f>"2170718012                    "</f>
        <v xml:space="preserve">2170718012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9.92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3.6</v>
      </c>
      <c r="BJ2315">
        <v>1.4</v>
      </c>
      <c r="BK2315">
        <v>4</v>
      </c>
      <c r="BL2315" s="4">
        <v>58.31</v>
      </c>
      <c r="BM2315" s="4">
        <v>8.75</v>
      </c>
      <c r="BN2315" s="4">
        <v>67.06</v>
      </c>
      <c r="BO2315" s="4">
        <v>67.06</v>
      </c>
      <c r="BQ2315" t="s">
        <v>121</v>
      </c>
      <c r="BR2315" t="s">
        <v>84</v>
      </c>
      <c r="BS2315" s="3">
        <v>43790</v>
      </c>
      <c r="BT2315" s="5">
        <v>0.3576388888888889</v>
      </c>
      <c r="BU2315" t="s">
        <v>2545</v>
      </c>
      <c r="BV2315" t="s">
        <v>86</v>
      </c>
      <c r="BY2315">
        <v>6790.56</v>
      </c>
      <c r="CC2315" t="s">
        <v>125</v>
      </c>
      <c r="CD2315">
        <v>2094</v>
      </c>
      <c r="CE2315" t="s">
        <v>88</v>
      </c>
      <c r="CF2315" s="3">
        <v>43791</v>
      </c>
      <c r="CI2315">
        <v>1</v>
      </c>
      <c r="CJ2315">
        <v>1</v>
      </c>
      <c r="CK2315">
        <v>22</v>
      </c>
      <c r="CL2315" t="s">
        <v>89</v>
      </c>
    </row>
    <row r="2316" spans="1:90">
      <c r="A2316" t="s">
        <v>72</v>
      </c>
      <c r="B2316" t="s">
        <v>73</v>
      </c>
      <c r="C2316" t="s">
        <v>74</v>
      </c>
      <c r="E2316" t="str">
        <f>"FES1162724049"</f>
        <v>FES1162724049</v>
      </c>
      <c r="F2316" s="3">
        <v>43789</v>
      </c>
      <c r="G2316">
        <v>202005</v>
      </c>
      <c r="H2316" t="s">
        <v>75</v>
      </c>
      <c r="I2316" t="s">
        <v>76</v>
      </c>
      <c r="J2316" t="s">
        <v>77</v>
      </c>
      <c r="K2316" t="s">
        <v>78</v>
      </c>
      <c r="L2316" t="s">
        <v>124</v>
      </c>
      <c r="M2316" t="s">
        <v>125</v>
      </c>
      <c r="N2316" t="s">
        <v>2556</v>
      </c>
      <c r="O2316" t="s">
        <v>82</v>
      </c>
      <c r="P2316" t="str">
        <f>"2170715755                    "</f>
        <v xml:space="preserve">2170715755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9.92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3.1</v>
      </c>
      <c r="BJ2316">
        <v>3.7</v>
      </c>
      <c r="BK2316">
        <v>4</v>
      </c>
      <c r="BL2316" s="4">
        <v>58.31</v>
      </c>
      <c r="BM2316" s="4">
        <v>8.75</v>
      </c>
      <c r="BN2316" s="4">
        <v>67.06</v>
      </c>
      <c r="BO2316" s="4">
        <v>67.06</v>
      </c>
      <c r="BQ2316" t="s">
        <v>121</v>
      </c>
      <c r="BR2316" t="s">
        <v>84</v>
      </c>
      <c r="BS2316" s="3">
        <v>43790</v>
      </c>
      <c r="BT2316" s="5">
        <v>0.37361111111111112</v>
      </c>
      <c r="BU2316" t="s">
        <v>2557</v>
      </c>
      <c r="BV2316" t="s">
        <v>86</v>
      </c>
      <c r="BY2316">
        <v>18386.32</v>
      </c>
      <c r="CC2316" t="s">
        <v>125</v>
      </c>
      <c r="CD2316">
        <v>2091</v>
      </c>
      <c r="CE2316" t="s">
        <v>88</v>
      </c>
      <c r="CF2316" s="3">
        <v>43791</v>
      </c>
      <c r="CI2316">
        <v>1</v>
      </c>
      <c r="CJ2316">
        <v>1</v>
      </c>
      <c r="CK2316">
        <v>22</v>
      </c>
      <c r="CL2316" t="s">
        <v>89</v>
      </c>
    </row>
    <row r="2317" spans="1:90">
      <c r="A2317" t="s">
        <v>72</v>
      </c>
      <c r="B2317" t="s">
        <v>73</v>
      </c>
      <c r="C2317" t="s">
        <v>74</v>
      </c>
      <c r="E2317" t="str">
        <f>"FES1162724024"</f>
        <v>FES1162724024</v>
      </c>
      <c r="F2317" s="3">
        <v>43789</v>
      </c>
      <c r="G2317">
        <v>202005</v>
      </c>
      <c r="H2317" t="s">
        <v>75</v>
      </c>
      <c r="I2317" t="s">
        <v>76</v>
      </c>
      <c r="J2317" t="s">
        <v>77</v>
      </c>
      <c r="K2317" t="s">
        <v>78</v>
      </c>
      <c r="L2317" t="s">
        <v>176</v>
      </c>
      <c r="M2317" t="s">
        <v>177</v>
      </c>
      <c r="N2317" t="s">
        <v>2558</v>
      </c>
      <c r="O2317" t="s">
        <v>82</v>
      </c>
      <c r="P2317" t="str">
        <f>"2170713056                    "</f>
        <v xml:space="preserve">2170713056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17.16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3.8</v>
      </c>
      <c r="BJ2317">
        <v>3.1</v>
      </c>
      <c r="BK2317">
        <v>4</v>
      </c>
      <c r="BL2317" s="4">
        <v>100.87</v>
      </c>
      <c r="BM2317" s="4">
        <v>15.13</v>
      </c>
      <c r="BN2317" s="4">
        <v>116</v>
      </c>
      <c r="BO2317" s="4">
        <v>116</v>
      </c>
      <c r="BQ2317" t="s">
        <v>109</v>
      </c>
      <c r="BR2317" t="s">
        <v>84</v>
      </c>
      <c r="BS2317" s="3">
        <v>43790</v>
      </c>
      <c r="BT2317" s="5">
        <v>0.37847222222222227</v>
      </c>
      <c r="BU2317" t="s">
        <v>2537</v>
      </c>
      <c r="BV2317" t="s">
        <v>86</v>
      </c>
      <c r="BY2317">
        <v>15586.96</v>
      </c>
      <c r="CA2317" t="s">
        <v>180</v>
      </c>
      <c r="CC2317" t="s">
        <v>177</v>
      </c>
      <c r="CD2317">
        <v>3608</v>
      </c>
      <c r="CE2317" t="s">
        <v>88</v>
      </c>
      <c r="CF2317" s="3">
        <v>43791</v>
      </c>
      <c r="CI2317">
        <v>1</v>
      </c>
      <c r="CJ2317">
        <v>1</v>
      </c>
      <c r="CK2317">
        <v>21</v>
      </c>
      <c r="CL2317" t="s">
        <v>89</v>
      </c>
    </row>
    <row r="2318" spans="1:90">
      <c r="A2318" t="s">
        <v>72</v>
      </c>
      <c r="B2318" t="s">
        <v>73</v>
      </c>
      <c r="C2318" t="s">
        <v>74</v>
      </c>
      <c r="E2318" t="str">
        <f>"FES11627273954"</f>
        <v>FES11627273954</v>
      </c>
      <c r="F2318" s="3">
        <v>43789</v>
      </c>
      <c r="G2318">
        <v>202005</v>
      </c>
      <c r="H2318" t="s">
        <v>75</v>
      </c>
      <c r="I2318" t="s">
        <v>76</v>
      </c>
      <c r="J2318" t="s">
        <v>77</v>
      </c>
      <c r="K2318" t="s">
        <v>78</v>
      </c>
      <c r="L2318" t="s">
        <v>225</v>
      </c>
      <c r="M2318" t="s">
        <v>226</v>
      </c>
      <c r="N2318" t="s">
        <v>1977</v>
      </c>
      <c r="O2318" t="s">
        <v>82</v>
      </c>
      <c r="P2318" t="str">
        <f>"2170717936                    "</f>
        <v xml:space="preserve">2170717936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72.91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9.5</v>
      </c>
      <c r="BJ2318">
        <v>17</v>
      </c>
      <c r="BK2318">
        <v>17</v>
      </c>
      <c r="BL2318" s="4">
        <v>428.58</v>
      </c>
      <c r="BM2318" s="4">
        <v>64.290000000000006</v>
      </c>
      <c r="BN2318" s="4">
        <v>492.87</v>
      </c>
      <c r="BO2318" s="4">
        <v>492.87</v>
      </c>
      <c r="BQ2318" t="s">
        <v>337</v>
      </c>
      <c r="BR2318" t="s">
        <v>84</v>
      </c>
      <c r="BS2318" s="3">
        <v>43790</v>
      </c>
      <c r="BT2318" s="5">
        <v>0.4375</v>
      </c>
      <c r="BU2318" t="s">
        <v>2559</v>
      </c>
      <c r="BV2318" t="s">
        <v>86</v>
      </c>
      <c r="BY2318">
        <v>85058.4</v>
      </c>
      <c r="CC2318" t="s">
        <v>226</v>
      </c>
      <c r="CD2318">
        <v>4026</v>
      </c>
      <c r="CE2318" t="s">
        <v>88</v>
      </c>
      <c r="CI2318">
        <v>1</v>
      </c>
      <c r="CJ2318">
        <v>1</v>
      </c>
      <c r="CK2318">
        <v>21</v>
      </c>
      <c r="CL2318" t="s">
        <v>89</v>
      </c>
    </row>
    <row r="2319" spans="1:90">
      <c r="A2319" t="s">
        <v>72</v>
      </c>
      <c r="B2319" t="s">
        <v>73</v>
      </c>
      <c r="C2319" t="s">
        <v>74</v>
      </c>
      <c r="E2319" t="str">
        <f>"FES1162724071"</f>
        <v>FES1162724071</v>
      </c>
      <c r="F2319" s="3">
        <v>43789</v>
      </c>
      <c r="G2319">
        <v>202005</v>
      </c>
      <c r="H2319" t="s">
        <v>75</v>
      </c>
      <c r="I2319" t="s">
        <v>76</v>
      </c>
      <c r="J2319" t="s">
        <v>77</v>
      </c>
      <c r="K2319" t="s">
        <v>78</v>
      </c>
      <c r="L2319" t="s">
        <v>112</v>
      </c>
      <c r="M2319" t="s">
        <v>113</v>
      </c>
      <c r="N2319" t="s">
        <v>268</v>
      </c>
      <c r="O2319" t="s">
        <v>82</v>
      </c>
      <c r="P2319" t="str">
        <f>"2170718031                    "</f>
        <v xml:space="preserve">2170718031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8.58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 s="4">
        <v>50.45</v>
      </c>
      <c r="BM2319" s="4">
        <v>7.57</v>
      </c>
      <c r="BN2319" s="4">
        <v>58.02</v>
      </c>
      <c r="BO2319" s="4">
        <v>58.02</v>
      </c>
      <c r="BQ2319" t="s">
        <v>109</v>
      </c>
      <c r="BR2319" t="s">
        <v>84</v>
      </c>
      <c r="BS2319" s="3">
        <v>43790</v>
      </c>
      <c r="BT2319" s="5">
        <v>0.42430555555555555</v>
      </c>
      <c r="BU2319" t="s">
        <v>269</v>
      </c>
      <c r="BV2319" t="s">
        <v>86</v>
      </c>
      <c r="BY2319">
        <v>1200</v>
      </c>
      <c r="CA2319" t="s">
        <v>255</v>
      </c>
      <c r="CC2319" t="s">
        <v>113</v>
      </c>
      <c r="CD2319">
        <v>4001</v>
      </c>
      <c r="CE2319" t="s">
        <v>147</v>
      </c>
      <c r="CF2319" s="3">
        <v>43791</v>
      </c>
      <c r="CI2319">
        <v>1</v>
      </c>
      <c r="CJ2319">
        <v>1</v>
      </c>
      <c r="CK2319">
        <v>21</v>
      </c>
      <c r="CL2319" t="s">
        <v>89</v>
      </c>
    </row>
    <row r="2320" spans="1:90">
      <c r="A2320" t="s">
        <v>72</v>
      </c>
      <c r="B2320" t="s">
        <v>73</v>
      </c>
      <c r="C2320" t="s">
        <v>74</v>
      </c>
      <c r="E2320" t="str">
        <f>"FES1162724025"</f>
        <v>FES1162724025</v>
      </c>
      <c r="F2320" s="3">
        <v>43789</v>
      </c>
      <c r="G2320">
        <v>202005</v>
      </c>
      <c r="H2320" t="s">
        <v>75</v>
      </c>
      <c r="I2320" t="s">
        <v>76</v>
      </c>
      <c r="J2320" t="s">
        <v>77</v>
      </c>
      <c r="K2320" t="s">
        <v>78</v>
      </c>
      <c r="L2320" t="s">
        <v>112</v>
      </c>
      <c r="M2320" t="s">
        <v>113</v>
      </c>
      <c r="N2320" t="s">
        <v>620</v>
      </c>
      <c r="O2320" t="s">
        <v>82</v>
      </c>
      <c r="P2320" t="str">
        <f>"2170718008                    "</f>
        <v xml:space="preserve">2170718008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8.58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 s="4">
        <v>50.45</v>
      </c>
      <c r="BM2320" s="4">
        <v>7.57</v>
      </c>
      <c r="BN2320" s="4">
        <v>58.02</v>
      </c>
      <c r="BO2320" s="4">
        <v>58.02</v>
      </c>
      <c r="BQ2320" t="s">
        <v>109</v>
      </c>
      <c r="BR2320" t="s">
        <v>84</v>
      </c>
      <c r="BS2320" s="3">
        <v>43790</v>
      </c>
      <c r="BT2320" s="5">
        <v>0.4201388888888889</v>
      </c>
      <c r="BU2320" t="s">
        <v>2560</v>
      </c>
      <c r="BV2320" t="s">
        <v>86</v>
      </c>
      <c r="BY2320">
        <v>1200</v>
      </c>
      <c r="CA2320" t="s">
        <v>255</v>
      </c>
      <c r="CC2320" t="s">
        <v>113</v>
      </c>
      <c r="CD2320">
        <v>4302</v>
      </c>
      <c r="CE2320" t="s">
        <v>147</v>
      </c>
      <c r="CF2320" s="3">
        <v>43791</v>
      </c>
      <c r="CI2320">
        <v>1</v>
      </c>
      <c r="CJ2320">
        <v>1</v>
      </c>
      <c r="CK2320">
        <v>21</v>
      </c>
      <c r="CL2320" t="s">
        <v>89</v>
      </c>
    </row>
    <row r="2321" spans="1:90">
      <c r="A2321" t="s">
        <v>72</v>
      </c>
      <c r="B2321" t="s">
        <v>73</v>
      </c>
      <c r="C2321" t="s">
        <v>74</v>
      </c>
      <c r="E2321" t="str">
        <f>"FES1162724033"</f>
        <v>FES1162724033</v>
      </c>
      <c r="F2321" s="3">
        <v>43789</v>
      </c>
      <c r="G2321">
        <v>202005</v>
      </c>
      <c r="H2321" t="s">
        <v>75</v>
      </c>
      <c r="I2321" t="s">
        <v>76</v>
      </c>
      <c r="J2321" t="s">
        <v>77</v>
      </c>
      <c r="K2321" t="s">
        <v>78</v>
      </c>
      <c r="L2321" t="s">
        <v>202</v>
      </c>
      <c r="M2321" t="s">
        <v>203</v>
      </c>
      <c r="N2321" t="s">
        <v>1372</v>
      </c>
      <c r="O2321" t="s">
        <v>82</v>
      </c>
      <c r="P2321" t="str">
        <f>"2170718020                    "</f>
        <v xml:space="preserve">2170718020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6.71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 s="4">
        <v>39.42</v>
      </c>
      <c r="BM2321" s="4">
        <v>5.91</v>
      </c>
      <c r="BN2321" s="4">
        <v>45.33</v>
      </c>
      <c r="BO2321" s="4">
        <v>45.33</v>
      </c>
      <c r="BQ2321" t="s">
        <v>1373</v>
      </c>
      <c r="BR2321" t="s">
        <v>84</v>
      </c>
      <c r="BS2321" s="3">
        <v>43790</v>
      </c>
      <c r="BT2321" s="5">
        <v>0.375</v>
      </c>
      <c r="BU2321" t="s">
        <v>1774</v>
      </c>
      <c r="BV2321" t="s">
        <v>86</v>
      </c>
      <c r="BY2321">
        <v>1200</v>
      </c>
      <c r="CC2321" t="s">
        <v>203</v>
      </c>
      <c r="CD2321">
        <v>1422</v>
      </c>
      <c r="CE2321" t="s">
        <v>147</v>
      </c>
      <c r="CI2321">
        <v>1</v>
      </c>
      <c r="CJ2321">
        <v>1</v>
      </c>
      <c r="CK2321">
        <v>22</v>
      </c>
      <c r="CL2321" t="s">
        <v>89</v>
      </c>
    </row>
    <row r="2322" spans="1:90">
      <c r="A2322" t="s">
        <v>72</v>
      </c>
      <c r="B2322" t="s">
        <v>73</v>
      </c>
      <c r="C2322" t="s">
        <v>74</v>
      </c>
      <c r="E2322" t="str">
        <f>"FES1162723948"</f>
        <v>FES1162723948</v>
      </c>
      <c r="F2322" s="3">
        <v>43789</v>
      </c>
      <c r="G2322">
        <v>202005</v>
      </c>
      <c r="H2322" t="s">
        <v>75</v>
      </c>
      <c r="I2322" t="s">
        <v>76</v>
      </c>
      <c r="J2322" t="s">
        <v>77</v>
      </c>
      <c r="K2322" t="s">
        <v>78</v>
      </c>
      <c r="L2322" t="s">
        <v>75</v>
      </c>
      <c r="M2322" t="s">
        <v>76</v>
      </c>
      <c r="N2322" t="s">
        <v>232</v>
      </c>
      <c r="O2322" t="s">
        <v>82</v>
      </c>
      <c r="P2322" t="str">
        <f>"2170717932                    "</f>
        <v xml:space="preserve">2170717932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6.71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 s="4">
        <v>39.42</v>
      </c>
      <c r="BM2322" s="4">
        <v>5.91</v>
      </c>
      <c r="BN2322" s="4">
        <v>45.33</v>
      </c>
      <c r="BO2322" s="4">
        <v>45.33</v>
      </c>
      <c r="BR2322" t="s">
        <v>84</v>
      </c>
      <c r="BS2322" s="3">
        <v>43790</v>
      </c>
      <c r="BT2322" s="5">
        <v>0.2986111111111111</v>
      </c>
      <c r="BU2322" t="s">
        <v>402</v>
      </c>
      <c r="BV2322" t="s">
        <v>86</v>
      </c>
      <c r="BY2322">
        <v>1200</v>
      </c>
      <c r="CA2322" t="s">
        <v>198</v>
      </c>
      <c r="CC2322" t="s">
        <v>76</v>
      </c>
      <c r="CD2322">
        <v>1600</v>
      </c>
      <c r="CE2322" t="s">
        <v>147</v>
      </c>
      <c r="CF2322" s="3">
        <v>43791</v>
      </c>
      <c r="CI2322">
        <v>1</v>
      </c>
      <c r="CJ2322">
        <v>1</v>
      </c>
      <c r="CK2322">
        <v>22</v>
      </c>
      <c r="CL2322" t="s">
        <v>89</v>
      </c>
    </row>
    <row r="2323" spans="1:90">
      <c r="A2323" t="s">
        <v>72</v>
      </c>
      <c r="B2323" t="s">
        <v>73</v>
      </c>
      <c r="C2323" t="s">
        <v>74</v>
      </c>
      <c r="E2323" t="str">
        <f>"FES1162724019"</f>
        <v>FES1162724019</v>
      </c>
      <c r="F2323" s="3">
        <v>43789</v>
      </c>
      <c r="G2323">
        <v>202005</v>
      </c>
      <c r="H2323" t="s">
        <v>75</v>
      </c>
      <c r="I2323" t="s">
        <v>76</v>
      </c>
      <c r="J2323" t="s">
        <v>77</v>
      </c>
      <c r="K2323" t="s">
        <v>78</v>
      </c>
      <c r="L2323" t="s">
        <v>691</v>
      </c>
      <c r="M2323" t="s">
        <v>692</v>
      </c>
      <c r="N2323" t="s">
        <v>1217</v>
      </c>
      <c r="O2323" t="s">
        <v>82</v>
      </c>
      <c r="P2323" t="str">
        <f>"21707180007                   "</f>
        <v xml:space="preserve">21707180007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6.71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 s="4">
        <v>39.42</v>
      </c>
      <c r="BM2323" s="4">
        <v>5.91</v>
      </c>
      <c r="BN2323" s="4">
        <v>45.33</v>
      </c>
      <c r="BO2323" s="4">
        <v>45.33</v>
      </c>
      <c r="BQ2323" t="s">
        <v>109</v>
      </c>
      <c r="BR2323" t="s">
        <v>84</v>
      </c>
      <c r="BS2323" s="3">
        <v>43790</v>
      </c>
      <c r="BT2323" s="5">
        <v>0.4375</v>
      </c>
      <c r="BU2323" t="s">
        <v>1263</v>
      </c>
      <c r="BV2323" t="s">
        <v>86</v>
      </c>
      <c r="BY2323">
        <v>1200</v>
      </c>
      <c r="CC2323" t="s">
        <v>692</v>
      </c>
      <c r="CD2323">
        <v>1559</v>
      </c>
      <c r="CE2323" t="s">
        <v>147</v>
      </c>
      <c r="CF2323" s="3">
        <v>43791</v>
      </c>
      <c r="CI2323">
        <v>1</v>
      </c>
      <c r="CJ2323">
        <v>1</v>
      </c>
      <c r="CK2323">
        <v>22</v>
      </c>
      <c r="CL2323" t="s">
        <v>89</v>
      </c>
    </row>
    <row r="2324" spans="1:90">
      <c r="A2324" t="s">
        <v>72</v>
      </c>
      <c r="B2324" t="s">
        <v>73</v>
      </c>
      <c r="C2324" t="s">
        <v>74</v>
      </c>
      <c r="E2324" t="str">
        <f>"FES1162724018"</f>
        <v>FES1162724018</v>
      </c>
      <c r="F2324" s="3">
        <v>43789</v>
      </c>
      <c r="G2324">
        <v>202005</v>
      </c>
      <c r="H2324" t="s">
        <v>75</v>
      </c>
      <c r="I2324" t="s">
        <v>76</v>
      </c>
      <c r="J2324" t="s">
        <v>77</v>
      </c>
      <c r="K2324" t="s">
        <v>78</v>
      </c>
      <c r="L2324" t="s">
        <v>95</v>
      </c>
      <c r="M2324" t="s">
        <v>96</v>
      </c>
      <c r="N2324" t="s">
        <v>2561</v>
      </c>
      <c r="O2324" t="s">
        <v>82</v>
      </c>
      <c r="P2324" t="str">
        <f>"2170717727                    "</f>
        <v xml:space="preserve">2170717727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6.71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 s="4">
        <v>39.42</v>
      </c>
      <c r="BM2324" s="4">
        <v>5.91</v>
      </c>
      <c r="BN2324" s="4">
        <v>45.33</v>
      </c>
      <c r="BO2324" s="4">
        <v>45.33</v>
      </c>
      <c r="BQ2324" t="s">
        <v>2562</v>
      </c>
      <c r="BR2324" t="s">
        <v>84</v>
      </c>
      <c r="BS2324" s="3">
        <v>43790</v>
      </c>
      <c r="BT2324" s="5">
        <v>0.34513888888888888</v>
      </c>
      <c r="BU2324" t="s">
        <v>2563</v>
      </c>
      <c r="BV2324" t="s">
        <v>86</v>
      </c>
      <c r="BY2324">
        <v>1200</v>
      </c>
      <c r="CC2324" t="s">
        <v>96</v>
      </c>
      <c r="CD2324">
        <v>1451</v>
      </c>
      <c r="CE2324" t="s">
        <v>147</v>
      </c>
      <c r="CF2324" s="3">
        <v>43791</v>
      </c>
      <c r="CI2324">
        <v>1</v>
      </c>
      <c r="CJ2324">
        <v>1</v>
      </c>
      <c r="CK2324">
        <v>22</v>
      </c>
      <c r="CL2324" t="s">
        <v>89</v>
      </c>
    </row>
    <row r="2325" spans="1:90">
      <c r="A2325" t="s">
        <v>72</v>
      </c>
      <c r="B2325" t="s">
        <v>73</v>
      </c>
      <c r="C2325" t="s">
        <v>74</v>
      </c>
      <c r="E2325" t="str">
        <f>"FES1162723992"</f>
        <v>FES1162723992</v>
      </c>
      <c r="F2325" s="3">
        <v>43789</v>
      </c>
      <c r="G2325">
        <v>202005</v>
      </c>
      <c r="H2325" t="s">
        <v>75</v>
      </c>
      <c r="I2325" t="s">
        <v>76</v>
      </c>
      <c r="J2325" t="s">
        <v>77</v>
      </c>
      <c r="K2325" t="s">
        <v>78</v>
      </c>
      <c r="L2325" t="s">
        <v>106</v>
      </c>
      <c r="M2325" t="s">
        <v>107</v>
      </c>
      <c r="N2325" t="s">
        <v>1878</v>
      </c>
      <c r="O2325" t="s">
        <v>82</v>
      </c>
      <c r="P2325" t="str">
        <f>"2170717985                    "</f>
        <v xml:space="preserve">2170717985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8.58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 s="4">
        <v>50.45</v>
      </c>
      <c r="BM2325" s="4">
        <v>7.57</v>
      </c>
      <c r="BN2325" s="4">
        <v>58.02</v>
      </c>
      <c r="BO2325" s="4">
        <v>58.02</v>
      </c>
      <c r="BQ2325" t="s">
        <v>121</v>
      </c>
      <c r="BR2325" t="s">
        <v>84</v>
      </c>
      <c r="BS2325" s="3">
        <v>43791</v>
      </c>
      <c r="BT2325" s="5">
        <v>0.35416666666666669</v>
      </c>
      <c r="BU2325" t="s">
        <v>264</v>
      </c>
      <c r="BV2325" t="s">
        <v>89</v>
      </c>
      <c r="BW2325" t="s">
        <v>956</v>
      </c>
      <c r="BX2325" t="s">
        <v>320</v>
      </c>
      <c r="BY2325">
        <v>1200</v>
      </c>
      <c r="CA2325" t="s">
        <v>244</v>
      </c>
      <c r="CC2325" t="s">
        <v>107</v>
      </c>
      <c r="CD2325">
        <v>6000</v>
      </c>
      <c r="CE2325" t="s">
        <v>147</v>
      </c>
      <c r="CF2325" s="3">
        <v>43794</v>
      </c>
      <c r="CI2325">
        <v>1</v>
      </c>
      <c r="CJ2325">
        <v>2</v>
      </c>
      <c r="CK2325">
        <v>21</v>
      </c>
      <c r="CL2325" t="s">
        <v>89</v>
      </c>
    </row>
    <row r="2326" spans="1:90">
      <c r="A2326" t="s">
        <v>72</v>
      </c>
      <c r="B2326" t="s">
        <v>73</v>
      </c>
      <c r="C2326" t="s">
        <v>74</v>
      </c>
      <c r="E2326" t="str">
        <f>"FES1162719159"</f>
        <v>FES1162719159</v>
      </c>
      <c r="F2326" s="3">
        <v>43789</v>
      </c>
      <c r="G2326">
        <v>202005</v>
      </c>
      <c r="H2326" t="s">
        <v>75</v>
      </c>
      <c r="I2326" t="s">
        <v>76</v>
      </c>
      <c r="J2326" t="s">
        <v>77</v>
      </c>
      <c r="K2326" t="s">
        <v>78</v>
      </c>
      <c r="L2326" t="s">
        <v>124</v>
      </c>
      <c r="M2326" t="s">
        <v>125</v>
      </c>
      <c r="N2326" t="s">
        <v>218</v>
      </c>
      <c r="O2326" t="s">
        <v>82</v>
      </c>
      <c r="P2326" t="str">
        <f>"2170717366                    "</f>
        <v xml:space="preserve">2170717366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6.71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 s="4">
        <v>39.42</v>
      </c>
      <c r="BM2326" s="4">
        <v>5.91</v>
      </c>
      <c r="BN2326" s="4">
        <v>45.33</v>
      </c>
      <c r="BO2326" s="4">
        <v>45.33</v>
      </c>
      <c r="BQ2326" t="s">
        <v>121</v>
      </c>
      <c r="BR2326" t="s">
        <v>84</v>
      </c>
      <c r="BS2326" s="3">
        <v>43790</v>
      </c>
      <c r="BT2326" s="5">
        <v>0.35625000000000001</v>
      </c>
      <c r="BU2326" t="s">
        <v>2545</v>
      </c>
      <c r="BV2326" t="s">
        <v>86</v>
      </c>
      <c r="BY2326">
        <v>1200</v>
      </c>
      <c r="CC2326" t="s">
        <v>125</v>
      </c>
      <c r="CD2326">
        <v>2094</v>
      </c>
      <c r="CE2326" t="s">
        <v>147</v>
      </c>
      <c r="CF2326" s="3">
        <v>43791</v>
      </c>
      <c r="CI2326">
        <v>1</v>
      </c>
      <c r="CJ2326">
        <v>1</v>
      </c>
      <c r="CK2326">
        <v>22</v>
      </c>
      <c r="CL2326" t="s">
        <v>89</v>
      </c>
    </row>
    <row r="2327" spans="1:90">
      <c r="A2327" t="s">
        <v>72</v>
      </c>
      <c r="B2327" t="s">
        <v>73</v>
      </c>
      <c r="C2327" t="s">
        <v>74</v>
      </c>
      <c r="E2327" t="str">
        <f>"FES1162723907"</f>
        <v>FES1162723907</v>
      </c>
      <c r="F2327" s="3">
        <v>43789</v>
      </c>
      <c r="G2327">
        <v>202005</v>
      </c>
      <c r="H2327" t="s">
        <v>75</v>
      </c>
      <c r="I2327" t="s">
        <v>76</v>
      </c>
      <c r="J2327" t="s">
        <v>77</v>
      </c>
      <c r="K2327" t="s">
        <v>78</v>
      </c>
      <c r="L2327" t="s">
        <v>75</v>
      </c>
      <c r="M2327" t="s">
        <v>76</v>
      </c>
      <c r="N2327" t="s">
        <v>2564</v>
      </c>
      <c r="O2327" t="s">
        <v>82</v>
      </c>
      <c r="P2327" t="str">
        <f>"2170717828                    "</f>
        <v xml:space="preserve">2170717828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6.71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 s="4">
        <v>39.42</v>
      </c>
      <c r="BM2327" s="4">
        <v>5.91</v>
      </c>
      <c r="BN2327" s="4">
        <v>45.33</v>
      </c>
      <c r="BO2327" s="4">
        <v>45.33</v>
      </c>
      <c r="BR2327" t="s">
        <v>84</v>
      </c>
      <c r="BS2327" s="3">
        <v>43790</v>
      </c>
      <c r="BT2327" s="5">
        <v>0.51180555555555551</v>
      </c>
      <c r="BU2327" t="s">
        <v>2565</v>
      </c>
      <c r="BV2327" t="s">
        <v>89</v>
      </c>
      <c r="BW2327" t="s">
        <v>319</v>
      </c>
      <c r="BX2327" t="s">
        <v>2566</v>
      </c>
      <c r="BY2327">
        <v>1200</v>
      </c>
      <c r="CC2327" t="s">
        <v>76</v>
      </c>
      <c r="CD2327">
        <v>1619</v>
      </c>
      <c r="CE2327" t="s">
        <v>147</v>
      </c>
      <c r="CI2327">
        <v>1</v>
      </c>
      <c r="CJ2327">
        <v>1</v>
      </c>
      <c r="CK2327">
        <v>22</v>
      </c>
      <c r="CL2327" t="s">
        <v>89</v>
      </c>
    </row>
    <row r="2328" spans="1:90">
      <c r="A2328" t="s">
        <v>72</v>
      </c>
      <c r="B2328" t="s">
        <v>73</v>
      </c>
      <c r="C2328" t="s">
        <v>74</v>
      </c>
      <c r="E2328" t="str">
        <f>"FES1162723990"</f>
        <v>FES1162723990</v>
      </c>
      <c r="F2328" s="3">
        <v>43789</v>
      </c>
      <c r="G2328">
        <v>202005</v>
      </c>
      <c r="H2328" t="s">
        <v>75</v>
      </c>
      <c r="I2328" t="s">
        <v>76</v>
      </c>
      <c r="J2328" t="s">
        <v>77</v>
      </c>
      <c r="K2328" t="s">
        <v>78</v>
      </c>
      <c r="L2328" t="s">
        <v>546</v>
      </c>
      <c r="M2328" t="s">
        <v>547</v>
      </c>
      <c r="N2328" t="s">
        <v>1968</v>
      </c>
      <c r="O2328" t="s">
        <v>82</v>
      </c>
      <c r="P2328" t="str">
        <f>"2170717982                    "</f>
        <v xml:space="preserve">2170717982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6.71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 s="4">
        <v>39.42</v>
      </c>
      <c r="BM2328" s="4">
        <v>5.91</v>
      </c>
      <c r="BN2328" s="4">
        <v>45.33</v>
      </c>
      <c r="BO2328" s="4">
        <v>45.33</v>
      </c>
      <c r="BQ2328" t="s">
        <v>121</v>
      </c>
      <c r="BR2328" t="s">
        <v>84</v>
      </c>
      <c r="BS2328" s="3">
        <v>43790</v>
      </c>
      <c r="BT2328" s="5">
        <v>0.33333333333333331</v>
      </c>
      <c r="BU2328" t="s">
        <v>2567</v>
      </c>
      <c r="BV2328" t="s">
        <v>86</v>
      </c>
      <c r="BY2328">
        <v>1200</v>
      </c>
      <c r="CC2328" t="s">
        <v>547</v>
      </c>
      <c r="CD2328">
        <v>1724</v>
      </c>
      <c r="CE2328" t="s">
        <v>147</v>
      </c>
      <c r="CF2328" s="3">
        <v>43791</v>
      </c>
      <c r="CI2328">
        <v>1</v>
      </c>
      <c r="CJ2328">
        <v>1</v>
      </c>
      <c r="CK2328">
        <v>22</v>
      </c>
      <c r="CL2328" t="s">
        <v>89</v>
      </c>
    </row>
    <row r="2329" spans="1:90">
      <c r="A2329" t="s">
        <v>72</v>
      </c>
      <c r="B2329" t="s">
        <v>73</v>
      </c>
      <c r="C2329" t="s">
        <v>74</v>
      </c>
      <c r="E2329" t="str">
        <f>"FES1162724009"</f>
        <v>FES1162724009</v>
      </c>
      <c r="F2329" s="3">
        <v>43789</v>
      </c>
      <c r="G2329">
        <v>202005</v>
      </c>
      <c r="H2329" t="s">
        <v>75</v>
      </c>
      <c r="I2329" t="s">
        <v>76</v>
      </c>
      <c r="J2329" t="s">
        <v>77</v>
      </c>
      <c r="K2329" t="s">
        <v>78</v>
      </c>
      <c r="L2329" t="s">
        <v>344</v>
      </c>
      <c r="M2329" t="s">
        <v>345</v>
      </c>
      <c r="N2329" t="s">
        <v>2200</v>
      </c>
      <c r="O2329" t="s">
        <v>82</v>
      </c>
      <c r="P2329" t="str">
        <f>"2170717994                    "</f>
        <v xml:space="preserve">2170717994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6.71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 s="4">
        <v>39.42</v>
      </c>
      <c r="BM2329" s="4">
        <v>5.91</v>
      </c>
      <c r="BN2329" s="4">
        <v>45.33</v>
      </c>
      <c r="BO2329" s="4">
        <v>45.33</v>
      </c>
      <c r="BQ2329" t="s">
        <v>121</v>
      </c>
      <c r="BR2329" t="s">
        <v>84</v>
      </c>
      <c r="BS2329" s="3">
        <v>43790</v>
      </c>
      <c r="BT2329" s="5">
        <v>0.375</v>
      </c>
      <c r="BU2329" t="s">
        <v>2568</v>
      </c>
      <c r="BV2329" t="s">
        <v>86</v>
      </c>
      <c r="BY2329">
        <v>1200</v>
      </c>
      <c r="CC2329" t="s">
        <v>345</v>
      </c>
      <c r="CD2329">
        <v>2163</v>
      </c>
      <c r="CE2329" t="s">
        <v>147</v>
      </c>
      <c r="CF2329" s="3">
        <v>43791</v>
      </c>
      <c r="CI2329">
        <v>1</v>
      </c>
      <c r="CJ2329">
        <v>1</v>
      </c>
      <c r="CK2329">
        <v>22</v>
      </c>
      <c r="CL2329" t="s">
        <v>89</v>
      </c>
    </row>
    <row r="2330" spans="1:90">
      <c r="A2330" t="s">
        <v>72</v>
      </c>
      <c r="B2330" t="s">
        <v>73</v>
      </c>
      <c r="C2330" t="s">
        <v>74</v>
      </c>
      <c r="E2330" t="str">
        <f>"FES1162723993"</f>
        <v>FES1162723993</v>
      </c>
      <c r="F2330" s="3">
        <v>43789</v>
      </c>
      <c r="G2330">
        <v>202005</v>
      </c>
      <c r="H2330" t="s">
        <v>75</v>
      </c>
      <c r="I2330" t="s">
        <v>76</v>
      </c>
      <c r="J2330" t="s">
        <v>77</v>
      </c>
      <c r="K2330" t="s">
        <v>78</v>
      </c>
      <c r="L2330" t="s">
        <v>124</v>
      </c>
      <c r="M2330" t="s">
        <v>125</v>
      </c>
      <c r="N2330" t="s">
        <v>218</v>
      </c>
      <c r="O2330" t="s">
        <v>82</v>
      </c>
      <c r="P2330" t="str">
        <f>"2170717988                    "</f>
        <v xml:space="preserve">2170717988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6.71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 s="4">
        <v>39.42</v>
      </c>
      <c r="BM2330" s="4">
        <v>5.91</v>
      </c>
      <c r="BN2330" s="4">
        <v>45.33</v>
      </c>
      <c r="BO2330" s="4">
        <v>45.33</v>
      </c>
      <c r="BQ2330" t="s">
        <v>121</v>
      </c>
      <c r="BR2330" t="s">
        <v>84</v>
      </c>
      <c r="BS2330" s="3">
        <v>43790</v>
      </c>
      <c r="BT2330" s="5">
        <v>0.35625000000000001</v>
      </c>
      <c r="BU2330" t="s">
        <v>2545</v>
      </c>
      <c r="BV2330" t="s">
        <v>86</v>
      </c>
      <c r="BY2330">
        <v>1200</v>
      </c>
      <c r="CC2330" t="s">
        <v>125</v>
      </c>
      <c r="CD2330">
        <v>2094</v>
      </c>
      <c r="CE2330" t="s">
        <v>147</v>
      </c>
      <c r="CF2330" s="3">
        <v>43791</v>
      </c>
      <c r="CI2330">
        <v>1</v>
      </c>
      <c r="CJ2330">
        <v>1</v>
      </c>
      <c r="CK2330">
        <v>22</v>
      </c>
      <c r="CL2330" t="s">
        <v>89</v>
      </c>
    </row>
    <row r="2331" spans="1:90">
      <c r="A2331" t="s">
        <v>72</v>
      </c>
      <c r="B2331" t="s">
        <v>73</v>
      </c>
      <c r="C2331" t="s">
        <v>74</v>
      </c>
      <c r="E2331" t="str">
        <f>"FES1162724008"</f>
        <v>FES1162724008</v>
      </c>
      <c r="F2331" s="3">
        <v>43789</v>
      </c>
      <c r="G2331">
        <v>202005</v>
      </c>
      <c r="H2331" t="s">
        <v>75</v>
      </c>
      <c r="I2331" t="s">
        <v>76</v>
      </c>
      <c r="J2331" t="s">
        <v>77</v>
      </c>
      <c r="K2331" t="s">
        <v>78</v>
      </c>
      <c r="L2331" t="s">
        <v>681</v>
      </c>
      <c r="M2331" t="s">
        <v>682</v>
      </c>
      <c r="N2331" t="s">
        <v>2569</v>
      </c>
      <c r="O2331" t="s">
        <v>82</v>
      </c>
      <c r="P2331" t="str">
        <f>"2170717993                    "</f>
        <v xml:space="preserve">2170717993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12.07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 s="4">
        <v>70.95</v>
      </c>
      <c r="BM2331" s="4">
        <v>10.64</v>
      </c>
      <c r="BN2331" s="4">
        <v>81.59</v>
      </c>
      <c r="BO2331" s="4">
        <v>81.59</v>
      </c>
      <c r="BQ2331" t="s">
        <v>142</v>
      </c>
      <c r="BR2331" t="s">
        <v>84</v>
      </c>
      <c r="BS2331" s="3">
        <v>43790</v>
      </c>
      <c r="BT2331" s="5">
        <v>0.41666666666666669</v>
      </c>
      <c r="BU2331" t="s">
        <v>2570</v>
      </c>
      <c r="BV2331" t="s">
        <v>86</v>
      </c>
      <c r="BY2331">
        <v>1200</v>
      </c>
      <c r="CA2331" t="s">
        <v>1224</v>
      </c>
      <c r="CC2331" t="s">
        <v>682</v>
      </c>
      <c r="CD2331">
        <v>1929</v>
      </c>
      <c r="CE2331" t="s">
        <v>147</v>
      </c>
      <c r="CF2331" s="3">
        <v>43791</v>
      </c>
      <c r="CI2331">
        <v>1</v>
      </c>
      <c r="CJ2331">
        <v>1</v>
      </c>
      <c r="CK2331">
        <v>24</v>
      </c>
      <c r="CL2331" t="s">
        <v>89</v>
      </c>
    </row>
    <row r="2332" spans="1:90">
      <c r="A2332" t="s">
        <v>72</v>
      </c>
      <c r="B2332" t="s">
        <v>73</v>
      </c>
      <c r="C2332" t="s">
        <v>74</v>
      </c>
      <c r="E2332" t="str">
        <f>"FES1162724012"</f>
        <v>FES1162724012</v>
      </c>
      <c r="F2332" s="3">
        <v>43789</v>
      </c>
      <c r="G2332">
        <v>202005</v>
      </c>
      <c r="H2332" t="s">
        <v>75</v>
      </c>
      <c r="I2332" t="s">
        <v>76</v>
      </c>
      <c r="J2332" t="s">
        <v>77</v>
      </c>
      <c r="K2332" t="s">
        <v>78</v>
      </c>
      <c r="L2332" t="s">
        <v>578</v>
      </c>
      <c r="M2332" t="s">
        <v>579</v>
      </c>
      <c r="N2332" t="s">
        <v>580</v>
      </c>
      <c r="O2332" t="s">
        <v>82</v>
      </c>
      <c r="P2332" t="str">
        <f>"2170717997                    "</f>
        <v xml:space="preserve">2170717997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10.73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0.7</v>
      </c>
      <c r="BJ2332">
        <v>2.4</v>
      </c>
      <c r="BK2332">
        <v>2.5</v>
      </c>
      <c r="BL2332" s="4">
        <v>63.06</v>
      </c>
      <c r="BM2332" s="4">
        <v>9.4600000000000009</v>
      </c>
      <c r="BN2332" s="4">
        <v>72.52</v>
      </c>
      <c r="BO2332" s="4">
        <v>72.52</v>
      </c>
      <c r="BQ2332" t="s">
        <v>121</v>
      </c>
      <c r="BR2332" t="s">
        <v>84</v>
      </c>
      <c r="BS2332" s="3">
        <v>43790</v>
      </c>
      <c r="BT2332" s="5">
        <v>0.44305555555555554</v>
      </c>
      <c r="BU2332" t="s">
        <v>2571</v>
      </c>
      <c r="BV2332" t="s">
        <v>86</v>
      </c>
      <c r="BY2332">
        <v>11879.47</v>
      </c>
      <c r="CA2332" t="s">
        <v>583</v>
      </c>
      <c r="CC2332" t="s">
        <v>579</v>
      </c>
      <c r="CD2332">
        <v>7599</v>
      </c>
      <c r="CE2332" t="s">
        <v>88</v>
      </c>
      <c r="CF2332" s="3">
        <v>43791</v>
      </c>
      <c r="CI2332">
        <v>1</v>
      </c>
      <c r="CJ2332">
        <v>1</v>
      </c>
      <c r="CK2332">
        <v>21</v>
      </c>
      <c r="CL2332" t="s">
        <v>89</v>
      </c>
    </row>
    <row r="2333" spans="1:90">
      <c r="A2333" t="s">
        <v>72</v>
      </c>
      <c r="B2333" t="s">
        <v>73</v>
      </c>
      <c r="C2333" t="s">
        <v>74</v>
      </c>
      <c r="E2333" t="str">
        <f>"FES1162724027"</f>
        <v>FES1162724027</v>
      </c>
      <c r="F2333" s="3">
        <v>43789</v>
      </c>
      <c r="G2333">
        <v>202005</v>
      </c>
      <c r="H2333" t="s">
        <v>75</v>
      </c>
      <c r="I2333" t="s">
        <v>76</v>
      </c>
      <c r="J2333" t="s">
        <v>77</v>
      </c>
      <c r="K2333" t="s">
        <v>78</v>
      </c>
      <c r="L2333" t="s">
        <v>214</v>
      </c>
      <c r="M2333" t="s">
        <v>214</v>
      </c>
      <c r="N2333" t="s">
        <v>312</v>
      </c>
      <c r="O2333" t="s">
        <v>82</v>
      </c>
      <c r="P2333" t="str">
        <f>"2170718013                    "</f>
        <v xml:space="preserve">2170718013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35.409999999999997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3.5</v>
      </c>
      <c r="BJ2333">
        <v>4.5</v>
      </c>
      <c r="BK2333">
        <v>4.5</v>
      </c>
      <c r="BL2333" s="4">
        <v>208.13</v>
      </c>
      <c r="BM2333" s="4">
        <v>31.22</v>
      </c>
      <c r="BN2333" s="4">
        <v>239.35</v>
      </c>
      <c r="BO2333" s="4">
        <v>239.35</v>
      </c>
      <c r="BQ2333" t="s">
        <v>121</v>
      </c>
      <c r="BR2333" t="s">
        <v>84</v>
      </c>
      <c r="BS2333" s="3">
        <v>43790</v>
      </c>
      <c r="BT2333" s="5">
        <v>0.43333333333333335</v>
      </c>
      <c r="BU2333" t="s">
        <v>313</v>
      </c>
      <c r="BV2333" t="s">
        <v>86</v>
      </c>
      <c r="BY2333">
        <v>22521.95</v>
      </c>
      <c r="CA2333" t="s">
        <v>217</v>
      </c>
      <c r="CC2333" t="s">
        <v>214</v>
      </c>
      <c r="CD2333">
        <v>7646</v>
      </c>
      <c r="CE2333" t="s">
        <v>88</v>
      </c>
      <c r="CF2333" s="3">
        <v>43791</v>
      </c>
      <c r="CI2333">
        <v>1</v>
      </c>
      <c r="CJ2333">
        <v>1</v>
      </c>
      <c r="CK2333">
        <v>23</v>
      </c>
      <c r="CL2333" t="s">
        <v>89</v>
      </c>
    </row>
    <row r="2334" spans="1:90">
      <c r="A2334" t="s">
        <v>72</v>
      </c>
      <c r="B2334" t="s">
        <v>73</v>
      </c>
      <c r="C2334" t="s">
        <v>74</v>
      </c>
      <c r="E2334" t="str">
        <f>"FES1162723975"</f>
        <v>FES1162723975</v>
      </c>
      <c r="F2334" s="3">
        <v>43789</v>
      </c>
      <c r="G2334">
        <v>202005</v>
      </c>
      <c r="H2334" t="s">
        <v>75</v>
      </c>
      <c r="I2334" t="s">
        <v>76</v>
      </c>
      <c r="J2334" t="s">
        <v>77</v>
      </c>
      <c r="K2334" t="s">
        <v>78</v>
      </c>
      <c r="L2334" t="s">
        <v>202</v>
      </c>
      <c r="M2334" t="s">
        <v>203</v>
      </c>
      <c r="N2334" t="s">
        <v>1372</v>
      </c>
      <c r="O2334" t="s">
        <v>82</v>
      </c>
      <c r="P2334" t="str">
        <f>"2170717963                    "</f>
        <v xml:space="preserve">2170717963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6.71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1.1000000000000001</v>
      </c>
      <c r="BJ2334">
        <v>0.8</v>
      </c>
      <c r="BK2334">
        <v>1.5</v>
      </c>
      <c r="BL2334" s="4">
        <v>39.42</v>
      </c>
      <c r="BM2334" s="4">
        <v>5.91</v>
      </c>
      <c r="BN2334" s="4">
        <v>45.33</v>
      </c>
      <c r="BO2334" s="4">
        <v>45.33</v>
      </c>
      <c r="BQ2334" t="s">
        <v>121</v>
      </c>
      <c r="BR2334" t="s">
        <v>84</v>
      </c>
      <c r="BS2334" s="3">
        <v>43790</v>
      </c>
      <c r="BT2334" s="5">
        <v>0.375</v>
      </c>
      <c r="BU2334" t="s">
        <v>1774</v>
      </c>
      <c r="BV2334" t="s">
        <v>86</v>
      </c>
      <c r="BY2334">
        <v>4147.43</v>
      </c>
      <c r="CC2334" t="s">
        <v>203</v>
      </c>
      <c r="CD2334">
        <v>1422</v>
      </c>
      <c r="CE2334" t="s">
        <v>88</v>
      </c>
      <c r="CF2334" s="3">
        <v>43791</v>
      </c>
      <c r="CI2334">
        <v>1</v>
      </c>
      <c r="CJ2334">
        <v>1</v>
      </c>
      <c r="CK2334">
        <v>22</v>
      </c>
      <c r="CL2334" t="s">
        <v>89</v>
      </c>
    </row>
    <row r="2335" spans="1:90">
      <c r="A2335" t="s">
        <v>72</v>
      </c>
      <c r="B2335" t="s">
        <v>73</v>
      </c>
      <c r="C2335" t="s">
        <v>74</v>
      </c>
      <c r="E2335" t="str">
        <f>"FES1162723973"</f>
        <v>FES1162723973</v>
      </c>
      <c r="F2335" s="3">
        <v>43789</v>
      </c>
      <c r="G2335">
        <v>202005</v>
      </c>
      <c r="H2335" t="s">
        <v>75</v>
      </c>
      <c r="I2335" t="s">
        <v>76</v>
      </c>
      <c r="J2335" t="s">
        <v>77</v>
      </c>
      <c r="K2335" t="s">
        <v>78</v>
      </c>
      <c r="L2335" t="s">
        <v>344</v>
      </c>
      <c r="M2335" t="s">
        <v>345</v>
      </c>
      <c r="N2335" t="s">
        <v>1143</v>
      </c>
      <c r="O2335" t="s">
        <v>82</v>
      </c>
      <c r="P2335" t="str">
        <f>"2170717959                    "</f>
        <v xml:space="preserve">2170717959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6.71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1.5</v>
      </c>
      <c r="BJ2335">
        <v>1.3</v>
      </c>
      <c r="BK2335">
        <v>1.5</v>
      </c>
      <c r="BL2335" s="4">
        <v>39.42</v>
      </c>
      <c r="BM2335" s="4">
        <v>5.91</v>
      </c>
      <c r="BN2335" s="4">
        <v>45.33</v>
      </c>
      <c r="BO2335" s="4">
        <v>45.33</v>
      </c>
      <c r="BQ2335" t="s">
        <v>121</v>
      </c>
      <c r="BR2335" t="s">
        <v>84</v>
      </c>
      <c r="BS2335" s="3">
        <v>43790</v>
      </c>
      <c r="BT2335" s="5">
        <v>0.34513888888888888</v>
      </c>
      <c r="BU2335" t="s">
        <v>2572</v>
      </c>
      <c r="BV2335" t="s">
        <v>86</v>
      </c>
      <c r="BY2335">
        <v>6454.56</v>
      </c>
      <c r="CA2335" t="s">
        <v>348</v>
      </c>
      <c r="CC2335" t="s">
        <v>345</v>
      </c>
      <c r="CD2335">
        <v>2163</v>
      </c>
      <c r="CE2335" t="s">
        <v>88</v>
      </c>
      <c r="CF2335" s="3">
        <v>43791</v>
      </c>
      <c r="CI2335">
        <v>1</v>
      </c>
      <c r="CJ2335">
        <v>1</v>
      </c>
      <c r="CK2335">
        <v>22</v>
      </c>
      <c r="CL2335" t="s">
        <v>89</v>
      </c>
    </row>
    <row r="2336" spans="1:90">
      <c r="A2336" t="s">
        <v>72</v>
      </c>
      <c r="B2336" t="s">
        <v>73</v>
      </c>
      <c r="C2336" t="s">
        <v>74</v>
      </c>
      <c r="E2336" t="str">
        <f>"FES1162724001"</f>
        <v>FES1162724001</v>
      </c>
      <c r="F2336" s="3">
        <v>43789</v>
      </c>
      <c r="G2336">
        <v>202005</v>
      </c>
      <c r="H2336" t="s">
        <v>75</v>
      </c>
      <c r="I2336" t="s">
        <v>76</v>
      </c>
      <c r="J2336" t="s">
        <v>77</v>
      </c>
      <c r="K2336" t="s">
        <v>78</v>
      </c>
      <c r="L2336" t="s">
        <v>106</v>
      </c>
      <c r="M2336" t="s">
        <v>107</v>
      </c>
      <c r="N2336" t="s">
        <v>489</v>
      </c>
      <c r="O2336" t="s">
        <v>82</v>
      </c>
      <c r="P2336" t="str">
        <f>"2170714494                    "</f>
        <v xml:space="preserve">2170714494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12.87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0.9</v>
      </c>
      <c r="BJ2336">
        <v>2.6</v>
      </c>
      <c r="BK2336">
        <v>3</v>
      </c>
      <c r="BL2336" s="4">
        <v>75.66</v>
      </c>
      <c r="BM2336" s="4">
        <v>11.35</v>
      </c>
      <c r="BN2336" s="4">
        <v>87.01</v>
      </c>
      <c r="BO2336" s="4">
        <v>87.01</v>
      </c>
      <c r="BQ2336" t="s">
        <v>121</v>
      </c>
      <c r="BR2336" t="s">
        <v>84</v>
      </c>
      <c r="BS2336" s="3">
        <v>43790</v>
      </c>
      <c r="BT2336" s="5">
        <v>0.4236111111111111</v>
      </c>
      <c r="BU2336" t="s">
        <v>2506</v>
      </c>
      <c r="BV2336" t="s">
        <v>86</v>
      </c>
      <c r="BY2336">
        <v>12836.1</v>
      </c>
      <c r="CA2336" t="s">
        <v>773</v>
      </c>
      <c r="CC2336" t="s">
        <v>107</v>
      </c>
      <c r="CD2336">
        <v>6001</v>
      </c>
      <c r="CE2336" t="s">
        <v>88</v>
      </c>
      <c r="CF2336" s="3">
        <v>43791</v>
      </c>
      <c r="CI2336">
        <v>1</v>
      </c>
      <c r="CJ2336">
        <v>1</v>
      </c>
      <c r="CK2336">
        <v>21</v>
      </c>
      <c r="CL2336" t="s">
        <v>89</v>
      </c>
    </row>
    <row r="2337" spans="1:90">
      <c r="A2337" t="s">
        <v>72</v>
      </c>
      <c r="B2337" t="s">
        <v>73</v>
      </c>
      <c r="C2337" t="s">
        <v>74</v>
      </c>
      <c r="E2337" t="str">
        <f>"FES1162723959"</f>
        <v>FES1162723959</v>
      </c>
      <c r="F2337" s="3">
        <v>43789</v>
      </c>
      <c r="G2337">
        <v>202005</v>
      </c>
      <c r="H2337" t="s">
        <v>75</v>
      </c>
      <c r="I2337" t="s">
        <v>76</v>
      </c>
      <c r="J2337" t="s">
        <v>77</v>
      </c>
      <c r="K2337" t="s">
        <v>78</v>
      </c>
      <c r="L2337" t="s">
        <v>101</v>
      </c>
      <c r="M2337" t="s">
        <v>102</v>
      </c>
      <c r="N2337" t="s">
        <v>879</v>
      </c>
      <c r="O2337" t="s">
        <v>82</v>
      </c>
      <c r="P2337" t="str">
        <f>"217071941                     "</f>
        <v xml:space="preserve">217071941 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8.58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 s="4">
        <v>50.45</v>
      </c>
      <c r="BM2337" s="4">
        <v>7.57</v>
      </c>
      <c r="BN2337" s="4">
        <v>58.02</v>
      </c>
      <c r="BO2337" s="4">
        <v>58.02</v>
      </c>
      <c r="BQ2337" t="s">
        <v>142</v>
      </c>
      <c r="BR2337" t="s">
        <v>84</v>
      </c>
      <c r="BS2337" s="3">
        <v>43790</v>
      </c>
      <c r="BT2337" s="5">
        <v>0.38194444444444442</v>
      </c>
      <c r="BU2337" t="s">
        <v>2573</v>
      </c>
      <c r="BV2337" t="s">
        <v>86</v>
      </c>
      <c r="BY2337">
        <v>1200</v>
      </c>
      <c r="CC2337" t="s">
        <v>102</v>
      </c>
      <c r="CD2337">
        <v>200</v>
      </c>
      <c r="CE2337" t="s">
        <v>147</v>
      </c>
      <c r="CF2337" s="3">
        <v>43791</v>
      </c>
      <c r="CI2337">
        <v>1</v>
      </c>
      <c r="CJ2337">
        <v>1</v>
      </c>
      <c r="CK2337">
        <v>21</v>
      </c>
      <c r="CL2337" t="s">
        <v>89</v>
      </c>
    </row>
    <row r="2338" spans="1:90">
      <c r="A2338" t="s">
        <v>72</v>
      </c>
      <c r="B2338" t="s">
        <v>73</v>
      </c>
      <c r="C2338" t="s">
        <v>74</v>
      </c>
      <c r="E2338" t="str">
        <f>"FES1162723958"</f>
        <v>FES1162723958</v>
      </c>
      <c r="F2338" s="3">
        <v>43789</v>
      </c>
      <c r="G2338">
        <v>202005</v>
      </c>
      <c r="H2338" t="s">
        <v>75</v>
      </c>
      <c r="I2338" t="s">
        <v>76</v>
      </c>
      <c r="J2338" t="s">
        <v>77</v>
      </c>
      <c r="K2338" t="s">
        <v>78</v>
      </c>
      <c r="L2338" t="s">
        <v>106</v>
      </c>
      <c r="M2338" t="s">
        <v>107</v>
      </c>
      <c r="N2338" t="s">
        <v>108</v>
      </c>
      <c r="O2338" t="s">
        <v>82</v>
      </c>
      <c r="P2338" t="str">
        <f>"2170717940                    "</f>
        <v xml:space="preserve">2170717940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8.58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 s="4">
        <v>50.45</v>
      </c>
      <c r="BM2338" s="4">
        <v>7.57</v>
      </c>
      <c r="BN2338" s="4">
        <v>58.02</v>
      </c>
      <c r="BO2338" s="4">
        <v>58.02</v>
      </c>
      <c r="BQ2338" t="s">
        <v>109</v>
      </c>
      <c r="BR2338" t="s">
        <v>84</v>
      </c>
      <c r="BS2338" s="3">
        <v>43790</v>
      </c>
      <c r="BT2338" s="5">
        <v>0.39513888888888887</v>
      </c>
      <c r="BU2338" t="s">
        <v>2443</v>
      </c>
      <c r="BV2338" t="s">
        <v>86</v>
      </c>
      <c r="BY2338">
        <v>1200</v>
      </c>
      <c r="CA2338" t="s">
        <v>2415</v>
      </c>
      <c r="CC2338" t="s">
        <v>107</v>
      </c>
      <c r="CD2338">
        <v>6001</v>
      </c>
      <c r="CE2338" t="s">
        <v>147</v>
      </c>
      <c r="CF2338" s="3">
        <v>43791</v>
      </c>
      <c r="CI2338">
        <v>1</v>
      </c>
      <c r="CJ2338">
        <v>1</v>
      </c>
      <c r="CK2338">
        <v>21</v>
      </c>
      <c r="CL2338" t="s">
        <v>89</v>
      </c>
    </row>
    <row r="2339" spans="1:90">
      <c r="A2339" t="s">
        <v>72</v>
      </c>
      <c r="B2339" t="s">
        <v>73</v>
      </c>
      <c r="C2339" t="s">
        <v>74</v>
      </c>
      <c r="E2339" t="str">
        <f>"FES1162724004"</f>
        <v>FES1162724004</v>
      </c>
      <c r="F2339" s="3">
        <v>43789</v>
      </c>
      <c r="G2339">
        <v>202005</v>
      </c>
      <c r="H2339" t="s">
        <v>75</v>
      </c>
      <c r="I2339" t="s">
        <v>76</v>
      </c>
      <c r="J2339" t="s">
        <v>77</v>
      </c>
      <c r="K2339" t="s">
        <v>78</v>
      </c>
      <c r="L2339" t="s">
        <v>79</v>
      </c>
      <c r="M2339" t="s">
        <v>80</v>
      </c>
      <c r="N2339" t="s">
        <v>458</v>
      </c>
      <c r="O2339" t="s">
        <v>82</v>
      </c>
      <c r="P2339" t="str">
        <f>"2170715256                    "</f>
        <v xml:space="preserve">2170715256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8.58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1.7</v>
      </c>
      <c r="BJ2339">
        <v>1.1000000000000001</v>
      </c>
      <c r="BK2339">
        <v>2</v>
      </c>
      <c r="BL2339" s="4">
        <v>50.45</v>
      </c>
      <c r="BM2339" s="4">
        <v>7.57</v>
      </c>
      <c r="BN2339" s="4">
        <v>58.02</v>
      </c>
      <c r="BO2339" s="4">
        <v>58.02</v>
      </c>
      <c r="BQ2339" t="s">
        <v>109</v>
      </c>
      <c r="BR2339" t="s">
        <v>84</v>
      </c>
      <c r="BS2339" s="3">
        <v>43790</v>
      </c>
      <c r="BT2339" s="5">
        <v>0.32291666666666669</v>
      </c>
      <c r="BU2339" t="s">
        <v>2519</v>
      </c>
      <c r="BV2339" t="s">
        <v>86</v>
      </c>
      <c r="BY2339">
        <v>5413.36</v>
      </c>
      <c r="CA2339" t="s">
        <v>854</v>
      </c>
      <c r="CC2339" t="s">
        <v>80</v>
      </c>
      <c r="CD2339">
        <v>6230</v>
      </c>
      <c r="CE2339" t="s">
        <v>88</v>
      </c>
      <c r="CF2339" s="3">
        <v>43791</v>
      </c>
      <c r="CI2339">
        <v>1</v>
      </c>
      <c r="CJ2339">
        <v>1</v>
      </c>
      <c r="CK2339">
        <v>21</v>
      </c>
      <c r="CL2339" t="s">
        <v>89</v>
      </c>
    </row>
    <row r="2340" spans="1:90">
      <c r="A2340" t="s">
        <v>72</v>
      </c>
      <c r="B2340" t="s">
        <v>73</v>
      </c>
      <c r="C2340" t="s">
        <v>74</v>
      </c>
      <c r="E2340" t="str">
        <f>"FES1162723940"</f>
        <v>FES1162723940</v>
      </c>
      <c r="F2340" s="3">
        <v>43789</v>
      </c>
      <c r="G2340">
        <v>202005</v>
      </c>
      <c r="H2340" t="s">
        <v>75</v>
      </c>
      <c r="I2340" t="s">
        <v>76</v>
      </c>
      <c r="J2340" t="s">
        <v>77</v>
      </c>
      <c r="K2340" t="s">
        <v>78</v>
      </c>
      <c r="L2340" t="s">
        <v>106</v>
      </c>
      <c r="M2340" t="s">
        <v>107</v>
      </c>
      <c r="N2340" t="s">
        <v>386</v>
      </c>
      <c r="O2340" t="s">
        <v>82</v>
      </c>
      <c r="P2340" t="str">
        <f>"2170717917                    "</f>
        <v xml:space="preserve">2170717917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8.58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 s="4">
        <v>50.45</v>
      </c>
      <c r="BM2340" s="4">
        <v>7.57</v>
      </c>
      <c r="BN2340" s="4">
        <v>58.02</v>
      </c>
      <c r="BO2340" s="4">
        <v>58.02</v>
      </c>
      <c r="BQ2340" t="s">
        <v>387</v>
      </c>
      <c r="BR2340" t="s">
        <v>84</v>
      </c>
      <c r="BS2340" s="3">
        <v>43790</v>
      </c>
      <c r="BT2340" s="5">
        <v>0.36805555555555558</v>
      </c>
      <c r="BU2340" t="s">
        <v>2574</v>
      </c>
      <c r="BV2340" t="s">
        <v>86</v>
      </c>
      <c r="BY2340">
        <v>1200</v>
      </c>
      <c r="CA2340" t="s">
        <v>2415</v>
      </c>
      <c r="CC2340" t="s">
        <v>107</v>
      </c>
      <c r="CD2340">
        <v>6001</v>
      </c>
      <c r="CE2340" t="s">
        <v>147</v>
      </c>
      <c r="CF2340" s="3">
        <v>43791</v>
      </c>
      <c r="CI2340">
        <v>1</v>
      </c>
      <c r="CJ2340">
        <v>1</v>
      </c>
      <c r="CK2340">
        <v>21</v>
      </c>
      <c r="CL2340" t="s">
        <v>89</v>
      </c>
    </row>
    <row r="2341" spans="1:90">
      <c r="A2341" t="s">
        <v>72</v>
      </c>
      <c r="B2341" t="s">
        <v>73</v>
      </c>
      <c r="C2341" t="s">
        <v>74</v>
      </c>
      <c r="E2341" t="str">
        <f>"FES1162723935"</f>
        <v>FES1162723935</v>
      </c>
      <c r="F2341" s="3">
        <v>43789</v>
      </c>
      <c r="G2341">
        <v>202005</v>
      </c>
      <c r="H2341" t="s">
        <v>75</v>
      </c>
      <c r="I2341" t="s">
        <v>76</v>
      </c>
      <c r="J2341" t="s">
        <v>77</v>
      </c>
      <c r="K2341" t="s">
        <v>78</v>
      </c>
      <c r="L2341" t="s">
        <v>106</v>
      </c>
      <c r="M2341" t="s">
        <v>107</v>
      </c>
      <c r="N2341" t="s">
        <v>386</v>
      </c>
      <c r="O2341" t="s">
        <v>82</v>
      </c>
      <c r="P2341" t="str">
        <f>"2170717911                    "</f>
        <v xml:space="preserve">2170717911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8.58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 s="4">
        <v>50.45</v>
      </c>
      <c r="BM2341" s="4">
        <v>7.57</v>
      </c>
      <c r="BN2341" s="4">
        <v>58.02</v>
      </c>
      <c r="BO2341" s="4">
        <v>58.02</v>
      </c>
      <c r="BQ2341" t="s">
        <v>387</v>
      </c>
      <c r="BR2341" t="s">
        <v>84</v>
      </c>
      <c r="BS2341" s="3">
        <v>43790</v>
      </c>
      <c r="BT2341" s="5">
        <v>0.36805555555555558</v>
      </c>
      <c r="BU2341" t="s">
        <v>2574</v>
      </c>
      <c r="BV2341" t="s">
        <v>86</v>
      </c>
      <c r="BY2341">
        <v>1200</v>
      </c>
      <c r="CA2341" t="s">
        <v>2415</v>
      </c>
      <c r="CC2341" t="s">
        <v>107</v>
      </c>
      <c r="CD2341">
        <v>6001</v>
      </c>
      <c r="CE2341" t="s">
        <v>147</v>
      </c>
      <c r="CF2341" s="3">
        <v>43791</v>
      </c>
      <c r="CI2341">
        <v>1</v>
      </c>
      <c r="CJ2341">
        <v>1</v>
      </c>
      <c r="CK2341">
        <v>21</v>
      </c>
      <c r="CL2341" t="s">
        <v>89</v>
      </c>
    </row>
    <row r="2342" spans="1:90">
      <c r="A2342" t="s">
        <v>72</v>
      </c>
      <c r="B2342" t="s">
        <v>73</v>
      </c>
      <c r="C2342" t="s">
        <v>74</v>
      </c>
      <c r="E2342" t="str">
        <f>"FES1162723971"</f>
        <v>FES1162723971</v>
      </c>
      <c r="F2342" s="3">
        <v>43789</v>
      </c>
      <c r="G2342">
        <v>202005</v>
      </c>
      <c r="H2342" t="s">
        <v>75</v>
      </c>
      <c r="I2342" t="s">
        <v>76</v>
      </c>
      <c r="J2342" t="s">
        <v>77</v>
      </c>
      <c r="K2342" t="s">
        <v>78</v>
      </c>
      <c r="L2342" t="s">
        <v>133</v>
      </c>
      <c r="M2342" t="s">
        <v>134</v>
      </c>
      <c r="N2342" t="s">
        <v>1392</v>
      </c>
      <c r="O2342" t="s">
        <v>82</v>
      </c>
      <c r="P2342" t="str">
        <f>"217071954                     "</f>
        <v xml:space="preserve">217071954 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8.58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 s="4">
        <v>50.45</v>
      </c>
      <c r="BM2342" s="4">
        <v>7.57</v>
      </c>
      <c r="BN2342" s="4">
        <v>58.02</v>
      </c>
      <c r="BO2342" s="4">
        <v>58.02</v>
      </c>
      <c r="BQ2342" t="s">
        <v>109</v>
      </c>
      <c r="BR2342" t="s">
        <v>84</v>
      </c>
      <c r="BS2342" s="3">
        <v>43790</v>
      </c>
      <c r="BT2342" s="5">
        <v>0.4152777777777778</v>
      </c>
      <c r="BU2342" t="s">
        <v>2575</v>
      </c>
      <c r="BV2342" t="s">
        <v>86</v>
      </c>
      <c r="BY2342">
        <v>1200</v>
      </c>
      <c r="CA2342" t="s">
        <v>1910</v>
      </c>
      <c r="CC2342" t="s">
        <v>134</v>
      </c>
      <c r="CD2342">
        <v>5201</v>
      </c>
      <c r="CE2342" t="s">
        <v>147</v>
      </c>
      <c r="CF2342" s="3">
        <v>43791</v>
      </c>
      <c r="CI2342">
        <v>1</v>
      </c>
      <c r="CJ2342">
        <v>1</v>
      </c>
      <c r="CK2342">
        <v>21</v>
      </c>
      <c r="CL2342" t="s">
        <v>89</v>
      </c>
    </row>
    <row r="2343" spans="1:90">
      <c r="A2343" t="s">
        <v>72</v>
      </c>
      <c r="B2343" t="s">
        <v>73</v>
      </c>
      <c r="C2343" t="s">
        <v>74</v>
      </c>
      <c r="E2343" t="str">
        <f>"FES1162723906"</f>
        <v>FES1162723906</v>
      </c>
      <c r="F2343" s="3">
        <v>43789</v>
      </c>
      <c r="G2343">
        <v>202005</v>
      </c>
      <c r="H2343" t="s">
        <v>75</v>
      </c>
      <c r="I2343" t="s">
        <v>76</v>
      </c>
      <c r="J2343" t="s">
        <v>77</v>
      </c>
      <c r="K2343" t="s">
        <v>78</v>
      </c>
      <c r="L2343" t="s">
        <v>106</v>
      </c>
      <c r="M2343" t="s">
        <v>107</v>
      </c>
      <c r="N2343" t="s">
        <v>324</v>
      </c>
      <c r="O2343" t="s">
        <v>82</v>
      </c>
      <c r="P2343" t="str">
        <f>"2170717576                    "</f>
        <v xml:space="preserve">2170717576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8.58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 s="4">
        <v>50.45</v>
      </c>
      <c r="BM2343" s="4">
        <v>7.57</v>
      </c>
      <c r="BN2343" s="4">
        <v>58.02</v>
      </c>
      <c r="BO2343" s="4">
        <v>58.02</v>
      </c>
      <c r="BQ2343" t="s">
        <v>187</v>
      </c>
      <c r="BR2343" t="s">
        <v>84</v>
      </c>
      <c r="BS2343" s="3">
        <v>43790</v>
      </c>
      <c r="BT2343" s="5">
        <v>0.36458333333333331</v>
      </c>
      <c r="BU2343" t="s">
        <v>2552</v>
      </c>
      <c r="BV2343" t="s">
        <v>86</v>
      </c>
      <c r="BY2343">
        <v>1200</v>
      </c>
      <c r="CA2343" t="s">
        <v>2415</v>
      </c>
      <c r="CC2343" t="s">
        <v>107</v>
      </c>
      <c r="CD2343">
        <v>6001</v>
      </c>
      <c r="CE2343" t="s">
        <v>147</v>
      </c>
      <c r="CF2343" s="3">
        <v>43791</v>
      </c>
      <c r="CI2343">
        <v>1</v>
      </c>
      <c r="CJ2343">
        <v>1</v>
      </c>
      <c r="CK2343">
        <v>21</v>
      </c>
      <c r="CL2343" t="s">
        <v>89</v>
      </c>
    </row>
    <row r="2344" spans="1:90">
      <c r="A2344" t="s">
        <v>72</v>
      </c>
      <c r="B2344" t="s">
        <v>73</v>
      </c>
      <c r="C2344" t="s">
        <v>74</v>
      </c>
      <c r="E2344" t="str">
        <f>"FES1162723932"</f>
        <v>FES1162723932</v>
      </c>
      <c r="F2344" s="3">
        <v>43789</v>
      </c>
      <c r="G2344">
        <v>202005</v>
      </c>
      <c r="H2344" t="s">
        <v>75</v>
      </c>
      <c r="I2344" t="s">
        <v>76</v>
      </c>
      <c r="J2344" t="s">
        <v>77</v>
      </c>
      <c r="K2344" t="s">
        <v>78</v>
      </c>
      <c r="L2344" t="s">
        <v>251</v>
      </c>
      <c r="M2344" t="s">
        <v>252</v>
      </c>
      <c r="N2344" t="s">
        <v>330</v>
      </c>
      <c r="O2344" t="s">
        <v>82</v>
      </c>
      <c r="P2344" t="str">
        <f>"2170717726                    "</f>
        <v xml:space="preserve">2170717726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8.58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 s="4">
        <v>50.45</v>
      </c>
      <c r="BM2344" s="4">
        <v>7.57</v>
      </c>
      <c r="BN2344" s="4">
        <v>58.02</v>
      </c>
      <c r="BO2344" s="4">
        <v>58.02</v>
      </c>
      <c r="BQ2344" t="s">
        <v>109</v>
      </c>
      <c r="BR2344" t="s">
        <v>84</v>
      </c>
      <c r="BS2344" s="3">
        <v>43790</v>
      </c>
      <c r="BT2344" s="5">
        <v>0.37777777777777777</v>
      </c>
      <c r="BU2344" t="s">
        <v>331</v>
      </c>
      <c r="BV2344" t="s">
        <v>86</v>
      </c>
      <c r="BY2344">
        <v>1200</v>
      </c>
      <c r="CA2344" t="s">
        <v>255</v>
      </c>
      <c r="CC2344" t="s">
        <v>252</v>
      </c>
      <c r="CD2344">
        <v>4133</v>
      </c>
      <c r="CE2344" t="s">
        <v>147</v>
      </c>
      <c r="CF2344" s="3">
        <v>43791</v>
      </c>
      <c r="CI2344">
        <v>1</v>
      </c>
      <c r="CJ2344">
        <v>1</v>
      </c>
      <c r="CK2344">
        <v>21</v>
      </c>
      <c r="CL2344" t="s">
        <v>89</v>
      </c>
    </row>
    <row r="2345" spans="1:90">
      <c r="A2345" t="s">
        <v>72</v>
      </c>
      <c r="B2345" t="s">
        <v>73</v>
      </c>
      <c r="C2345" t="s">
        <v>74</v>
      </c>
      <c r="E2345" t="str">
        <f>"FES1162723902"</f>
        <v>FES1162723902</v>
      </c>
      <c r="F2345" s="3">
        <v>43789</v>
      </c>
      <c r="G2345">
        <v>202005</v>
      </c>
      <c r="H2345" t="s">
        <v>75</v>
      </c>
      <c r="I2345" t="s">
        <v>76</v>
      </c>
      <c r="J2345" t="s">
        <v>77</v>
      </c>
      <c r="K2345" t="s">
        <v>78</v>
      </c>
      <c r="L2345" t="s">
        <v>124</v>
      </c>
      <c r="M2345" t="s">
        <v>125</v>
      </c>
      <c r="N2345" t="s">
        <v>218</v>
      </c>
      <c r="O2345" t="s">
        <v>82</v>
      </c>
      <c r="P2345" t="str">
        <f>"2170717908                    "</f>
        <v xml:space="preserve">2170717908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6.71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 s="4">
        <v>39.42</v>
      </c>
      <c r="BM2345" s="4">
        <v>5.91</v>
      </c>
      <c r="BN2345" s="4">
        <v>45.33</v>
      </c>
      <c r="BO2345" s="4">
        <v>45.33</v>
      </c>
      <c r="BQ2345" t="s">
        <v>121</v>
      </c>
      <c r="BR2345" t="s">
        <v>84</v>
      </c>
      <c r="BS2345" s="3">
        <v>43790</v>
      </c>
      <c r="BT2345" s="5">
        <v>0.35416666666666669</v>
      </c>
      <c r="BU2345" t="s">
        <v>2551</v>
      </c>
      <c r="BV2345" t="s">
        <v>86</v>
      </c>
      <c r="BY2345">
        <v>1200</v>
      </c>
      <c r="CC2345" t="s">
        <v>125</v>
      </c>
      <c r="CD2345">
        <v>2094</v>
      </c>
      <c r="CE2345" t="s">
        <v>147</v>
      </c>
      <c r="CF2345" s="3">
        <v>43791</v>
      </c>
      <c r="CI2345">
        <v>1</v>
      </c>
      <c r="CJ2345">
        <v>1</v>
      </c>
      <c r="CK2345">
        <v>22</v>
      </c>
      <c r="CL2345" t="s">
        <v>89</v>
      </c>
    </row>
    <row r="2346" spans="1:90">
      <c r="A2346" t="s">
        <v>72</v>
      </c>
      <c r="B2346" t="s">
        <v>73</v>
      </c>
      <c r="C2346" t="s">
        <v>74</v>
      </c>
      <c r="E2346" t="str">
        <f>"FES1162723908"</f>
        <v>FES1162723908</v>
      </c>
      <c r="F2346" s="3">
        <v>43789</v>
      </c>
      <c r="G2346">
        <v>202005</v>
      </c>
      <c r="H2346" t="s">
        <v>75</v>
      </c>
      <c r="I2346" t="s">
        <v>76</v>
      </c>
      <c r="J2346" t="s">
        <v>77</v>
      </c>
      <c r="K2346" t="s">
        <v>78</v>
      </c>
      <c r="L2346" t="s">
        <v>339</v>
      </c>
      <c r="M2346" t="s">
        <v>340</v>
      </c>
      <c r="N2346" t="s">
        <v>341</v>
      </c>
      <c r="O2346" t="s">
        <v>82</v>
      </c>
      <c r="P2346" t="str">
        <f>"2170704897                    "</f>
        <v xml:space="preserve">2170704897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8.58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 s="4">
        <v>50.45</v>
      </c>
      <c r="BM2346" s="4">
        <v>7.57</v>
      </c>
      <c r="BN2346" s="4">
        <v>58.02</v>
      </c>
      <c r="BO2346" s="4">
        <v>58.02</v>
      </c>
      <c r="BQ2346" t="s">
        <v>109</v>
      </c>
      <c r="BR2346" t="s">
        <v>84</v>
      </c>
      <c r="BS2346" s="3">
        <v>43790</v>
      </c>
      <c r="BT2346" s="5">
        <v>0.39444444444444443</v>
      </c>
      <c r="BU2346" t="s">
        <v>342</v>
      </c>
      <c r="BV2346" t="s">
        <v>86</v>
      </c>
      <c r="BY2346">
        <v>1200</v>
      </c>
      <c r="CA2346" t="s">
        <v>343</v>
      </c>
      <c r="CC2346" t="s">
        <v>340</v>
      </c>
      <c r="CD2346">
        <v>157</v>
      </c>
      <c r="CE2346" t="s">
        <v>147</v>
      </c>
      <c r="CF2346" s="3">
        <v>43791</v>
      </c>
      <c r="CI2346">
        <v>1</v>
      </c>
      <c r="CJ2346">
        <v>1</v>
      </c>
      <c r="CK2346">
        <v>21</v>
      </c>
      <c r="CL2346" t="s">
        <v>89</v>
      </c>
    </row>
    <row r="2347" spans="1:90">
      <c r="A2347" t="s">
        <v>72</v>
      </c>
      <c r="B2347" t="s">
        <v>73</v>
      </c>
      <c r="C2347" t="s">
        <v>74</v>
      </c>
      <c r="E2347" t="str">
        <f>"FES1162723911"</f>
        <v>FES1162723911</v>
      </c>
      <c r="F2347" s="3">
        <v>43789</v>
      </c>
      <c r="G2347">
        <v>202005</v>
      </c>
      <c r="H2347" t="s">
        <v>75</v>
      </c>
      <c r="I2347" t="s">
        <v>76</v>
      </c>
      <c r="J2347" t="s">
        <v>77</v>
      </c>
      <c r="K2347" t="s">
        <v>78</v>
      </c>
      <c r="L2347" t="s">
        <v>106</v>
      </c>
      <c r="M2347" t="s">
        <v>107</v>
      </c>
      <c r="N2347" t="s">
        <v>489</v>
      </c>
      <c r="O2347" t="s">
        <v>82</v>
      </c>
      <c r="P2347" t="str">
        <f>"2170714791                    "</f>
        <v xml:space="preserve">2170714791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10.73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0.7</v>
      </c>
      <c r="BJ2347">
        <v>2.2999999999999998</v>
      </c>
      <c r="BK2347">
        <v>2.5</v>
      </c>
      <c r="BL2347" s="4">
        <v>63.06</v>
      </c>
      <c r="BM2347" s="4">
        <v>9.4600000000000009</v>
      </c>
      <c r="BN2347" s="4">
        <v>72.52</v>
      </c>
      <c r="BO2347" s="4">
        <v>72.52</v>
      </c>
      <c r="BQ2347" t="s">
        <v>121</v>
      </c>
      <c r="BR2347" t="s">
        <v>84</v>
      </c>
      <c r="BS2347" s="3">
        <v>43790</v>
      </c>
      <c r="BT2347" s="5">
        <v>0.4236111111111111</v>
      </c>
      <c r="BU2347" t="s">
        <v>2506</v>
      </c>
      <c r="BV2347" t="s">
        <v>86</v>
      </c>
      <c r="BY2347">
        <v>11544.55</v>
      </c>
      <c r="CA2347" t="s">
        <v>773</v>
      </c>
      <c r="CC2347" t="s">
        <v>107</v>
      </c>
      <c r="CD2347">
        <v>6001</v>
      </c>
      <c r="CE2347" t="s">
        <v>88</v>
      </c>
      <c r="CF2347" s="3">
        <v>43791</v>
      </c>
      <c r="CI2347">
        <v>1</v>
      </c>
      <c r="CJ2347">
        <v>1</v>
      </c>
      <c r="CK2347">
        <v>21</v>
      </c>
      <c r="CL2347" t="s">
        <v>89</v>
      </c>
    </row>
    <row r="2348" spans="1:90">
      <c r="A2348" t="s">
        <v>72</v>
      </c>
      <c r="B2348" t="s">
        <v>73</v>
      </c>
      <c r="C2348" t="s">
        <v>74</v>
      </c>
      <c r="E2348" t="str">
        <f>"FES1162723910"</f>
        <v>FES1162723910</v>
      </c>
      <c r="F2348" s="3">
        <v>43789</v>
      </c>
      <c r="G2348">
        <v>202005</v>
      </c>
      <c r="H2348" t="s">
        <v>75</v>
      </c>
      <c r="I2348" t="s">
        <v>76</v>
      </c>
      <c r="J2348" t="s">
        <v>77</v>
      </c>
      <c r="K2348" t="s">
        <v>78</v>
      </c>
      <c r="L2348" t="s">
        <v>339</v>
      </c>
      <c r="M2348" t="s">
        <v>340</v>
      </c>
      <c r="N2348" t="s">
        <v>341</v>
      </c>
      <c r="O2348" t="s">
        <v>82</v>
      </c>
      <c r="P2348" t="str">
        <f>"21707147326                   "</f>
        <v xml:space="preserve">21707147326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8.58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 s="4">
        <v>50.45</v>
      </c>
      <c r="BM2348" s="4">
        <v>7.57</v>
      </c>
      <c r="BN2348" s="4">
        <v>58.02</v>
      </c>
      <c r="BO2348" s="4">
        <v>58.02</v>
      </c>
      <c r="BQ2348" t="s">
        <v>109</v>
      </c>
      <c r="BR2348" t="s">
        <v>84</v>
      </c>
      <c r="BS2348" s="3">
        <v>43790</v>
      </c>
      <c r="BT2348" s="5">
        <v>0.39444444444444443</v>
      </c>
      <c r="BU2348" t="s">
        <v>342</v>
      </c>
      <c r="BV2348" t="s">
        <v>86</v>
      </c>
      <c r="BY2348">
        <v>1200</v>
      </c>
      <c r="CA2348" t="s">
        <v>343</v>
      </c>
      <c r="CC2348" t="s">
        <v>340</v>
      </c>
      <c r="CD2348">
        <v>157</v>
      </c>
      <c r="CE2348" t="s">
        <v>147</v>
      </c>
      <c r="CF2348" s="3">
        <v>43791</v>
      </c>
      <c r="CI2348">
        <v>1</v>
      </c>
      <c r="CJ2348">
        <v>1</v>
      </c>
      <c r="CK2348">
        <v>21</v>
      </c>
      <c r="CL2348" t="s">
        <v>89</v>
      </c>
    </row>
    <row r="2349" spans="1:90">
      <c r="A2349" t="s">
        <v>72</v>
      </c>
      <c r="B2349" t="s">
        <v>73</v>
      </c>
      <c r="C2349" t="s">
        <v>74</v>
      </c>
      <c r="E2349" t="str">
        <f>"FES1162723913"</f>
        <v>FES1162723913</v>
      </c>
      <c r="F2349" s="3">
        <v>43789</v>
      </c>
      <c r="G2349">
        <v>202005</v>
      </c>
      <c r="H2349" t="s">
        <v>75</v>
      </c>
      <c r="I2349" t="s">
        <v>76</v>
      </c>
      <c r="J2349" t="s">
        <v>77</v>
      </c>
      <c r="K2349" t="s">
        <v>78</v>
      </c>
      <c r="L2349" t="s">
        <v>106</v>
      </c>
      <c r="M2349" t="s">
        <v>107</v>
      </c>
      <c r="N2349" t="s">
        <v>489</v>
      </c>
      <c r="O2349" t="s">
        <v>82</v>
      </c>
      <c r="P2349" t="str">
        <f>"2170714970                    "</f>
        <v xml:space="preserve">2170714970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8.58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0.8</v>
      </c>
      <c r="BJ2349">
        <v>1.7</v>
      </c>
      <c r="BK2349">
        <v>2</v>
      </c>
      <c r="BL2349" s="4">
        <v>50.45</v>
      </c>
      <c r="BM2349" s="4">
        <v>7.57</v>
      </c>
      <c r="BN2349" s="4">
        <v>58.02</v>
      </c>
      <c r="BO2349" s="4">
        <v>58.02</v>
      </c>
      <c r="BQ2349" t="s">
        <v>121</v>
      </c>
      <c r="BR2349" t="s">
        <v>84</v>
      </c>
      <c r="BS2349" s="3">
        <v>43790</v>
      </c>
      <c r="BT2349" s="5">
        <v>0.4236111111111111</v>
      </c>
      <c r="BU2349" t="s">
        <v>2506</v>
      </c>
      <c r="BV2349" t="s">
        <v>86</v>
      </c>
      <c r="BY2349">
        <v>8592.1299999999992</v>
      </c>
      <c r="CA2349" t="s">
        <v>773</v>
      </c>
      <c r="CC2349" t="s">
        <v>107</v>
      </c>
      <c r="CD2349">
        <v>6001</v>
      </c>
      <c r="CE2349" t="s">
        <v>88</v>
      </c>
      <c r="CF2349" s="3">
        <v>43791</v>
      </c>
      <c r="CI2349">
        <v>1</v>
      </c>
      <c r="CJ2349">
        <v>1</v>
      </c>
      <c r="CK2349">
        <v>21</v>
      </c>
      <c r="CL2349" t="s">
        <v>89</v>
      </c>
    </row>
    <row r="2350" spans="1:90">
      <c r="A2350" t="s">
        <v>72</v>
      </c>
      <c r="B2350" t="s">
        <v>73</v>
      </c>
      <c r="C2350" t="s">
        <v>74</v>
      </c>
      <c r="E2350" t="str">
        <f>"FES1162723922"</f>
        <v>FES1162723922</v>
      </c>
      <c r="F2350" s="3">
        <v>43789</v>
      </c>
      <c r="G2350">
        <v>202005</v>
      </c>
      <c r="H2350" t="s">
        <v>75</v>
      </c>
      <c r="I2350" t="s">
        <v>76</v>
      </c>
      <c r="J2350" t="s">
        <v>77</v>
      </c>
      <c r="K2350" t="s">
        <v>78</v>
      </c>
      <c r="L2350" t="s">
        <v>1680</v>
      </c>
      <c r="M2350" t="s">
        <v>1681</v>
      </c>
      <c r="N2350" t="s">
        <v>369</v>
      </c>
      <c r="O2350" t="s">
        <v>82</v>
      </c>
      <c r="P2350" t="str">
        <f>"2170716673                    "</f>
        <v xml:space="preserve">2170716673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16.63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 s="4">
        <v>97.75</v>
      </c>
      <c r="BM2350" s="4">
        <v>14.66</v>
      </c>
      <c r="BN2350" s="4">
        <v>112.41</v>
      </c>
      <c r="BO2350" s="4">
        <v>112.41</v>
      </c>
      <c r="BQ2350" t="s">
        <v>246</v>
      </c>
      <c r="BR2350" t="s">
        <v>84</v>
      </c>
      <c r="BS2350" s="3">
        <v>43791</v>
      </c>
      <c r="BT2350" s="5">
        <v>0.43124999999999997</v>
      </c>
      <c r="BU2350" t="s">
        <v>2164</v>
      </c>
      <c r="BV2350" t="s">
        <v>89</v>
      </c>
      <c r="BW2350" t="s">
        <v>144</v>
      </c>
      <c r="BX2350" t="s">
        <v>2576</v>
      </c>
      <c r="BY2350">
        <v>1200</v>
      </c>
      <c r="CA2350" t="s">
        <v>2165</v>
      </c>
      <c r="CC2350" t="s">
        <v>1681</v>
      </c>
      <c r="CD2350">
        <v>4449</v>
      </c>
      <c r="CE2350" t="s">
        <v>147</v>
      </c>
      <c r="CF2350" s="3">
        <v>43795</v>
      </c>
      <c r="CI2350">
        <v>1</v>
      </c>
      <c r="CJ2350">
        <v>2</v>
      </c>
      <c r="CK2350">
        <v>23</v>
      </c>
      <c r="CL2350" t="s">
        <v>89</v>
      </c>
    </row>
    <row r="2351" spans="1:90">
      <c r="A2351" t="s">
        <v>72</v>
      </c>
      <c r="B2351" t="s">
        <v>73</v>
      </c>
      <c r="C2351" t="s">
        <v>74</v>
      </c>
      <c r="E2351" t="str">
        <f>"FES1162723912"</f>
        <v>FES1162723912</v>
      </c>
      <c r="F2351" s="3">
        <v>43789</v>
      </c>
      <c r="G2351">
        <v>202005</v>
      </c>
      <c r="H2351" t="s">
        <v>75</v>
      </c>
      <c r="I2351" t="s">
        <v>76</v>
      </c>
      <c r="J2351" t="s">
        <v>77</v>
      </c>
      <c r="K2351" t="s">
        <v>78</v>
      </c>
      <c r="L2351" t="s">
        <v>106</v>
      </c>
      <c r="M2351" t="s">
        <v>107</v>
      </c>
      <c r="N2351" t="s">
        <v>489</v>
      </c>
      <c r="O2351" t="s">
        <v>82</v>
      </c>
      <c r="P2351" t="str">
        <f>"2170714968                    "</f>
        <v xml:space="preserve">2170714968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8.58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0.6</v>
      </c>
      <c r="BJ2351">
        <v>1.2</v>
      </c>
      <c r="BK2351">
        <v>1.5</v>
      </c>
      <c r="BL2351" s="4">
        <v>50.45</v>
      </c>
      <c r="BM2351" s="4">
        <v>7.57</v>
      </c>
      <c r="BN2351" s="4">
        <v>58.02</v>
      </c>
      <c r="BO2351" s="4">
        <v>58.02</v>
      </c>
      <c r="BQ2351" t="s">
        <v>121</v>
      </c>
      <c r="BR2351" t="s">
        <v>84</v>
      </c>
      <c r="BS2351" s="3">
        <v>43790</v>
      </c>
      <c r="BT2351" s="5">
        <v>0.4236111111111111</v>
      </c>
      <c r="BU2351" t="s">
        <v>2506</v>
      </c>
      <c r="BV2351" t="s">
        <v>86</v>
      </c>
      <c r="BY2351">
        <v>6116.02</v>
      </c>
      <c r="CA2351" t="s">
        <v>773</v>
      </c>
      <c r="CC2351" t="s">
        <v>107</v>
      </c>
      <c r="CD2351">
        <v>6001</v>
      </c>
      <c r="CE2351" t="s">
        <v>88</v>
      </c>
      <c r="CF2351" s="3">
        <v>43791</v>
      </c>
      <c r="CI2351">
        <v>1</v>
      </c>
      <c r="CJ2351">
        <v>1</v>
      </c>
      <c r="CK2351">
        <v>21</v>
      </c>
      <c r="CL2351" t="s">
        <v>89</v>
      </c>
    </row>
    <row r="2352" spans="1:90">
      <c r="A2352" t="s">
        <v>72</v>
      </c>
      <c r="B2352" t="s">
        <v>73</v>
      </c>
      <c r="C2352" t="s">
        <v>74</v>
      </c>
      <c r="E2352" t="str">
        <f>"FES1162723899"</f>
        <v>FES1162723899</v>
      </c>
      <c r="F2352" s="3">
        <v>43789</v>
      </c>
      <c r="G2352">
        <v>202005</v>
      </c>
      <c r="H2352" t="s">
        <v>75</v>
      </c>
      <c r="I2352" t="s">
        <v>76</v>
      </c>
      <c r="J2352" t="s">
        <v>77</v>
      </c>
      <c r="K2352" t="s">
        <v>78</v>
      </c>
      <c r="L2352" t="s">
        <v>2577</v>
      </c>
      <c r="M2352" t="s">
        <v>2578</v>
      </c>
      <c r="N2352" t="s">
        <v>2579</v>
      </c>
      <c r="O2352" t="s">
        <v>82</v>
      </c>
      <c r="P2352" t="str">
        <f>"2170717903                    "</f>
        <v xml:space="preserve">2170717903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16.63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1.9</v>
      </c>
      <c r="BJ2352">
        <v>1.4</v>
      </c>
      <c r="BK2352">
        <v>2</v>
      </c>
      <c r="BL2352" s="4">
        <v>97.75</v>
      </c>
      <c r="BM2352" s="4">
        <v>14.66</v>
      </c>
      <c r="BN2352" s="4">
        <v>112.41</v>
      </c>
      <c r="BO2352" s="4">
        <v>112.41</v>
      </c>
      <c r="BQ2352" t="s">
        <v>121</v>
      </c>
      <c r="BR2352" t="s">
        <v>84</v>
      </c>
      <c r="BS2352" s="3">
        <v>43790</v>
      </c>
      <c r="BT2352" s="5">
        <v>0.72569444444444453</v>
      </c>
      <c r="BU2352" t="s">
        <v>2580</v>
      </c>
      <c r="BV2352" t="s">
        <v>86</v>
      </c>
      <c r="BY2352">
        <v>6856.56</v>
      </c>
      <c r="CA2352" t="s">
        <v>123</v>
      </c>
      <c r="CC2352" t="s">
        <v>2578</v>
      </c>
      <c r="CD2352">
        <v>4930</v>
      </c>
      <c r="CE2352" t="s">
        <v>88</v>
      </c>
      <c r="CF2352" s="3">
        <v>43795</v>
      </c>
      <c r="CI2352">
        <v>3</v>
      </c>
      <c r="CJ2352">
        <v>1</v>
      </c>
      <c r="CK2352">
        <v>23</v>
      </c>
      <c r="CL2352" t="s">
        <v>89</v>
      </c>
    </row>
    <row r="2353" spans="1:90">
      <c r="A2353" t="s">
        <v>72</v>
      </c>
      <c r="B2353" t="s">
        <v>73</v>
      </c>
      <c r="C2353" t="s">
        <v>74</v>
      </c>
      <c r="E2353" t="str">
        <f>"FES1162723926"</f>
        <v>FES1162723926</v>
      </c>
      <c r="F2353" s="3">
        <v>43789</v>
      </c>
      <c r="G2353">
        <v>202005</v>
      </c>
      <c r="H2353" t="s">
        <v>75</v>
      </c>
      <c r="I2353" t="s">
        <v>76</v>
      </c>
      <c r="J2353" t="s">
        <v>77</v>
      </c>
      <c r="K2353" t="s">
        <v>78</v>
      </c>
      <c r="L2353" t="s">
        <v>2462</v>
      </c>
      <c r="M2353" t="s">
        <v>2463</v>
      </c>
      <c r="N2353" t="s">
        <v>2464</v>
      </c>
      <c r="O2353" t="s">
        <v>82</v>
      </c>
      <c r="P2353" t="str">
        <f>"217071309                     "</f>
        <v xml:space="preserve">217071309 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12.07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 s="4">
        <v>70.95</v>
      </c>
      <c r="BM2353" s="4">
        <v>10.64</v>
      </c>
      <c r="BN2353" s="4">
        <v>81.59</v>
      </c>
      <c r="BO2353" s="4">
        <v>81.59</v>
      </c>
      <c r="BR2353" t="s">
        <v>84</v>
      </c>
      <c r="BS2353" s="3">
        <v>43790</v>
      </c>
      <c r="BT2353" s="5">
        <v>0.4375</v>
      </c>
      <c r="BU2353" t="s">
        <v>2465</v>
      </c>
      <c r="BV2353" t="s">
        <v>86</v>
      </c>
      <c r="BY2353">
        <v>1200</v>
      </c>
      <c r="CA2353" t="s">
        <v>2466</v>
      </c>
      <c r="CC2353" t="s">
        <v>2463</v>
      </c>
      <c r="CD2353">
        <v>1133</v>
      </c>
      <c r="CE2353" t="s">
        <v>147</v>
      </c>
      <c r="CF2353" s="3">
        <v>43794</v>
      </c>
      <c r="CI2353">
        <v>4</v>
      </c>
      <c r="CJ2353">
        <v>1</v>
      </c>
      <c r="CK2353">
        <v>24</v>
      </c>
      <c r="CL2353" t="s">
        <v>89</v>
      </c>
    </row>
    <row r="2354" spans="1:90">
      <c r="A2354" t="s">
        <v>72</v>
      </c>
      <c r="B2354" t="s">
        <v>73</v>
      </c>
      <c r="C2354" t="s">
        <v>74</v>
      </c>
      <c r="E2354" t="str">
        <f>"FES1162723917"</f>
        <v>FES1162723917</v>
      </c>
      <c r="F2354" s="3">
        <v>43789</v>
      </c>
      <c r="G2354">
        <v>202005</v>
      </c>
      <c r="H2354" t="s">
        <v>75</v>
      </c>
      <c r="I2354" t="s">
        <v>76</v>
      </c>
      <c r="J2354" t="s">
        <v>77</v>
      </c>
      <c r="K2354" t="s">
        <v>78</v>
      </c>
      <c r="L2354" t="s">
        <v>624</v>
      </c>
      <c r="M2354" t="s">
        <v>625</v>
      </c>
      <c r="N2354" t="s">
        <v>369</v>
      </c>
      <c r="O2354" t="s">
        <v>82</v>
      </c>
      <c r="P2354" t="str">
        <f>"2170715992                    "</f>
        <v xml:space="preserve">2170715992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16.63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 s="4">
        <v>97.75</v>
      </c>
      <c r="BM2354" s="4">
        <v>14.66</v>
      </c>
      <c r="BN2354" s="4">
        <v>112.41</v>
      </c>
      <c r="BO2354" s="4">
        <v>112.41</v>
      </c>
      <c r="BQ2354" t="s">
        <v>2581</v>
      </c>
      <c r="BR2354" t="s">
        <v>84</v>
      </c>
      <c r="BS2354" s="3">
        <v>43790</v>
      </c>
      <c r="BT2354" s="5">
        <v>0.6118055555555556</v>
      </c>
      <c r="BU2354" t="s">
        <v>2582</v>
      </c>
      <c r="BV2354" t="s">
        <v>86</v>
      </c>
      <c r="BY2354">
        <v>1200</v>
      </c>
      <c r="CA2354" t="s">
        <v>628</v>
      </c>
      <c r="CC2354" t="s">
        <v>625</v>
      </c>
      <c r="CD2354">
        <v>4170</v>
      </c>
      <c r="CE2354" t="s">
        <v>147</v>
      </c>
      <c r="CF2354" s="3">
        <v>43791</v>
      </c>
      <c r="CI2354">
        <v>1</v>
      </c>
      <c r="CJ2354">
        <v>1</v>
      </c>
      <c r="CK2354">
        <v>23</v>
      </c>
      <c r="CL2354" t="s">
        <v>89</v>
      </c>
    </row>
    <row r="2355" spans="1:90">
      <c r="A2355" t="s">
        <v>72</v>
      </c>
      <c r="B2355" t="s">
        <v>73</v>
      </c>
      <c r="C2355" t="s">
        <v>74</v>
      </c>
      <c r="E2355" t="str">
        <f>"FES1162723923"</f>
        <v>FES1162723923</v>
      </c>
      <c r="F2355" s="3">
        <v>43789</v>
      </c>
      <c r="G2355">
        <v>202005</v>
      </c>
      <c r="H2355" t="s">
        <v>75</v>
      </c>
      <c r="I2355" t="s">
        <v>76</v>
      </c>
      <c r="J2355" t="s">
        <v>77</v>
      </c>
      <c r="K2355" t="s">
        <v>78</v>
      </c>
      <c r="L2355" t="s">
        <v>124</v>
      </c>
      <c r="M2355" t="s">
        <v>125</v>
      </c>
      <c r="N2355" t="s">
        <v>1928</v>
      </c>
      <c r="O2355" t="s">
        <v>82</v>
      </c>
      <c r="P2355" t="str">
        <f>"2170716700                    "</f>
        <v xml:space="preserve">2170716700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6.71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 s="4">
        <v>39.42</v>
      </c>
      <c r="BM2355" s="4">
        <v>5.91</v>
      </c>
      <c r="BN2355" s="4">
        <v>45.33</v>
      </c>
      <c r="BO2355" s="4">
        <v>45.33</v>
      </c>
      <c r="BQ2355" t="s">
        <v>1929</v>
      </c>
      <c r="BR2355" t="s">
        <v>84</v>
      </c>
      <c r="BS2355" s="3">
        <v>43790</v>
      </c>
      <c r="BT2355" s="5">
        <v>0.39097222222222222</v>
      </c>
      <c r="BU2355" t="s">
        <v>2583</v>
      </c>
      <c r="BV2355" t="s">
        <v>86</v>
      </c>
      <c r="BY2355">
        <v>1200</v>
      </c>
      <c r="CC2355" t="s">
        <v>125</v>
      </c>
      <c r="CD2355">
        <v>2091</v>
      </c>
      <c r="CE2355" t="s">
        <v>147</v>
      </c>
      <c r="CF2355" s="3">
        <v>43791</v>
      </c>
      <c r="CI2355">
        <v>1</v>
      </c>
      <c r="CJ2355">
        <v>1</v>
      </c>
      <c r="CK2355">
        <v>22</v>
      </c>
      <c r="CL2355" t="s">
        <v>89</v>
      </c>
    </row>
    <row r="2356" spans="1:90">
      <c r="A2356" t="s">
        <v>72</v>
      </c>
      <c r="B2356" t="s">
        <v>73</v>
      </c>
      <c r="C2356" t="s">
        <v>74</v>
      </c>
      <c r="E2356" t="str">
        <f>"FES1162723936"</f>
        <v>FES1162723936</v>
      </c>
      <c r="F2356" s="3">
        <v>43789</v>
      </c>
      <c r="G2356">
        <v>202005</v>
      </c>
      <c r="H2356" t="s">
        <v>75</v>
      </c>
      <c r="I2356" t="s">
        <v>76</v>
      </c>
      <c r="J2356" t="s">
        <v>77</v>
      </c>
      <c r="K2356" t="s">
        <v>78</v>
      </c>
      <c r="L2356" t="s">
        <v>192</v>
      </c>
      <c r="M2356" t="s">
        <v>193</v>
      </c>
      <c r="N2356" t="s">
        <v>558</v>
      </c>
      <c r="O2356" t="s">
        <v>82</v>
      </c>
      <c r="P2356" t="str">
        <f>"217071912                     "</f>
        <v xml:space="preserve">217071912 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16.63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 s="4">
        <v>97.75</v>
      </c>
      <c r="BM2356" s="4">
        <v>14.66</v>
      </c>
      <c r="BN2356" s="4">
        <v>112.41</v>
      </c>
      <c r="BO2356" s="4">
        <v>112.41</v>
      </c>
      <c r="BQ2356" t="s">
        <v>121</v>
      </c>
      <c r="BR2356" t="s">
        <v>84</v>
      </c>
      <c r="BS2356" s="3">
        <v>43790</v>
      </c>
      <c r="BT2356" s="5">
        <v>0.48333333333333334</v>
      </c>
      <c r="BU2356" t="s">
        <v>1842</v>
      </c>
      <c r="BV2356" t="s">
        <v>86</v>
      </c>
      <c r="BY2356">
        <v>1200</v>
      </c>
      <c r="CA2356" t="s">
        <v>1364</v>
      </c>
      <c r="CC2356" t="s">
        <v>193</v>
      </c>
      <c r="CD2356">
        <v>7130</v>
      </c>
      <c r="CE2356" t="s">
        <v>147</v>
      </c>
      <c r="CF2356" s="3">
        <v>43791</v>
      </c>
      <c r="CI2356">
        <v>1</v>
      </c>
      <c r="CJ2356">
        <v>1</v>
      </c>
      <c r="CK2356">
        <v>23</v>
      </c>
      <c r="CL2356" t="s">
        <v>89</v>
      </c>
    </row>
    <row r="2357" spans="1:90">
      <c r="A2357" t="s">
        <v>72</v>
      </c>
      <c r="B2357" t="s">
        <v>73</v>
      </c>
      <c r="C2357" t="s">
        <v>74</v>
      </c>
      <c r="E2357" t="str">
        <f>"FES1162723898"</f>
        <v>FES1162723898</v>
      </c>
      <c r="F2357" s="3">
        <v>43789</v>
      </c>
      <c r="G2357">
        <v>202005</v>
      </c>
      <c r="H2357" t="s">
        <v>75</v>
      </c>
      <c r="I2357" t="s">
        <v>76</v>
      </c>
      <c r="J2357" t="s">
        <v>77</v>
      </c>
      <c r="K2357" t="s">
        <v>78</v>
      </c>
      <c r="L2357" t="s">
        <v>79</v>
      </c>
      <c r="M2357" t="s">
        <v>80</v>
      </c>
      <c r="N2357" t="s">
        <v>458</v>
      </c>
      <c r="O2357" t="s">
        <v>82</v>
      </c>
      <c r="P2357" t="str">
        <f>"2170717902                    "</f>
        <v xml:space="preserve">2170717902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36.46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6.4</v>
      </c>
      <c r="BJ2357">
        <v>8.4</v>
      </c>
      <c r="BK2357">
        <v>8.5</v>
      </c>
      <c r="BL2357" s="4">
        <v>214.31</v>
      </c>
      <c r="BM2357" s="4">
        <v>32.15</v>
      </c>
      <c r="BN2357" s="4">
        <v>246.46</v>
      </c>
      <c r="BO2357" s="4">
        <v>246.46</v>
      </c>
      <c r="BQ2357" t="s">
        <v>109</v>
      </c>
      <c r="BR2357" t="s">
        <v>84</v>
      </c>
      <c r="BS2357" s="3">
        <v>43790</v>
      </c>
      <c r="BT2357" s="5">
        <v>0.32291666666666669</v>
      </c>
      <c r="BU2357" t="s">
        <v>2519</v>
      </c>
      <c r="BV2357" t="s">
        <v>86</v>
      </c>
      <c r="BY2357">
        <v>42103.91</v>
      </c>
      <c r="CA2357" t="s">
        <v>854</v>
      </c>
      <c r="CC2357" t="s">
        <v>80</v>
      </c>
      <c r="CD2357">
        <v>6230</v>
      </c>
      <c r="CE2357" t="s">
        <v>88</v>
      </c>
      <c r="CF2357" s="3">
        <v>43791</v>
      </c>
      <c r="CI2357">
        <v>1</v>
      </c>
      <c r="CJ2357">
        <v>1</v>
      </c>
      <c r="CK2357">
        <v>21</v>
      </c>
      <c r="CL2357" t="s">
        <v>89</v>
      </c>
    </row>
    <row r="2358" spans="1:90">
      <c r="A2358" t="s">
        <v>72</v>
      </c>
      <c r="B2358" t="s">
        <v>73</v>
      </c>
      <c r="C2358" t="s">
        <v>74</v>
      </c>
      <c r="E2358" t="str">
        <f>"FES1162723931"</f>
        <v>FES1162723931</v>
      </c>
      <c r="F2358" s="3">
        <v>43789</v>
      </c>
      <c r="G2358">
        <v>202005</v>
      </c>
      <c r="H2358" t="s">
        <v>75</v>
      </c>
      <c r="I2358" t="s">
        <v>76</v>
      </c>
      <c r="J2358" t="s">
        <v>77</v>
      </c>
      <c r="K2358" t="s">
        <v>78</v>
      </c>
      <c r="L2358" t="s">
        <v>214</v>
      </c>
      <c r="M2358" t="s">
        <v>214</v>
      </c>
      <c r="N2358" t="s">
        <v>1523</v>
      </c>
      <c r="O2358" t="s">
        <v>82</v>
      </c>
      <c r="P2358" t="str">
        <f>"217071608                     "</f>
        <v xml:space="preserve">217071608 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16.63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 s="4">
        <v>97.75</v>
      </c>
      <c r="BM2358" s="4">
        <v>14.66</v>
      </c>
      <c r="BN2358" s="4">
        <v>112.41</v>
      </c>
      <c r="BO2358" s="4">
        <v>112.41</v>
      </c>
      <c r="BR2358" t="s">
        <v>84</v>
      </c>
      <c r="BS2358" s="3">
        <v>43790</v>
      </c>
      <c r="BT2358" s="5">
        <v>0.43055555555555558</v>
      </c>
      <c r="BU2358" t="s">
        <v>706</v>
      </c>
      <c r="BV2358" t="s">
        <v>86</v>
      </c>
      <c r="BY2358">
        <v>1200</v>
      </c>
      <c r="CA2358" t="s">
        <v>217</v>
      </c>
      <c r="CC2358" t="s">
        <v>214</v>
      </c>
      <c r="CD2358">
        <v>7646</v>
      </c>
      <c r="CE2358" t="s">
        <v>147</v>
      </c>
      <c r="CF2358" s="3">
        <v>43791</v>
      </c>
      <c r="CI2358">
        <v>1</v>
      </c>
      <c r="CJ2358">
        <v>1</v>
      </c>
      <c r="CK2358">
        <v>23</v>
      </c>
      <c r="CL2358" t="s">
        <v>89</v>
      </c>
    </row>
    <row r="2359" spans="1:90">
      <c r="A2359" t="s">
        <v>72</v>
      </c>
      <c r="B2359" t="s">
        <v>73</v>
      </c>
      <c r="C2359" t="s">
        <v>74</v>
      </c>
      <c r="E2359" t="str">
        <f>"FES1162723915"</f>
        <v>FES1162723915</v>
      </c>
      <c r="F2359" s="3">
        <v>43789</v>
      </c>
      <c r="G2359">
        <v>202005</v>
      </c>
      <c r="H2359" t="s">
        <v>75</v>
      </c>
      <c r="I2359" t="s">
        <v>76</v>
      </c>
      <c r="J2359" t="s">
        <v>77</v>
      </c>
      <c r="K2359" t="s">
        <v>78</v>
      </c>
      <c r="L2359" t="s">
        <v>90</v>
      </c>
      <c r="M2359" t="s">
        <v>91</v>
      </c>
      <c r="N2359" t="s">
        <v>950</v>
      </c>
      <c r="O2359" t="s">
        <v>82</v>
      </c>
      <c r="P2359" t="str">
        <f>"2170715667                    "</f>
        <v xml:space="preserve">2170715667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8.58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 s="4">
        <v>50.45</v>
      </c>
      <c r="BM2359" s="4">
        <v>7.57</v>
      </c>
      <c r="BN2359" s="4">
        <v>58.02</v>
      </c>
      <c r="BO2359" s="4">
        <v>58.02</v>
      </c>
      <c r="BQ2359" t="s">
        <v>121</v>
      </c>
      <c r="BR2359" t="s">
        <v>84</v>
      </c>
      <c r="BS2359" s="3">
        <v>43790</v>
      </c>
      <c r="BT2359" s="5">
        <v>0.32708333333333334</v>
      </c>
      <c r="BU2359" t="s">
        <v>2584</v>
      </c>
      <c r="BV2359" t="s">
        <v>86</v>
      </c>
      <c r="BY2359">
        <v>1200</v>
      </c>
      <c r="CA2359" t="s">
        <v>1196</v>
      </c>
      <c r="CC2359" t="s">
        <v>91</v>
      </c>
      <c r="CD2359">
        <v>7530</v>
      </c>
      <c r="CE2359" t="s">
        <v>147</v>
      </c>
      <c r="CF2359" s="3">
        <v>43791</v>
      </c>
      <c r="CI2359">
        <v>1</v>
      </c>
      <c r="CJ2359">
        <v>1</v>
      </c>
      <c r="CK2359">
        <v>21</v>
      </c>
      <c r="CL2359" t="s">
        <v>89</v>
      </c>
    </row>
    <row r="2360" spans="1:90">
      <c r="A2360" t="s">
        <v>72</v>
      </c>
      <c r="B2360" t="s">
        <v>73</v>
      </c>
      <c r="C2360" t="s">
        <v>74</v>
      </c>
      <c r="E2360" t="str">
        <f>"FES1162723894"</f>
        <v>FES1162723894</v>
      </c>
      <c r="F2360" s="3">
        <v>43789</v>
      </c>
      <c r="G2360">
        <v>202005</v>
      </c>
      <c r="H2360" t="s">
        <v>75</v>
      </c>
      <c r="I2360" t="s">
        <v>76</v>
      </c>
      <c r="J2360" t="s">
        <v>77</v>
      </c>
      <c r="K2360" t="s">
        <v>78</v>
      </c>
      <c r="L2360" t="s">
        <v>681</v>
      </c>
      <c r="M2360" t="s">
        <v>682</v>
      </c>
      <c r="N2360" t="s">
        <v>2585</v>
      </c>
      <c r="O2360" t="s">
        <v>82</v>
      </c>
      <c r="P2360" t="str">
        <f>"2170717892                    "</f>
        <v xml:space="preserve">2170717892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12.07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1.8</v>
      </c>
      <c r="BJ2360">
        <v>0.9</v>
      </c>
      <c r="BK2360">
        <v>2</v>
      </c>
      <c r="BL2360" s="4">
        <v>70.95</v>
      </c>
      <c r="BM2360" s="4">
        <v>10.64</v>
      </c>
      <c r="BN2360" s="4">
        <v>81.59</v>
      </c>
      <c r="BO2360" s="4">
        <v>81.59</v>
      </c>
      <c r="BQ2360" t="s">
        <v>121</v>
      </c>
      <c r="BR2360" t="s">
        <v>84</v>
      </c>
      <c r="BS2360" s="3">
        <v>43790</v>
      </c>
      <c r="BT2360" s="5">
        <v>0.375</v>
      </c>
      <c r="BU2360" t="s">
        <v>370</v>
      </c>
      <c r="BV2360" t="s">
        <v>86</v>
      </c>
      <c r="BY2360">
        <v>4654.84</v>
      </c>
      <c r="CA2360" t="s">
        <v>1224</v>
      </c>
      <c r="CC2360" t="s">
        <v>682</v>
      </c>
      <c r="CD2360">
        <v>1939</v>
      </c>
      <c r="CE2360" t="s">
        <v>88</v>
      </c>
      <c r="CF2360" s="3">
        <v>43791</v>
      </c>
      <c r="CI2360">
        <v>1</v>
      </c>
      <c r="CJ2360">
        <v>1</v>
      </c>
      <c r="CK2360">
        <v>24</v>
      </c>
      <c r="CL2360" t="s">
        <v>89</v>
      </c>
    </row>
    <row r="2361" spans="1:90">
      <c r="A2361" t="s">
        <v>72</v>
      </c>
      <c r="B2361" t="s">
        <v>73</v>
      </c>
      <c r="C2361" t="s">
        <v>74</v>
      </c>
      <c r="E2361" t="str">
        <f>"FES1162723925"</f>
        <v>FES1162723925</v>
      </c>
      <c r="F2361" s="3">
        <v>43789</v>
      </c>
      <c r="G2361">
        <v>202005</v>
      </c>
      <c r="H2361" t="s">
        <v>75</v>
      </c>
      <c r="I2361" t="s">
        <v>76</v>
      </c>
      <c r="J2361" t="s">
        <v>77</v>
      </c>
      <c r="K2361" t="s">
        <v>78</v>
      </c>
      <c r="L2361" t="s">
        <v>90</v>
      </c>
      <c r="M2361" t="s">
        <v>91</v>
      </c>
      <c r="N2361" t="s">
        <v>950</v>
      </c>
      <c r="O2361" t="s">
        <v>82</v>
      </c>
      <c r="P2361" t="str">
        <f>"2170717047                    "</f>
        <v xml:space="preserve">2170717047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8.58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 s="4">
        <v>50.45</v>
      </c>
      <c r="BM2361" s="4">
        <v>7.57</v>
      </c>
      <c r="BN2361" s="4">
        <v>58.02</v>
      </c>
      <c r="BO2361" s="4">
        <v>58.02</v>
      </c>
      <c r="BQ2361" t="s">
        <v>121</v>
      </c>
      <c r="BR2361" t="s">
        <v>84</v>
      </c>
      <c r="BS2361" s="3">
        <v>43790</v>
      </c>
      <c r="BT2361" s="5">
        <v>0.32708333333333334</v>
      </c>
      <c r="BU2361" t="s">
        <v>2584</v>
      </c>
      <c r="BV2361" t="s">
        <v>86</v>
      </c>
      <c r="BY2361">
        <v>1200</v>
      </c>
      <c r="CA2361" t="s">
        <v>1196</v>
      </c>
      <c r="CC2361" t="s">
        <v>91</v>
      </c>
      <c r="CD2361">
        <v>7530</v>
      </c>
      <c r="CE2361" t="s">
        <v>147</v>
      </c>
      <c r="CF2361" s="3">
        <v>43791</v>
      </c>
      <c r="CI2361">
        <v>1</v>
      </c>
      <c r="CJ2361">
        <v>1</v>
      </c>
      <c r="CK2361">
        <v>21</v>
      </c>
      <c r="CL2361" t="s">
        <v>89</v>
      </c>
    </row>
    <row r="2362" spans="1:90">
      <c r="A2362" t="s">
        <v>72</v>
      </c>
      <c r="B2362" t="s">
        <v>73</v>
      </c>
      <c r="C2362" t="s">
        <v>74</v>
      </c>
      <c r="E2362" t="str">
        <f>"FES1162723929"</f>
        <v>FES1162723929</v>
      </c>
      <c r="F2362" s="3">
        <v>43789</v>
      </c>
      <c r="G2362">
        <v>202005</v>
      </c>
      <c r="H2362" t="s">
        <v>75</v>
      </c>
      <c r="I2362" t="s">
        <v>76</v>
      </c>
      <c r="J2362" t="s">
        <v>77</v>
      </c>
      <c r="K2362" t="s">
        <v>78</v>
      </c>
      <c r="L2362" t="s">
        <v>214</v>
      </c>
      <c r="M2362" t="s">
        <v>214</v>
      </c>
      <c r="N2362" t="s">
        <v>705</v>
      </c>
      <c r="O2362" t="s">
        <v>82</v>
      </c>
      <c r="P2362" t="str">
        <f>"2170717577                    "</f>
        <v xml:space="preserve">2170717577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16.63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 s="4">
        <v>97.75</v>
      </c>
      <c r="BM2362" s="4">
        <v>14.66</v>
      </c>
      <c r="BN2362" s="4">
        <v>112.41</v>
      </c>
      <c r="BO2362" s="4">
        <v>112.41</v>
      </c>
      <c r="BQ2362" t="s">
        <v>142</v>
      </c>
      <c r="BR2362" t="s">
        <v>84</v>
      </c>
      <c r="BS2362" s="3">
        <v>43790</v>
      </c>
      <c r="BT2362" s="5">
        <v>0.43055555555555558</v>
      </c>
      <c r="BU2362" t="s">
        <v>706</v>
      </c>
      <c r="BV2362" t="s">
        <v>86</v>
      </c>
      <c r="BY2362">
        <v>1200</v>
      </c>
      <c r="CA2362" t="s">
        <v>217</v>
      </c>
      <c r="CC2362" t="s">
        <v>214</v>
      </c>
      <c r="CD2362">
        <v>7620</v>
      </c>
      <c r="CE2362" t="s">
        <v>147</v>
      </c>
      <c r="CF2362" s="3">
        <v>43791</v>
      </c>
      <c r="CI2362">
        <v>1</v>
      </c>
      <c r="CJ2362">
        <v>1</v>
      </c>
      <c r="CK2362">
        <v>23</v>
      </c>
      <c r="CL2362" t="s">
        <v>89</v>
      </c>
    </row>
    <row r="2363" spans="1:90">
      <c r="A2363" t="s">
        <v>72</v>
      </c>
      <c r="B2363" t="s">
        <v>73</v>
      </c>
      <c r="C2363" t="s">
        <v>74</v>
      </c>
      <c r="E2363" t="str">
        <f>"FES1162723942"</f>
        <v>FES1162723942</v>
      </c>
      <c r="F2363" s="3">
        <v>43789</v>
      </c>
      <c r="G2363">
        <v>202005</v>
      </c>
      <c r="H2363" t="s">
        <v>75</v>
      </c>
      <c r="I2363" t="s">
        <v>76</v>
      </c>
      <c r="J2363" t="s">
        <v>77</v>
      </c>
      <c r="K2363" t="s">
        <v>78</v>
      </c>
      <c r="L2363" t="s">
        <v>176</v>
      </c>
      <c r="M2363" t="s">
        <v>177</v>
      </c>
      <c r="N2363" t="s">
        <v>2586</v>
      </c>
      <c r="O2363" t="s">
        <v>82</v>
      </c>
      <c r="P2363" t="str">
        <f>"2170717901                    "</f>
        <v xml:space="preserve">2170717901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8.58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 s="4">
        <v>50.45</v>
      </c>
      <c r="BM2363" s="4">
        <v>7.57</v>
      </c>
      <c r="BN2363" s="4">
        <v>58.02</v>
      </c>
      <c r="BO2363" s="4">
        <v>58.02</v>
      </c>
      <c r="BQ2363" t="s">
        <v>121</v>
      </c>
      <c r="BR2363" t="s">
        <v>84</v>
      </c>
      <c r="BS2363" s="3">
        <v>43790</v>
      </c>
      <c r="BT2363" s="5">
        <v>0.3972222222222222</v>
      </c>
      <c r="BU2363" t="s">
        <v>2587</v>
      </c>
      <c r="BV2363" t="s">
        <v>86</v>
      </c>
      <c r="BY2363">
        <v>1200</v>
      </c>
      <c r="CA2363" t="s">
        <v>224</v>
      </c>
      <c r="CC2363" t="s">
        <v>177</v>
      </c>
      <c r="CD2363">
        <v>3610</v>
      </c>
      <c r="CE2363" t="s">
        <v>147</v>
      </c>
      <c r="CF2363" s="3">
        <v>43791</v>
      </c>
      <c r="CI2363">
        <v>1</v>
      </c>
      <c r="CJ2363">
        <v>1</v>
      </c>
      <c r="CK2363">
        <v>21</v>
      </c>
      <c r="CL2363" t="s">
        <v>89</v>
      </c>
    </row>
    <row r="2364" spans="1:90">
      <c r="A2364" t="s">
        <v>72</v>
      </c>
      <c r="B2364" t="s">
        <v>73</v>
      </c>
      <c r="C2364" t="s">
        <v>74</v>
      </c>
      <c r="E2364" t="str">
        <f>"FES1162723930"</f>
        <v>FES1162723930</v>
      </c>
      <c r="F2364" s="3">
        <v>43789</v>
      </c>
      <c r="G2364">
        <v>202005</v>
      </c>
      <c r="H2364" t="s">
        <v>75</v>
      </c>
      <c r="I2364" t="s">
        <v>76</v>
      </c>
      <c r="J2364" t="s">
        <v>77</v>
      </c>
      <c r="K2364" t="s">
        <v>78</v>
      </c>
      <c r="L2364" t="s">
        <v>214</v>
      </c>
      <c r="M2364" t="s">
        <v>214</v>
      </c>
      <c r="N2364" t="s">
        <v>705</v>
      </c>
      <c r="O2364" t="s">
        <v>82</v>
      </c>
      <c r="P2364" t="str">
        <f>"2170717605                    "</f>
        <v xml:space="preserve">2170717605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16.63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 s="4">
        <v>97.75</v>
      </c>
      <c r="BM2364" s="4">
        <v>14.66</v>
      </c>
      <c r="BN2364" s="4">
        <v>112.41</v>
      </c>
      <c r="BO2364" s="4">
        <v>112.41</v>
      </c>
      <c r="BQ2364" t="s">
        <v>142</v>
      </c>
      <c r="BR2364" t="s">
        <v>84</v>
      </c>
      <c r="BS2364" s="3">
        <v>43790</v>
      </c>
      <c r="BT2364" s="5">
        <v>0.43055555555555558</v>
      </c>
      <c r="BU2364" t="s">
        <v>706</v>
      </c>
      <c r="BV2364" t="s">
        <v>86</v>
      </c>
      <c r="BY2364">
        <v>1200</v>
      </c>
      <c r="CA2364" t="s">
        <v>217</v>
      </c>
      <c r="CC2364" t="s">
        <v>214</v>
      </c>
      <c r="CD2364">
        <v>7620</v>
      </c>
      <c r="CE2364" t="s">
        <v>147</v>
      </c>
      <c r="CF2364" s="3">
        <v>43791</v>
      </c>
      <c r="CI2364">
        <v>1</v>
      </c>
      <c r="CJ2364">
        <v>1</v>
      </c>
      <c r="CK2364">
        <v>23</v>
      </c>
      <c r="CL2364" t="s">
        <v>89</v>
      </c>
    </row>
    <row r="2365" spans="1:90">
      <c r="A2365" t="s">
        <v>72</v>
      </c>
      <c r="B2365" t="s">
        <v>73</v>
      </c>
      <c r="C2365" t="s">
        <v>74</v>
      </c>
      <c r="E2365" t="str">
        <f>"FES1162723924"</f>
        <v>FES1162723924</v>
      </c>
      <c r="F2365" s="3">
        <v>43789</v>
      </c>
      <c r="G2365">
        <v>202005</v>
      </c>
      <c r="H2365" t="s">
        <v>75</v>
      </c>
      <c r="I2365" t="s">
        <v>76</v>
      </c>
      <c r="J2365" t="s">
        <v>77</v>
      </c>
      <c r="K2365" t="s">
        <v>78</v>
      </c>
      <c r="L2365" t="s">
        <v>112</v>
      </c>
      <c r="M2365" t="s">
        <v>113</v>
      </c>
      <c r="N2365" t="s">
        <v>669</v>
      </c>
      <c r="O2365" t="s">
        <v>82</v>
      </c>
      <c r="P2365" t="str">
        <f>"2170716929                    "</f>
        <v xml:space="preserve">2170716929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8.58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1.4</v>
      </c>
      <c r="BJ2365">
        <v>0.9</v>
      </c>
      <c r="BK2365">
        <v>1.5</v>
      </c>
      <c r="BL2365" s="4">
        <v>50.45</v>
      </c>
      <c r="BM2365" s="4">
        <v>7.57</v>
      </c>
      <c r="BN2365" s="4">
        <v>58.02</v>
      </c>
      <c r="BO2365" s="4">
        <v>58.02</v>
      </c>
      <c r="BQ2365" t="s">
        <v>109</v>
      </c>
      <c r="BR2365" t="s">
        <v>84</v>
      </c>
      <c r="BS2365" s="3">
        <v>43790</v>
      </c>
      <c r="BT2365" s="5">
        <v>0.34027777777777773</v>
      </c>
      <c r="BU2365" t="s">
        <v>2588</v>
      </c>
      <c r="BV2365" t="s">
        <v>86</v>
      </c>
      <c r="BY2365">
        <v>4689.17</v>
      </c>
      <c r="CA2365" t="s">
        <v>2212</v>
      </c>
      <c r="CC2365" t="s">
        <v>113</v>
      </c>
      <c r="CD2365">
        <v>4001</v>
      </c>
      <c r="CE2365" t="s">
        <v>88</v>
      </c>
      <c r="CF2365" s="3">
        <v>43791</v>
      </c>
      <c r="CI2365">
        <v>1</v>
      </c>
      <c r="CJ2365">
        <v>1</v>
      </c>
      <c r="CK2365">
        <v>21</v>
      </c>
      <c r="CL2365" t="s">
        <v>89</v>
      </c>
    </row>
    <row r="2366" spans="1:90">
      <c r="A2366" t="s">
        <v>72</v>
      </c>
      <c r="B2366" t="s">
        <v>73</v>
      </c>
      <c r="C2366" t="s">
        <v>74</v>
      </c>
      <c r="E2366" t="str">
        <f>"FES1162723928"</f>
        <v>FES1162723928</v>
      </c>
      <c r="F2366" s="3">
        <v>43789</v>
      </c>
      <c r="G2366">
        <v>202005</v>
      </c>
      <c r="H2366" t="s">
        <v>75</v>
      </c>
      <c r="I2366" t="s">
        <v>76</v>
      </c>
      <c r="J2366" t="s">
        <v>77</v>
      </c>
      <c r="K2366" t="s">
        <v>78</v>
      </c>
      <c r="L2366" t="s">
        <v>653</v>
      </c>
      <c r="M2366" t="s">
        <v>654</v>
      </c>
      <c r="N2366" t="s">
        <v>1938</v>
      </c>
      <c r="O2366" t="s">
        <v>82</v>
      </c>
      <c r="P2366" t="str">
        <f>"2170717455                    "</f>
        <v xml:space="preserve">2170717455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15.02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1.6</v>
      </c>
      <c r="BJ2366">
        <v>3.3</v>
      </c>
      <c r="BK2366">
        <v>3.5</v>
      </c>
      <c r="BL2366" s="4">
        <v>88.27</v>
      </c>
      <c r="BM2366" s="4">
        <v>13.24</v>
      </c>
      <c r="BN2366" s="4">
        <v>101.51</v>
      </c>
      <c r="BO2366" s="4">
        <v>101.51</v>
      </c>
      <c r="BQ2366" t="s">
        <v>121</v>
      </c>
      <c r="BR2366" t="s">
        <v>84</v>
      </c>
      <c r="BS2366" s="3">
        <v>43790</v>
      </c>
      <c r="BT2366" s="5">
        <v>0.41319444444444442</v>
      </c>
      <c r="BU2366" t="s">
        <v>1298</v>
      </c>
      <c r="BV2366" t="s">
        <v>86</v>
      </c>
      <c r="BY2366">
        <v>16540.52</v>
      </c>
      <c r="CA2366" t="s">
        <v>255</v>
      </c>
      <c r="CC2366" t="s">
        <v>654</v>
      </c>
      <c r="CD2366">
        <v>4300</v>
      </c>
      <c r="CE2366" t="s">
        <v>88</v>
      </c>
      <c r="CF2366" s="3">
        <v>43791</v>
      </c>
      <c r="CI2366">
        <v>1</v>
      </c>
      <c r="CJ2366">
        <v>1</v>
      </c>
      <c r="CK2366">
        <v>21</v>
      </c>
      <c r="CL2366" t="s">
        <v>89</v>
      </c>
    </row>
    <row r="2367" spans="1:90">
      <c r="A2367" t="s">
        <v>72</v>
      </c>
      <c r="B2367" t="s">
        <v>73</v>
      </c>
      <c r="C2367" t="s">
        <v>74</v>
      </c>
      <c r="E2367" t="str">
        <f>"FES1162723943"</f>
        <v>FES1162723943</v>
      </c>
      <c r="F2367" s="3">
        <v>43789</v>
      </c>
      <c r="G2367">
        <v>202005</v>
      </c>
      <c r="H2367" t="s">
        <v>75</v>
      </c>
      <c r="I2367" t="s">
        <v>76</v>
      </c>
      <c r="J2367" t="s">
        <v>77</v>
      </c>
      <c r="K2367" t="s">
        <v>78</v>
      </c>
      <c r="L2367" t="s">
        <v>112</v>
      </c>
      <c r="M2367" t="s">
        <v>113</v>
      </c>
      <c r="N2367" t="s">
        <v>160</v>
      </c>
      <c r="O2367" t="s">
        <v>82</v>
      </c>
      <c r="P2367" t="str">
        <f>"2170717922                    "</f>
        <v xml:space="preserve">2170717922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53.61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12.4</v>
      </c>
      <c r="BJ2367">
        <v>3.3</v>
      </c>
      <c r="BK2367">
        <v>12.5</v>
      </c>
      <c r="BL2367" s="4">
        <v>315.14</v>
      </c>
      <c r="BM2367" s="4">
        <v>47.27</v>
      </c>
      <c r="BN2367" s="4">
        <v>362.41</v>
      </c>
      <c r="BO2367" s="4">
        <v>362.41</v>
      </c>
      <c r="BQ2367" t="s">
        <v>161</v>
      </c>
      <c r="BR2367" t="s">
        <v>84</v>
      </c>
      <c r="BS2367" s="3">
        <v>43790</v>
      </c>
      <c r="BT2367" s="5">
        <v>0.39166666666666666</v>
      </c>
      <c r="BU2367" t="s">
        <v>162</v>
      </c>
      <c r="BV2367" t="s">
        <v>86</v>
      </c>
      <c r="BY2367">
        <v>16598.400000000001</v>
      </c>
      <c r="CA2367" t="s">
        <v>163</v>
      </c>
      <c r="CC2367" t="s">
        <v>113</v>
      </c>
      <c r="CD2367">
        <v>4000</v>
      </c>
      <c r="CE2367" t="s">
        <v>88</v>
      </c>
      <c r="CF2367" s="3">
        <v>43791</v>
      </c>
      <c r="CI2367">
        <v>1</v>
      </c>
      <c r="CJ2367">
        <v>1</v>
      </c>
      <c r="CK2367">
        <v>21</v>
      </c>
      <c r="CL2367" t="s">
        <v>89</v>
      </c>
    </row>
    <row r="2368" spans="1:90">
      <c r="A2368" t="s">
        <v>72</v>
      </c>
      <c r="B2368" t="s">
        <v>73</v>
      </c>
      <c r="C2368" t="s">
        <v>74</v>
      </c>
      <c r="E2368" t="str">
        <f>"FES1162723934"</f>
        <v>FES1162723934</v>
      </c>
      <c r="F2368" s="3">
        <v>43789</v>
      </c>
      <c r="G2368">
        <v>202005</v>
      </c>
      <c r="H2368" t="s">
        <v>75</v>
      </c>
      <c r="I2368" t="s">
        <v>76</v>
      </c>
      <c r="J2368" t="s">
        <v>77</v>
      </c>
      <c r="K2368" t="s">
        <v>78</v>
      </c>
      <c r="L2368" t="s">
        <v>214</v>
      </c>
      <c r="M2368" t="s">
        <v>214</v>
      </c>
      <c r="N2368" t="s">
        <v>314</v>
      </c>
      <c r="O2368" t="s">
        <v>82</v>
      </c>
      <c r="P2368" t="str">
        <f>"2170717910                    "</f>
        <v xml:space="preserve">2170717910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133.05000000000001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13.2</v>
      </c>
      <c r="BJ2368">
        <v>17.399999999999999</v>
      </c>
      <c r="BK2368">
        <v>17.5</v>
      </c>
      <c r="BL2368" s="4">
        <v>782.09</v>
      </c>
      <c r="BM2368" s="4">
        <v>117.31</v>
      </c>
      <c r="BN2368" s="4">
        <v>899.4</v>
      </c>
      <c r="BO2368" s="4">
        <v>899.4</v>
      </c>
      <c r="BQ2368" t="s">
        <v>109</v>
      </c>
      <c r="BR2368" t="s">
        <v>84</v>
      </c>
      <c r="BS2368" s="3">
        <v>43790</v>
      </c>
      <c r="BT2368" s="5">
        <v>0.42291666666666666</v>
      </c>
      <c r="BU2368" t="s">
        <v>315</v>
      </c>
      <c r="BV2368" t="s">
        <v>86</v>
      </c>
      <c r="BY2368">
        <v>86793.44</v>
      </c>
      <c r="CA2368" t="s">
        <v>217</v>
      </c>
      <c r="CC2368" t="s">
        <v>214</v>
      </c>
      <c r="CD2368">
        <v>7646</v>
      </c>
      <c r="CE2368" t="s">
        <v>88</v>
      </c>
      <c r="CF2368" s="3">
        <v>43791</v>
      </c>
      <c r="CI2368">
        <v>1</v>
      </c>
      <c r="CJ2368">
        <v>1</v>
      </c>
      <c r="CK2368">
        <v>23</v>
      </c>
      <c r="CL2368" t="s">
        <v>89</v>
      </c>
    </row>
    <row r="2369" spans="1:90">
      <c r="A2369" t="s">
        <v>72</v>
      </c>
      <c r="B2369" t="s">
        <v>73</v>
      </c>
      <c r="C2369" t="s">
        <v>74</v>
      </c>
      <c r="E2369" t="str">
        <f>"FES1162723937"</f>
        <v>FES1162723937</v>
      </c>
      <c r="F2369" s="3">
        <v>43789</v>
      </c>
      <c r="G2369">
        <v>202005</v>
      </c>
      <c r="H2369" t="s">
        <v>75</v>
      </c>
      <c r="I2369" t="s">
        <v>76</v>
      </c>
      <c r="J2369" t="s">
        <v>77</v>
      </c>
      <c r="K2369" t="s">
        <v>78</v>
      </c>
      <c r="L2369" t="s">
        <v>133</v>
      </c>
      <c r="M2369" t="s">
        <v>134</v>
      </c>
      <c r="N2369" t="s">
        <v>310</v>
      </c>
      <c r="O2369" t="s">
        <v>82</v>
      </c>
      <c r="P2369" t="str">
        <f>"2170717914                    "</f>
        <v xml:space="preserve">2170717914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79.349999999999994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7.7</v>
      </c>
      <c r="BJ2369">
        <v>18.2</v>
      </c>
      <c r="BK2369">
        <v>18.5</v>
      </c>
      <c r="BL2369" s="4">
        <v>466.4</v>
      </c>
      <c r="BM2369" s="4">
        <v>69.959999999999994</v>
      </c>
      <c r="BN2369" s="4">
        <v>536.36</v>
      </c>
      <c r="BO2369" s="4">
        <v>536.36</v>
      </c>
      <c r="BQ2369" t="s">
        <v>121</v>
      </c>
      <c r="BR2369" t="s">
        <v>84</v>
      </c>
      <c r="BS2369" s="3">
        <v>43790</v>
      </c>
      <c r="BT2369" s="5">
        <v>0.38541666666666669</v>
      </c>
      <c r="BU2369" t="s">
        <v>1108</v>
      </c>
      <c r="BV2369" t="s">
        <v>86</v>
      </c>
      <c r="BY2369">
        <v>91086.34</v>
      </c>
      <c r="CA2369" t="s">
        <v>912</v>
      </c>
      <c r="CC2369" t="s">
        <v>134</v>
      </c>
      <c r="CD2369">
        <v>5201</v>
      </c>
      <c r="CE2369" t="s">
        <v>88</v>
      </c>
      <c r="CF2369" s="3">
        <v>43791</v>
      </c>
      <c r="CI2369">
        <v>1</v>
      </c>
      <c r="CJ2369">
        <v>1</v>
      </c>
      <c r="CK2369">
        <v>21</v>
      </c>
      <c r="CL2369" t="s">
        <v>89</v>
      </c>
    </row>
    <row r="2370" spans="1:90">
      <c r="A2370" t="s">
        <v>72</v>
      </c>
      <c r="B2370" t="s">
        <v>73</v>
      </c>
      <c r="C2370" t="s">
        <v>74</v>
      </c>
      <c r="E2370" t="str">
        <f>"FES1162723900"</f>
        <v>FES1162723900</v>
      </c>
      <c r="F2370" s="3">
        <v>43789</v>
      </c>
      <c r="G2370">
        <v>202005</v>
      </c>
      <c r="H2370" t="s">
        <v>75</v>
      </c>
      <c r="I2370" t="s">
        <v>76</v>
      </c>
      <c r="J2370" t="s">
        <v>77</v>
      </c>
      <c r="K2370" t="s">
        <v>78</v>
      </c>
      <c r="L2370" t="s">
        <v>79</v>
      </c>
      <c r="M2370" t="s">
        <v>80</v>
      </c>
      <c r="N2370" t="s">
        <v>458</v>
      </c>
      <c r="O2370" t="s">
        <v>82</v>
      </c>
      <c r="P2370" t="str">
        <f>"2170717904                    "</f>
        <v xml:space="preserve">2170717904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79.349999999999994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9.1</v>
      </c>
      <c r="BJ2370">
        <v>18.100000000000001</v>
      </c>
      <c r="BK2370">
        <v>18.5</v>
      </c>
      <c r="BL2370" s="4">
        <v>466.4</v>
      </c>
      <c r="BM2370" s="4">
        <v>69.959999999999994</v>
      </c>
      <c r="BN2370" s="4">
        <v>536.36</v>
      </c>
      <c r="BO2370" s="4">
        <v>536.36</v>
      </c>
      <c r="BQ2370" t="s">
        <v>109</v>
      </c>
      <c r="BR2370" t="s">
        <v>84</v>
      </c>
      <c r="BS2370" s="3">
        <v>43790</v>
      </c>
      <c r="BT2370" s="5">
        <v>0.32291666666666669</v>
      </c>
      <c r="BU2370" t="s">
        <v>2519</v>
      </c>
      <c r="BV2370" t="s">
        <v>86</v>
      </c>
      <c r="BY2370">
        <v>90359.91</v>
      </c>
      <c r="CA2370" t="s">
        <v>854</v>
      </c>
      <c r="CC2370" t="s">
        <v>80</v>
      </c>
      <c r="CD2370">
        <v>6230</v>
      </c>
      <c r="CE2370" t="s">
        <v>88</v>
      </c>
      <c r="CF2370" s="3">
        <v>43791</v>
      </c>
      <c r="CI2370">
        <v>1</v>
      </c>
      <c r="CJ2370">
        <v>1</v>
      </c>
      <c r="CK2370">
        <v>21</v>
      </c>
      <c r="CL2370" t="s">
        <v>89</v>
      </c>
    </row>
    <row r="2371" spans="1:90">
      <c r="A2371" t="s">
        <v>72</v>
      </c>
      <c r="B2371" t="s">
        <v>73</v>
      </c>
      <c r="C2371" t="s">
        <v>74</v>
      </c>
      <c r="E2371" t="str">
        <f>"FES1162723965"</f>
        <v>FES1162723965</v>
      </c>
      <c r="F2371" s="3">
        <v>43789</v>
      </c>
      <c r="G2371">
        <v>202005</v>
      </c>
      <c r="H2371" t="s">
        <v>75</v>
      </c>
      <c r="I2371" t="s">
        <v>76</v>
      </c>
      <c r="J2371" t="s">
        <v>77</v>
      </c>
      <c r="K2371" t="s">
        <v>78</v>
      </c>
      <c r="L2371" t="s">
        <v>90</v>
      </c>
      <c r="M2371" t="s">
        <v>91</v>
      </c>
      <c r="N2371" t="s">
        <v>674</v>
      </c>
      <c r="O2371" t="s">
        <v>82</v>
      </c>
      <c r="P2371" t="str">
        <f>"2170714985                    "</f>
        <v xml:space="preserve">2170714985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68.62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15.8</v>
      </c>
      <c r="BJ2371">
        <v>4</v>
      </c>
      <c r="BK2371">
        <v>16</v>
      </c>
      <c r="BL2371" s="4">
        <v>403.37</v>
      </c>
      <c r="BM2371" s="4">
        <v>60.51</v>
      </c>
      <c r="BN2371" s="4">
        <v>463.88</v>
      </c>
      <c r="BO2371" s="4">
        <v>463.88</v>
      </c>
      <c r="BQ2371" t="s">
        <v>109</v>
      </c>
      <c r="BR2371" t="s">
        <v>84</v>
      </c>
      <c r="BS2371" s="3">
        <v>43790</v>
      </c>
      <c r="BT2371" s="5">
        <v>0.35138888888888892</v>
      </c>
      <c r="BU2371" t="s">
        <v>1686</v>
      </c>
      <c r="BV2371" t="s">
        <v>86</v>
      </c>
      <c r="BY2371">
        <v>20057.75</v>
      </c>
      <c r="CA2371" t="s">
        <v>1121</v>
      </c>
      <c r="CC2371" t="s">
        <v>91</v>
      </c>
      <c r="CD2371">
        <v>7764</v>
      </c>
      <c r="CE2371" t="s">
        <v>88</v>
      </c>
      <c r="CF2371" s="3">
        <v>43791</v>
      </c>
      <c r="CI2371">
        <v>1</v>
      </c>
      <c r="CJ2371">
        <v>1</v>
      </c>
      <c r="CK2371">
        <v>21</v>
      </c>
      <c r="CL2371" t="s">
        <v>89</v>
      </c>
    </row>
    <row r="2372" spans="1:90">
      <c r="A2372" t="s">
        <v>72</v>
      </c>
      <c r="B2372" t="s">
        <v>73</v>
      </c>
      <c r="C2372" t="s">
        <v>74</v>
      </c>
      <c r="E2372" t="str">
        <f>"FES1162723955"</f>
        <v>FES1162723955</v>
      </c>
      <c r="F2372" s="3">
        <v>43789</v>
      </c>
      <c r="G2372">
        <v>202005</v>
      </c>
      <c r="H2372" t="s">
        <v>75</v>
      </c>
      <c r="I2372" t="s">
        <v>76</v>
      </c>
      <c r="J2372" t="s">
        <v>77</v>
      </c>
      <c r="K2372" t="s">
        <v>78</v>
      </c>
      <c r="L2372" t="s">
        <v>112</v>
      </c>
      <c r="M2372" t="s">
        <v>113</v>
      </c>
      <c r="N2372" t="s">
        <v>160</v>
      </c>
      <c r="O2372" t="s">
        <v>82</v>
      </c>
      <c r="P2372" t="str">
        <f>"2170717937                    "</f>
        <v xml:space="preserve">2170717937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8.58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 s="4">
        <v>50.45</v>
      </c>
      <c r="BM2372" s="4">
        <v>7.57</v>
      </c>
      <c r="BN2372" s="4">
        <v>58.02</v>
      </c>
      <c r="BO2372" s="4">
        <v>58.02</v>
      </c>
      <c r="BQ2372" t="s">
        <v>161</v>
      </c>
      <c r="BR2372" t="s">
        <v>84</v>
      </c>
      <c r="BS2372" s="3">
        <v>43790</v>
      </c>
      <c r="BT2372" s="5">
        <v>0.39166666666666666</v>
      </c>
      <c r="BU2372" t="s">
        <v>162</v>
      </c>
      <c r="BV2372" t="s">
        <v>86</v>
      </c>
      <c r="BY2372">
        <v>1200</v>
      </c>
      <c r="CA2372" t="s">
        <v>163</v>
      </c>
      <c r="CC2372" t="s">
        <v>113</v>
      </c>
      <c r="CD2372">
        <v>4000</v>
      </c>
      <c r="CE2372" t="s">
        <v>147</v>
      </c>
      <c r="CF2372" s="3">
        <v>43791</v>
      </c>
      <c r="CI2372">
        <v>1</v>
      </c>
      <c r="CJ2372">
        <v>1</v>
      </c>
      <c r="CK2372">
        <v>21</v>
      </c>
      <c r="CL2372" t="s">
        <v>89</v>
      </c>
    </row>
    <row r="2373" spans="1:90">
      <c r="A2373" t="s">
        <v>72</v>
      </c>
      <c r="B2373" t="s">
        <v>73</v>
      </c>
      <c r="C2373" t="s">
        <v>74</v>
      </c>
      <c r="E2373" t="str">
        <f>"FES1162723961"</f>
        <v>FES1162723961</v>
      </c>
      <c r="F2373" s="3">
        <v>43789</v>
      </c>
      <c r="G2373">
        <v>202005</v>
      </c>
      <c r="H2373" t="s">
        <v>75</v>
      </c>
      <c r="I2373" t="s">
        <v>76</v>
      </c>
      <c r="J2373" t="s">
        <v>77</v>
      </c>
      <c r="K2373" t="s">
        <v>78</v>
      </c>
      <c r="L2373" t="s">
        <v>118</v>
      </c>
      <c r="M2373" t="s">
        <v>119</v>
      </c>
      <c r="N2373" t="s">
        <v>885</v>
      </c>
      <c r="O2373" t="s">
        <v>82</v>
      </c>
      <c r="P2373" t="str">
        <f>"2170717944                    "</f>
        <v xml:space="preserve">2170717944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8.58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 s="4">
        <v>50.45</v>
      </c>
      <c r="BM2373" s="4">
        <v>7.57</v>
      </c>
      <c r="BN2373" s="4">
        <v>58.02</v>
      </c>
      <c r="BO2373" s="4">
        <v>58.02</v>
      </c>
      <c r="BQ2373" t="s">
        <v>109</v>
      </c>
      <c r="BR2373" t="s">
        <v>84</v>
      </c>
      <c r="BS2373" s="3">
        <v>43790</v>
      </c>
      <c r="BT2373" s="5">
        <v>0.41666666666666669</v>
      </c>
      <c r="BU2373" t="s">
        <v>886</v>
      </c>
      <c r="BV2373" t="s">
        <v>86</v>
      </c>
      <c r="BY2373">
        <v>1200</v>
      </c>
      <c r="CA2373" t="s">
        <v>435</v>
      </c>
      <c r="CC2373" t="s">
        <v>119</v>
      </c>
      <c r="CD2373">
        <v>3212</v>
      </c>
      <c r="CE2373" t="s">
        <v>147</v>
      </c>
      <c r="CF2373" s="3">
        <v>43791</v>
      </c>
      <c r="CI2373">
        <v>1</v>
      </c>
      <c r="CJ2373">
        <v>1</v>
      </c>
      <c r="CK2373">
        <v>21</v>
      </c>
      <c r="CL2373" t="s">
        <v>89</v>
      </c>
    </row>
    <row r="2374" spans="1:90">
      <c r="A2374" t="s">
        <v>72</v>
      </c>
      <c r="B2374" t="s">
        <v>73</v>
      </c>
      <c r="C2374" t="s">
        <v>74</v>
      </c>
      <c r="E2374" t="str">
        <f>"FES1162723985"</f>
        <v>FES1162723985</v>
      </c>
      <c r="F2374" s="3">
        <v>43789</v>
      </c>
      <c r="G2374">
        <v>202005</v>
      </c>
      <c r="H2374" t="s">
        <v>75</v>
      </c>
      <c r="I2374" t="s">
        <v>76</v>
      </c>
      <c r="J2374" t="s">
        <v>77</v>
      </c>
      <c r="K2374" t="s">
        <v>78</v>
      </c>
      <c r="L2374" t="s">
        <v>176</v>
      </c>
      <c r="M2374" t="s">
        <v>177</v>
      </c>
      <c r="N2374" t="s">
        <v>419</v>
      </c>
      <c r="O2374" t="s">
        <v>82</v>
      </c>
      <c r="P2374" t="str">
        <f>"2170717975                    "</f>
        <v xml:space="preserve">2170717975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8.58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 s="4">
        <v>50.45</v>
      </c>
      <c r="BM2374" s="4">
        <v>7.57</v>
      </c>
      <c r="BN2374" s="4">
        <v>58.02</v>
      </c>
      <c r="BO2374" s="4">
        <v>58.02</v>
      </c>
      <c r="BQ2374" t="s">
        <v>109</v>
      </c>
      <c r="BR2374" t="s">
        <v>84</v>
      </c>
      <c r="BS2374" s="3">
        <v>43790</v>
      </c>
      <c r="BT2374" s="5">
        <v>0.41319444444444442</v>
      </c>
      <c r="BU2374" t="s">
        <v>2327</v>
      </c>
      <c r="BV2374" t="s">
        <v>86</v>
      </c>
      <c r="BY2374">
        <v>1200</v>
      </c>
      <c r="CA2374" t="s">
        <v>224</v>
      </c>
      <c r="CC2374" t="s">
        <v>177</v>
      </c>
      <c r="CD2374">
        <v>3620</v>
      </c>
      <c r="CE2374" t="s">
        <v>147</v>
      </c>
      <c r="CF2374" s="3">
        <v>43791</v>
      </c>
      <c r="CI2374">
        <v>1</v>
      </c>
      <c r="CJ2374">
        <v>1</v>
      </c>
      <c r="CK2374">
        <v>21</v>
      </c>
      <c r="CL2374" t="s">
        <v>89</v>
      </c>
    </row>
    <row r="2375" spans="1:90">
      <c r="A2375" t="s">
        <v>72</v>
      </c>
      <c r="B2375" t="s">
        <v>73</v>
      </c>
      <c r="C2375" t="s">
        <v>74</v>
      </c>
      <c r="E2375" t="str">
        <f>"FES1162723944"</f>
        <v>FES1162723944</v>
      </c>
      <c r="F2375" s="3">
        <v>43789</v>
      </c>
      <c r="G2375">
        <v>202005</v>
      </c>
      <c r="H2375" t="s">
        <v>75</v>
      </c>
      <c r="I2375" t="s">
        <v>76</v>
      </c>
      <c r="J2375" t="s">
        <v>77</v>
      </c>
      <c r="K2375" t="s">
        <v>78</v>
      </c>
      <c r="L2375" t="s">
        <v>296</v>
      </c>
      <c r="M2375" t="s">
        <v>297</v>
      </c>
      <c r="N2375" t="s">
        <v>672</v>
      </c>
      <c r="O2375" t="s">
        <v>82</v>
      </c>
      <c r="P2375" t="str">
        <f>"2170717923                    "</f>
        <v xml:space="preserve">2170717923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16.63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 s="4">
        <v>97.75</v>
      </c>
      <c r="BM2375" s="4">
        <v>14.66</v>
      </c>
      <c r="BN2375" s="4">
        <v>112.41</v>
      </c>
      <c r="BO2375" s="4">
        <v>112.41</v>
      </c>
      <c r="BQ2375" t="s">
        <v>142</v>
      </c>
      <c r="BR2375" t="s">
        <v>84</v>
      </c>
      <c r="BS2375" s="3">
        <v>43791</v>
      </c>
      <c r="BT2375" s="5">
        <v>0.3888888888888889</v>
      </c>
      <c r="BU2375" t="s">
        <v>2589</v>
      </c>
      <c r="BV2375" t="s">
        <v>86</v>
      </c>
      <c r="BY2375">
        <v>1200</v>
      </c>
      <c r="CA2375" t="s">
        <v>1514</v>
      </c>
      <c r="CC2375" t="s">
        <v>297</v>
      </c>
      <c r="CD2375">
        <v>6850</v>
      </c>
      <c r="CE2375" t="s">
        <v>147</v>
      </c>
      <c r="CF2375" s="3">
        <v>43794</v>
      </c>
      <c r="CI2375">
        <v>3</v>
      </c>
      <c r="CJ2375">
        <v>2</v>
      </c>
      <c r="CK2375">
        <v>23</v>
      </c>
      <c r="CL2375" t="s">
        <v>89</v>
      </c>
    </row>
    <row r="2376" spans="1:90">
      <c r="A2376" t="s">
        <v>72</v>
      </c>
      <c r="B2376" t="s">
        <v>73</v>
      </c>
      <c r="C2376" t="s">
        <v>74</v>
      </c>
      <c r="E2376" t="str">
        <f>"FES1162723964"</f>
        <v>FES1162723964</v>
      </c>
      <c r="F2376" s="3">
        <v>43789</v>
      </c>
      <c r="G2376">
        <v>202005</v>
      </c>
      <c r="H2376" t="s">
        <v>75</v>
      </c>
      <c r="I2376" t="s">
        <v>76</v>
      </c>
      <c r="J2376" t="s">
        <v>77</v>
      </c>
      <c r="K2376" t="s">
        <v>78</v>
      </c>
      <c r="L2376" t="s">
        <v>90</v>
      </c>
      <c r="M2376" t="s">
        <v>91</v>
      </c>
      <c r="N2376" t="s">
        <v>401</v>
      </c>
      <c r="O2376" t="s">
        <v>82</v>
      </c>
      <c r="P2376" t="str">
        <f>"2170714267                    "</f>
        <v xml:space="preserve">2170714267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8.58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 s="4">
        <v>50.45</v>
      </c>
      <c r="BM2376" s="4">
        <v>7.57</v>
      </c>
      <c r="BN2376" s="4">
        <v>58.02</v>
      </c>
      <c r="BO2376" s="4">
        <v>58.02</v>
      </c>
      <c r="BQ2376" t="s">
        <v>109</v>
      </c>
      <c r="BR2376" t="s">
        <v>84</v>
      </c>
      <c r="BS2376" s="3">
        <v>43790</v>
      </c>
      <c r="BT2376" s="5">
        <v>0.34236111111111112</v>
      </c>
      <c r="BU2376" t="s">
        <v>402</v>
      </c>
      <c r="BV2376" t="s">
        <v>86</v>
      </c>
      <c r="BY2376">
        <v>1200</v>
      </c>
      <c r="CA2376" t="s">
        <v>221</v>
      </c>
      <c r="CC2376" t="s">
        <v>91</v>
      </c>
      <c r="CD2376">
        <v>7441</v>
      </c>
      <c r="CE2376" t="s">
        <v>147</v>
      </c>
      <c r="CF2376" s="3">
        <v>43791</v>
      </c>
      <c r="CI2376">
        <v>1</v>
      </c>
      <c r="CJ2376">
        <v>1</v>
      </c>
      <c r="CK2376">
        <v>21</v>
      </c>
      <c r="CL2376" t="s">
        <v>89</v>
      </c>
    </row>
    <row r="2377" spans="1:90">
      <c r="A2377" t="s">
        <v>72</v>
      </c>
      <c r="B2377" t="s">
        <v>73</v>
      </c>
      <c r="C2377" t="s">
        <v>74</v>
      </c>
      <c r="E2377" t="str">
        <f>"FES1162723972"</f>
        <v>FES1162723972</v>
      </c>
      <c r="F2377" s="3">
        <v>43789</v>
      </c>
      <c r="G2377">
        <v>202005</v>
      </c>
      <c r="H2377" t="s">
        <v>75</v>
      </c>
      <c r="I2377" t="s">
        <v>76</v>
      </c>
      <c r="J2377" t="s">
        <v>77</v>
      </c>
      <c r="K2377" t="s">
        <v>78</v>
      </c>
      <c r="L2377" t="s">
        <v>90</v>
      </c>
      <c r="M2377" t="s">
        <v>91</v>
      </c>
      <c r="N2377" t="s">
        <v>2590</v>
      </c>
      <c r="O2377" t="s">
        <v>82</v>
      </c>
      <c r="P2377" t="str">
        <f>"2170717957                    "</f>
        <v xml:space="preserve">2170717957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8.58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 s="4">
        <v>50.45</v>
      </c>
      <c r="BM2377" s="4">
        <v>7.57</v>
      </c>
      <c r="BN2377" s="4">
        <v>58.02</v>
      </c>
      <c r="BO2377" s="4">
        <v>58.02</v>
      </c>
      <c r="BR2377" t="s">
        <v>84</v>
      </c>
      <c r="BS2377" s="3">
        <v>43790</v>
      </c>
      <c r="BT2377" s="5">
        <v>0.35625000000000001</v>
      </c>
      <c r="BU2377" t="s">
        <v>2591</v>
      </c>
      <c r="BV2377" t="s">
        <v>86</v>
      </c>
      <c r="BY2377">
        <v>1200</v>
      </c>
      <c r="CA2377" t="s">
        <v>1281</v>
      </c>
      <c r="CC2377" t="s">
        <v>91</v>
      </c>
      <c r="CD2377">
        <v>7945</v>
      </c>
      <c r="CE2377" t="s">
        <v>147</v>
      </c>
      <c r="CF2377" s="3">
        <v>43791</v>
      </c>
      <c r="CI2377">
        <v>1</v>
      </c>
      <c r="CJ2377">
        <v>1</v>
      </c>
      <c r="CK2377">
        <v>21</v>
      </c>
      <c r="CL2377" t="s">
        <v>89</v>
      </c>
    </row>
    <row r="2378" spans="1:90">
      <c r="A2378" t="s">
        <v>72</v>
      </c>
      <c r="B2378" t="s">
        <v>73</v>
      </c>
      <c r="C2378" t="s">
        <v>74</v>
      </c>
      <c r="E2378" t="str">
        <f>"FES1162723967"</f>
        <v>FES1162723967</v>
      </c>
      <c r="F2378" s="3">
        <v>43789</v>
      </c>
      <c r="G2378">
        <v>202005</v>
      </c>
      <c r="H2378" t="s">
        <v>75</v>
      </c>
      <c r="I2378" t="s">
        <v>76</v>
      </c>
      <c r="J2378" t="s">
        <v>77</v>
      </c>
      <c r="K2378" t="s">
        <v>78</v>
      </c>
      <c r="L2378" t="s">
        <v>75</v>
      </c>
      <c r="M2378" t="s">
        <v>76</v>
      </c>
      <c r="N2378" t="s">
        <v>366</v>
      </c>
      <c r="O2378" t="s">
        <v>82</v>
      </c>
      <c r="P2378" t="str">
        <f>"2170717949                    "</f>
        <v xml:space="preserve">2170717949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6.71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 s="4">
        <v>39.42</v>
      </c>
      <c r="BM2378" s="4">
        <v>5.91</v>
      </c>
      <c r="BN2378" s="4">
        <v>45.33</v>
      </c>
      <c r="BO2378" s="4">
        <v>45.33</v>
      </c>
      <c r="BR2378" t="s">
        <v>84</v>
      </c>
      <c r="BS2378" s="3">
        <v>43790</v>
      </c>
      <c r="BT2378" s="5">
        <v>0.3888888888888889</v>
      </c>
      <c r="BU2378" t="s">
        <v>367</v>
      </c>
      <c r="BV2378" t="s">
        <v>86</v>
      </c>
      <c r="BY2378">
        <v>1200</v>
      </c>
      <c r="CA2378" t="s">
        <v>368</v>
      </c>
      <c r="CC2378" t="s">
        <v>76</v>
      </c>
      <c r="CD2378">
        <v>1624</v>
      </c>
      <c r="CE2378" t="s">
        <v>147</v>
      </c>
      <c r="CI2378">
        <v>1</v>
      </c>
      <c r="CJ2378">
        <v>1</v>
      </c>
      <c r="CK2378">
        <v>22</v>
      </c>
      <c r="CL2378" t="s">
        <v>89</v>
      </c>
    </row>
    <row r="2379" spans="1:90">
      <c r="A2379" t="s">
        <v>72</v>
      </c>
      <c r="B2379" t="s">
        <v>73</v>
      </c>
      <c r="C2379" t="s">
        <v>74</v>
      </c>
      <c r="E2379" t="str">
        <f>"FES1162723976"</f>
        <v>FES1162723976</v>
      </c>
      <c r="F2379" s="3">
        <v>43789</v>
      </c>
      <c r="G2379">
        <v>202005</v>
      </c>
      <c r="H2379" t="s">
        <v>75</v>
      </c>
      <c r="I2379" t="s">
        <v>76</v>
      </c>
      <c r="J2379" t="s">
        <v>77</v>
      </c>
      <c r="K2379" t="s">
        <v>78</v>
      </c>
      <c r="L2379" t="s">
        <v>202</v>
      </c>
      <c r="M2379" t="s">
        <v>203</v>
      </c>
      <c r="N2379" t="s">
        <v>1372</v>
      </c>
      <c r="O2379" t="s">
        <v>82</v>
      </c>
      <c r="P2379" t="str">
        <f>"2170717964                    "</f>
        <v xml:space="preserve">2170717964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6.71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 s="4">
        <v>39.42</v>
      </c>
      <c r="BM2379" s="4">
        <v>5.91</v>
      </c>
      <c r="BN2379" s="4">
        <v>45.33</v>
      </c>
      <c r="BO2379" s="4">
        <v>45.33</v>
      </c>
      <c r="BQ2379" t="s">
        <v>1373</v>
      </c>
      <c r="BR2379" t="s">
        <v>84</v>
      </c>
      <c r="BS2379" s="3">
        <v>43790</v>
      </c>
      <c r="BT2379" s="5">
        <v>0.375</v>
      </c>
      <c r="BU2379" t="s">
        <v>1774</v>
      </c>
      <c r="BV2379" t="s">
        <v>86</v>
      </c>
      <c r="BY2379">
        <v>1200</v>
      </c>
      <c r="CC2379" t="s">
        <v>203</v>
      </c>
      <c r="CD2379">
        <v>1422</v>
      </c>
      <c r="CE2379" t="s">
        <v>147</v>
      </c>
      <c r="CF2379" s="3">
        <v>43791</v>
      </c>
      <c r="CI2379">
        <v>1</v>
      </c>
      <c r="CJ2379">
        <v>1</v>
      </c>
      <c r="CK2379">
        <v>22</v>
      </c>
      <c r="CL2379" t="s">
        <v>89</v>
      </c>
    </row>
    <row r="2380" spans="1:90">
      <c r="A2380" t="s">
        <v>72</v>
      </c>
      <c r="B2380" t="s">
        <v>73</v>
      </c>
      <c r="C2380" t="s">
        <v>74</v>
      </c>
      <c r="E2380" t="str">
        <f>"FES1162723986"</f>
        <v>FES1162723986</v>
      </c>
      <c r="F2380" s="3">
        <v>43789</v>
      </c>
      <c r="G2380">
        <v>202005</v>
      </c>
      <c r="H2380" t="s">
        <v>75</v>
      </c>
      <c r="I2380" t="s">
        <v>76</v>
      </c>
      <c r="J2380" t="s">
        <v>77</v>
      </c>
      <c r="K2380" t="s">
        <v>78</v>
      </c>
      <c r="L2380" t="s">
        <v>691</v>
      </c>
      <c r="M2380" t="s">
        <v>692</v>
      </c>
      <c r="N2380" t="s">
        <v>521</v>
      </c>
      <c r="O2380" t="s">
        <v>82</v>
      </c>
      <c r="P2380" t="str">
        <f>"2170717980                    "</f>
        <v xml:space="preserve">2170717980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6.71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 s="4">
        <v>39.42</v>
      </c>
      <c r="BM2380" s="4">
        <v>5.91</v>
      </c>
      <c r="BN2380" s="4">
        <v>45.33</v>
      </c>
      <c r="BO2380" s="4">
        <v>45.33</v>
      </c>
      <c r="BQ2380" t="s">
        <v>109</v>
      </c>
      <c r="BR2380" t="s">
        <v>84</v>
      </c>
      <c r="BS2380" s="3">
        <v>43790</v>
      </c>
      <c r="BT2380" s="5">
        <v>0.4375</v>
      </c>
      <c r="BU2380" t="s">
        <v>2133</v>
      </c>
      <c r="BV2380" t="s">
        <v>86</v>
      </c>
      <c r="BY2380">
        <v>1200</v>
      </c>
      <c r="CC2380" t="s">
        <v>692</v>
      </c>
      <c r="CD2380">
        <v>1559</v>
      </c>
      <c r="CE2380" t="s">
        <v>147</v>
      </c>
      <c r="CF2380" s="3">
        <v>43791</v>
      </c>
      <c r="CI2380">
        <v>1</v>
      </c>
      <c r="CJ2380">
        <v>1</v>
      </c>
      <c r="CK2380">
        <v>22</v>
      </c>
      <c r="CL2380" t="s">
        <v>89</v>
      </c>
    </row>
    <row r="2381" spans="1:90">
      <c r="A2381" t="s">
        <v>72</v>
      </c>
      <c r="B2381" t="s">
        <v>73</v>
      </c>
      <c r="C2381" t="s">
        <v>74</v>
      </c>
      <c r="E2381" t="str">
        <f>"FES1162723970"</f>
        <v>FES1162723970</v>
      </c>
      <c r="F2381" s="3">
        <v>43789</v>
      </c>
      <c r="G2381">
        <v>202005</v>
      </c>
      <c r="H2381" t="s">
        <v>75</v>
      </c>
      <c r="I2381" t="s">
        <v>76</v>
      </c>
      <c r="J2381" t="s">
        <v>77</v>
      </c>
      <c r="K2381" t="s">
        <v>78</v>
      </c>
      <c r="L2381" t="s">
        <v>1651</v>
      </c>
      <c r="M2381" t="s">
        <v>1651</v>
      </c>
      <c r="N2381" t="s">
        <v>1652</v>
      </c>
      <c r="O2381" t="s">
        <v>82</v>
      </c>
      <c r="P2381" t="str">
        <f>"2170717952                    "</f>
        <v xml:space="preserve">2170717952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12.07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 s="4">
        <v>70.95</v>
      </c>
      <c r="BM2381" s="4">
        <v>10.64</v>
      </c>
      <c r="BN2381" s="4">
        <v>81.59</v>
      </c>
      <c r="BO2381" s="4">
        <v>81.59</v>
      </c>
      <c r="BQ2381" t="s">
        <v>161</v>
      </c>
      <c r="BR2381" t="s">
        <v>84</v>
      </c>
      <c r="BS2381" s="3">
        <v>43790</v>
      </c>
      <c r="BT2381" s="5">
        <v>0.33333333333333331</v>
      </c>
      <c r="BU2381" t="s">
        <v>1699</v>
      </c>
      <c r="BV2381" t="s">
        <v>86</v>
      </c>
      <c r="BY2381">
        <v>1200</v>
      </c>
      <c r="CA2381" t="s">
        <v>362</v>
      </c>
      <c r="CC2381" t="s">
        <v>1651</v>
      </c>
      <c r="CD2381">
        <v>1490</v>
      </c>
      <c r="CE2381" t="s">
        <v>147</v>
      </c>
      <c r="CF2381" s="3">
        <v>43791</v>
      </c>
      <c r="CI2381">
        <v>1</v>
      </c>
      <c r="CJ2381">
        <v>1</v>
      </c>
      <c r="CK2381">
        <v>24</v>
      </c>
      <c r="CL2381" t="s">
        <v>89</v>
      </c>
    </row>
    <row r="2382" spans="1:90">
      <c r="A2382" t="s">
        <v>72</v>
      </c>
      <c r="B2382" t="s">
        <v>73</v>
      </c>
      <c r="C2382" t="s">
        <v>74</v>
      </c>
      <c r="E2382" t="str">
        <f>"FES1162723927"</f>
        <v>FES1162723927</v>
      </c>
      <c r="F2382" s="3">
        <v>43789</v>
      </c>
      <c r="G2382">
        <v>202005</v>
      </c>
      <c r="H2382" t="s">
        <v>75</v>
      </c>
      <c r="I2382" t="s">
        <v>76</v>
      </c>
      <c r="J2382" t="s">
        <v>77</v>
      </c>
      <c r="K2382" t="s">
        <v>78</v>
      </c>
      <c r="L2382" t="s">
        <v>691</v>
      </c>
      <c r="M2382" t="s">
        <v>692</v>
      </c>
      <c r="N2382" t="s">
        <v>816</v>
      </c>
      <c r="O2382" t="s">
        <v>82</v>
      </c>
      <c r="P2382" t="str">
        <f>"2170717374                    "</f>
        <v xml:space="preserve">2170717374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6.71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 s="4">
        <v>39.42</v>
      </c>
      <c r="BM2382" s="4">
        <v>5.91</v>
      </c>
      <c r="BN2382" s="4">
        <v>45.33</v>
      </c>
      <c r="BO2382" s="4">
        <v>45.33</v>
      </c>
      <c r="BQ2382" t="s">
        <v>817</v>
      </c>
      <c r="BR2382" t="s">
        <v>84</v>
      </c>
      <c r="BS2382" s="3">
        <v>43795</v>
      </c>
      <c r="BT2382" s="5">
        <v>0.41666666666666669</v>
      </c>
      <c r="BU2382" t="s">
        <v>2164</v>
      </c>
      <c r="BV2382" t="s">
        <v>89</v>
      </c>
      <c r="BW2382" t="s">
        <v>865</v>
      </c>
      <c r="BX2382" t="s">
        <v>2566</v>
      </c>
      <c r="BY2382">
        <v>1200</v>
      </c>
      <c r="CA2382" t="s">
        <v>2165</v>
      </c>
      <c r="CC2382" t="s">
        <v>692</v>
      </c>
      <c r="CD2382">
        <v>1559</v>
      </c>
      <c r="CE2382" t="s">
        <v>147</v>
      </c>
      <c r="CI2382">
        <v>1</v>
      </c>
      <c r="CJ2382">
        <v>4</v>
      </c>
      <c r="CK2382">
        <v>22</v>
      </c>
      <c r="CL2382" t="s">
        <v>89</v>
      </c>
    </row>
    <row r="2383" spans="1:90">
      <c r="A2383" t="s">
        <v>72</v>
      </c>
      <c r="B2383" t="s">
        <v>73</v>
      </c>
      <c r="C2383" t="s">
        <v>74</v>
      </c>
      <c r="E2383" t="str">
        <f>"FES1162723977"</f>
        <v>FES1162723977</v>
      </c>
      <c r="F2383" s="3">
        <v>43789</v>
      </c>
      <c r="G2383">
        <v>202005</v>
      </c>
      <c r="H2383" t="s">
        <v>75</v>
      </c>
      <c r="I2383" t="s">
        <v>76</v>
      </c>
      <c r="J2383" t="s">
        <v>77</v>
      </c>
      <c r="K2383" t="s">
        <v>78</v>
      </c>
      <c r="L2383" t="s">
        <v>75</v>
      </c>
      <c r="M2383" t="s">
        <v>76</v>
      </c>
      <c r="N2383" t="s">
        <v>464</v>
      </c>
      <c r="O2383" t="s">
        <v>82</v>
      </c>
      <c r="P2383" t="str">
        <f>"2170717965                    "</f>
        <v xml:space="preserve">2170717965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6.71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 s="4">
        <v>39.42</v>
      </c>
      <c r="BM2383" s="4">
        <v>5.91</v>
      </c>
      <c r="BN2383" s="4">
        <v>45.33</v>
      </c>
      <c r="BO2383" s="4">
        <v>45.33</v>
      </c>
      <c r="BR2383" t="s">
        <v>84</v>
      </c>
      <c r="BS2383" s="3">
        <v>43790</v>
      </c>
      <c r="BT2383" s="5">
        <v>0.33333333333333331</v>
      </c>
      <c r="BU2383" t="s">
        <v>2592</v>
      </c>
      <c r="BV2383" t="s">
        <v>86</v>
      </c>
      <c r="BY2383">
        <v>1200</v>
      </c>
      <c r="CC2383" t="s">
        <v>76</v>
      </c>
      <c r="CD2383">
        <v>1682</v>
      </c>
      <c r="CE2383" t="s">
        <v>147</v>
      </c>
      <c r="CF2383" s="3">
        <v>43791</v>
      </c>
      <c r="CI2383">
        <v>1</v>
      </c>
      <c r="CJ2383">
        <v>1</v>
      </c>
      <c r="CK2383">
        <v>22</v>
      </c>
      <c r="CL2383" t="s">
        <v>89</v>
      </c>
    </row>
    <row r="2384" spans="1:90">
      <c r="A2384" t="s">
        <v>72</v>
      </c>
      <c r="B2384" t="s">
        <v>73</v>
      </c>
      <c r="C2384" t="s">
        <v>74</v>
      </c>
      <c r="E2384" t="str">
        <f>"FES1162723933"</f>
        <v>FES1162723933</v>
      </c>
      <c r="F2384" s="3">
        <v>43789</v>
      </c>
      <c r="G2384">
        <v>202005</v>
      </c>
      <c r="H2384" t="s">
        <v>75</v>
      </c>
      <c r="I2384" t="s">
        <v>76</v>
      </c>
      <c r="J2384" t="s">
        <v>77</v>
      </c>
      <c r="K2384" t="s">
        <v>78</v>
      </c>
      <c r="L2384" t="s">
        <v>482</v>
      </c>
      <c r="M2384" t="s">
        <v>483</v>
      </c>
      <c r="N2384" t="s">
        <v>2593</v>
      </c>
      <c r="O2384" t="s">
        <v>82</v>
      </c>
      <c r="P2384" t="str">
        <f>"2170717805                    "</f>
        <v xml:space="preserve">2170717805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6.71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 s="4">
        <v>39.42</v>
      </c>
      <c r="BM2384" s="4">
        <v>5.91</v>
      </c>
      <c r="BN2384" s="4">
        <v>45.33</v>
      </c>
      <c r="BO2384" s="4">
        <v>45.33</v>
      </c>
      <c r="BQ2384" t="s">
        <v>161</v>
      </c>
      <c r="BR2384" t="s">
        <v>84</v>
      </c>
      <c r="BS2384" s="3">
        <v>43790</v>
      </c>
      <c r="BT2384" s="5">
        <v>0.26944444444444443</v>
      </c>
      <c r="BU2384" t="s">
        <v>378</v>
      </c>
      <c r="BV2384" t="s">
        <v>86</v>
      </c>
      <c r="BY2384">
        <v>1200</v>
      </c>
      <c r="CC2384" t="s">
        <v>483</v>
      </c>
      <c r="CD2384">
        <v>1459</v>
      </c>
      <c r="CE2384" t="s">
        <v>147</v>
      </c>
      <c r="CF2384" s="3">
        <v>43791</v>
      </c>
      <c r="CI2384">
        <v>1</v>
      </c>
      <c r="CJ2384">
        <v>1</v>
      </c>
      <c r="CK2384">
        <v>22</v>
      </c>
      <c r="CL2384" t="s">
        <v>89</v>
      </c>
    </row>
    <row r="2385" spans="1:90">
      <c r="A2385" t="s">
        <v>72</v>
      </c>
      <c r="B2385" t="s">
        <v>73</v>
      </c>
      <c r="C2385" t="s">
        <v>74</v>
      </c>
      <c r="E2385" t="str">
        <f>"FES1162723978"</f>
        <v>FES1162723978</v>
      </c>
      <c r="F2385" s="3">
        <v>43789</v>
      </c>
      <c r="G2385">
        <v>202005</v>
      </c>
      <c r="H2385" t="s">
        <v>75</v>
      </c>
      <c r="I2385" t="s">
        <v>76</v>
      </c>
      <c r="J2385" t="s">
        <v>77</v>
      </c>
      <c r="K2385" t="s">
        <v>78</v>
      </c>
      <c r="L2385" t="s">
        <v>75</v>
      </c>
      <c r="M2385" t="s">
        <v>76</v>
      </c>
      <c r="N2385" t="s">
        <v>2594</v>
      </c>
      <c r="O2385" t="s">
        <v>82</v>
      </c>
      <c r="P2385" t="str">
        <f>"2170717967                    "</f>
        <v xml:space="preserve">2170717967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6.71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 s="4">
        <v>39.42</v>
      </c>
      <c r="BM2385" s="4">
        <v>5.91</v>
      </c>
      <c r="BN2385" s="4">
        <v>45.33</v>
      </c>
      <c r="BO2385" s="4">
        <v>45.33</v>
      </c>
      <c r="BQ2385" t="s">
        <v>121</v>
      </c>
      <c r="BR2385" t="s">
        <v>84</v>
      </c>
      <c r="BS2385" s="3">
        <v>43790</v>
      </c>
      <c r="BT2385" s="5">
        <v>0.43194444444444446</v>
      </c>
      <c r="BU2385" t="s">
        <v>2595</v>
      </c>
      <c r="BV2385" t="s">
        <v>86</v>
      </c>
      <c r="BY2385">
        <v>1200</v>
      </c>
      <c r="CA2385" t="s">
        <v>198</v>
      </c>
      <c r="CC2385" t="s">
        <v>76</v>
      </c>
      <c r="CD2385">
        <v>1600</v>
      </c>
      <c r="CE2385" t="s">
        <v>147</v>
      </c>
      <c r="CF2385" s="3">
        <v>43791</v>
      </c>
      <c r="CI2385">
        <v>1</v>
      </c>
      <c r="CJ2385">
        <v>1</v>
      </c>
      <c r="CK2385">
        <v>22</v>
      </c>
      <c r="CL2385" t="s">
        <v>89</v>
      </c>
    </row>
    <row r="2386" spans="1:90">
      <c r="A2386" t="s">
        <v>72</v>
      </c>
      <c r="B2386" t="s">
        <v>73</v>
      </c>
      <c r="C2386" t="s">
        <v>74</v>
      </c>
      <c r="E2386" t="str">
        <f>"FES1162723916"</f>
        <v>FES1162723916</v>
      </c>
      <c r="F2386" s="3">
        <v>43789</v>
      </c>
      <c r="G2386">
        <v>202005</v>
      </c>
      <c r="H2386" t="s">
        <v>75</v>
      </c>
      <c r="I2386" t="s">
        <v>76</v>
      </c>
      <c r="J2386" t="s">
        <v>77</v>
      </c>
      <c r="K2386" t="s">
        <v>78</v>
      </c>
      <c r="L2386" t="s">
        <v>482</v>
      </c>
      <c r="M2386" t="s">
        <v>483</v>
      </c>
      <c r="N2386" t="s">
        <v>1256</v>
      </c>
      <c r="O2386" t="s">
        <v>82</v>
      </c>
      <c r="P2386" t="str">
        <f>"2170715799                    "</f>
        <v xml:space="preserve">2170715799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6.71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 s="4">
        <v>39.42</v>
      </c>
      <c r="BM2386" s="4">
        <v>5.91</v>
      </c>
      <c r="BN2386" s="4">
        <v>45.33</v>
      </c>
      <c r="BO2386" s="4">
        <v>45.33</v>
      </c>
      <c r="BR2386" t="s">
        <v>84</v>
      </c>
      <c r="BS2386" s="3">
        <v>43790</v>
      </c>
      <c r="BT2386" s="5">
        <v>0.37083333333333335</v>
      </c>
      <c r="BU2386" t="s">
        <v>1838</v>
      </c>
      <c r="BV2386" t="s">
        <v>86</v>
      </c>
      <c r="BY2386">
        <v>1200</v>
      </c>
      <c r="CC2386" t="s">
        <v>483</v>
      </c>
      <c r="CD2386">
        <v>1459</v>
      </c>
      <c r="CE2386" t="s">
        <v>147</v>
      </c>
      <c r="CF2386" s="3">
        <v>43791</v>
      </c>
      <c r="CI2386">
        <v>1</v>
      </c>
      <c r="CJ2386">
        <v>1</v>
      </c>
      <c r="CK2386">
        <v>22</v>
      </c>
      <c r="CL2386" t="s">
        <v>89</v>
      </c>
    </row>
    <row r="2387" spans="1:90">
      <c r="A2387" t="s">
        <v>72</v>
      </c>
      <c r="B2387" t="s">
        <v>73</v>
      </c>
      <c r="C2387" t="s">
        <v>74</v>
      </c>
      <c r="E2387" t="str">
        <f>"FES1162723979"</f>
        <v>FES1162723979</v>
      </c>
      <c r="F2387" s="3">
        <v>43789</v>
      </c>
      <c r="G2387">
        <v>202005</v>
      </c>
      <c r="H2387" t="s">
        <v>75</v>
      </c>
      <c r="I2387" t="s">
        <v>76</v>
      </c>
      <c r="J2387" t="s">
        <v>77</v>
      </c>
      <c r="K2387" t="s">
        <v>78</v>
      </c>
      <c r="L2387" t="s">
        <v>75</v>
      </c>
      <c r="M2387" t="s">
        <v>76</v>
      </c>
      <c r="N2387" t="s">
        <v>2596</v>
      </c>
      <c r="O2387" t="s">
        <v>82</v>
      </c>
      <c r="P2387" t="str">
        <f>"2170717969                    "</f>
        <v xml:space="preserve">2170717969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6.71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 s="4">
        <v>39.42</v>
      </c>
      <c r="BM2387" s="4">
        <v>5.91</v>
      </c>
      <c r="BN2387" s="4">
        <v>45.33</v>
      </c>
      <c r="BO2387" s="4">
        <v>45.33</v>
      </c>
      <c r="BQ2387" t="s">
        <v>2597</v>
      </c>
      <c r="BR2387" t="s">
        <v>84</v>
      </c>
      <c r="BS2387" s="3">
        <v>43790</v>
      </c>
      <c r="BT2387" s="5">
        <v>0.43194444444444446</v>
      </c>
      <c r="BU2387" t="s">
        <v>2595</v>
      </c>
      <c r="BV2387" t="s">
        <v>86</v>
      </c>
      <c r="BY2387">
        <v>1200</v>
      </c>
      <c r="CA2387" t="s">
        <v>198</v>
      </c>
      <c r="CC2387" t="s">
        <v>76</v>
      </c>
      <c r="CD2387">
        <v>1601</v>
      </c>
      <c r="CE2387" t="s">
        <v>147</v>
      </c>
      <c r="CF2387" s="3">
        <v>43791</v>
      </c>
      <c r="CI2387">
        <v>1</v>
      </c>
      <c r="CJ2387">
        <v>1</v>
      </c>
      <c r="CK2387">
        <v>22</v>
      </c>
      <c r="CL2387" t="s">
        <v>89</v>
      </c>
    </row>
    <row r="2388" spans="1:90">
      <c r="A2388" t="s">
        <v>72</v>
      </c>
      <c r="B2388" t="s">
        <v>73</v>
      </c>
      <c r="C2388" t="s">
        <v>74</v>
      </c>
      <c r="E2388" t="str">
        <f>"FES1162724014"</f>
        <v>FES1162724014</v>
      </c>
      <c r="F2388" s="3">
        <v>43789</v>
      </c>
      <c r="G2388">
        <v>202005</v>
      </c>
      <c r="H2388" t="s">
        <v>75</v>
      </c>
      <c r="I2388" t="s">
        <v>76</v>
      </c>
      <c r="J2388" t="s">
        <v>77</v>
      </c>
      <c r="K2388" t="s">
        <v>78</v>
      </c>
      <c r="L2388" t="s">
        <v>90</v>
      </c>
      <c r="M2388" t="s">
        <v>91</v>
      </c>
      <c r="N2388" t="s">
        <v>2125</v>
      </c>
      <c r="O2388" t="s">
        <v>82</v>
      </c>
      <c r="P2388" t="str">
        <f>"2170717999                    "</f>
        <v xml:space="preserve">2170717999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8.58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 s="4">
        <v>50.45</v>
      </c>
      <c r="BM2388" s="4">
        <v>7.57</v>
      </c>
      <c r="BN2388" s="4">
        <v>58.02</v>
      </c>
      <c r="BO2388" s="4">
        <v>58.02</v>
      </c>
      <c r="BQ2388" t="s">
        <v>2293</v>
      </c>
      <c r="BR2388" t="s">
        <v>84</v>
      </c>
      <c r="BS2388" s="3">
        <v>43790</v>
      </c>
      <c r="BT2388" s="5">
        <v>0.34027777777777773</v>
      </c>
      <c r="BU2388" t="s">
        <v>2126</v>
      </c>
      <c r="BV2388" t="s">
        <v>86</v>
      </c>
      <c r="BY2388">
        <v>1200</v>
      </c>
      <c r="CA2388" t="s">
        <v>515</v>
      </c>
      <c r="CC2388" t="s">
        <v>91</v>
      </c>
      <c r="CD2388">
        <v>7500</v>
      </c>
      <c r="CE2388" t="s">
        <v>147</v>
      </c>
      <c r="CF2388" s="3">
        <v>43791</v>
      </c>
      <c r="CI2388">
        <v>1</v>
      </c>
      <c r="CJ2388">
        <v>1</v>
      </c>
      <c r="CK2388">
        <v>21</v>
      </c>
      <c r="CL2388" t="s">
        <v>89</v>
      </c>
    </row>
    <row r="2389" spans="1:90">
      <c r="A2389" t="s">
        <v>72</v>
      </c>
      <c r="B2389" t="s">
        <v>73</v>
      </c>
      <c r="C2389" t="s">
        <v>74</v>
      </c>
      <c r="E2389" t="str">
        <f>"FES1162723994"</f>
        <v>FES1162723994</v>
      </c>
      <c r="F2389" s="3">
        <v>43789</v>
      </c>
      <c r="G2389">
        <v>202005</v>
      </c>
      <c r="H2389" t="s">
        <v>75</v>
      </c>
      <c r="I2389" t="s">
        <v>76</v>
      </c>
      <c r="J2389" t="s">
        <v>77</v>
      </c>
      <c r="K2389" t="s">
        <v>78</v>
      </c>
      <c r="L2389" t="s">
        <v>90</v>
      </c>
      <c r="M2389" t="s">
        <v>91</v>
      </c>
      <c r="N2389" t="s">
        <v>1419</v>
      </c>
      <c r="O2389" t="s">
        <v>82</v>
      </c>
      <c r="P2389" t="str">
        <f>"2170717990                    "</f>
        <v xml:space="preserve">2170717990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8.58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 s="4">
        <v>50.45</v>
      </c>
      <c r="BM2389" s="4">
        <v>7.57</v>
      </c>
      <c r="BN2389" s="4">
        <v>58.02</v>
      </c>
      <c r="BO2389" s="4">
        <v>58.02</v>
      </c>
      <c r="BQ2389" t="s">
        <v>109</v>
      </c>
      <c r="BR2389" t="s">
        <v>84</v>
      </c>
      <c r="BS2389" s="3">
        <v>43790</v>
      </c>
      <c r="BT2389" s="5">
        <v>0.42083333333333334</v>
      </c>
      <c r="BU2389" t="s">
        <v>2598</v>
      </c>
      <c r="BV2389" t="s">
        <v>86</v>
      </c>
      <c r="BY2389">
        <v>1200</v>
      </c>
      <c r="CA2389" t="s">
        <v>1281</v>
      </c>
      <c r="CC2389" t="s">
        <v>91</v>
      </c>
      <c r="CD2389">
        <v>7945</v>
      </c>
      <c r="CE2389" t="s">
        <v>147</v>
      </c>
      <c r="CF2389" s="3">
        <v>43791</v>
      </c>
      <c r="CI2389">
        <v>1</v>
      </c>
      <c r="CJ2389">
        <v>1</v>
      </c>
      <c r="CK2389">
        <v>21</v>
      </c>
      <c r="CL2389" t="s">
        <v>89</v>
      </c>
    </row>
    <row r="2390" spans="1:90">
      <c r="A2390" t="s">
        <v>72</v>
      </c>
      <c r="B2390" t="s">
        <v>73</v>
      </c>
      <c r="C2390" t="s">
        <v>74</v>
      </c>
      <c r="E2390" t="str">
        <f>"FES1162723995"</f>
        <v>FES1162723995</v>
      </c>
      <c r="F2390" s="3">
        <v>43789</v>
      </c>
      <c r="G2390">
        <v>202005</v>
      </c>
      <c r="H2390" t="s">
        <v>75</v>
      </c>
      <c r="I2390" t="s">
        <v>76</v>
      </c>
      <c r="J2390" t="s">
        <v>77</v>
      </c>
      <c r="K2390" t="s">
        <v>78</v>
      </c>
      <c r="L2390" t="s">
        <v>101</v>
      </c>
      <c r="M2390" t="s">
        <v>102</v>
      </c>
      <c r="N2390" t="s">
        <v>181</v>
      </c>
      <c r="O2390" t="s">
        <v>82</v>
      </c>
      <c r="P2390" t="str">
        <f>"2170717992                    "</f>
        <v xml:space="preserve">2170717992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8.58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 s="4">
        <v>50.45</v>
      </c>
      <c r="BM2390" s="4">
        <v>7.57</v>
      </c>
      <c r="BN2390" s="4">
        <v>58.02</v>
      </c>
      <c r="BO2390" s="4">
        <v>58.02</v>
      </c>
      <c r="BQ2390" t="s">
        <v>121</v>
      </c>
      <c r="BR2390" t="s">
        <v>84</v>
      </c>
      <c r="BS2390" s="3">
        <v>43790</v>
      </c>
      <c r="BT2390" s="5">
        <v>0.43055555555555558</v>
      </c>
      <c r="BU2390" t="s">
        <v>2407</v>
      </c>
      <c r="BV2390" t="s">
        <v>86</v>
      </c>
      <c r="BY2390">
        <v>1200</v>
      </c>
      <c r="CC2390" t="s">
        <v>102</v>
      </c>
      <c r="CD2390">
        <v>200</v>
      </c>
      <c r="CE2390" t="s">
        <v>147</v>
      </c>
      <c r="CF2390" s="3">
        <v>43791</v>
      </c>
      <c r="CI2390">
        <v>1</v>
      </c>
      <c r="CJ2390">
        <v>1</v>
      </c>
      <c r="CK2390">
        <v>21</v>
      </c>
      <c r="CL2390" t="s">
        <v>89</v>
      </c>
    </row>
    <row r="2391" spans="1:90">
      <c r="A2391" t="s">
        <v>72</v>
      </c>
      <c r="B2391" t="s">
        <v>73</v>
      </c>
      <c r="C2391" t="s">
        <v>74</v>
      </c>
      <c r="E2391" t="str">
        <f>"FES1162724011"</f>
        <v>FES1162724011</v>
      </c>
      <c r="F2391" s="3">
        <v>43789</v>
      </c>
      <c r="G2391">
        <v>202005</v>
      </c>
      <c r="H2391" t="s">
        <v>75</v>
      </c>
      <c r="I2391" t="s">
        <v>76</v>
      </c>
      <c r="J2391" t="s">
        <v>77</v>
      </c>
      <c r="K2391" t="s">
        <v>78</v>
      </c>
      <c r="L2391" t="s">
        <v>75</v>
      </c>
      <c r="M2391" t="s">
        <v>76</v>
      </c>
      <c r="N2391" t="s">
        <v>1429</v>
      </c>
      <c r="O2391" t="s">
        <v>82</v>
      </c>
      <c r="P2391" t="str">
        <f>"2170717996                    "</f>
        <v xml:space="preserve">2170717996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6.71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 s="4">
        <v>39.42</v>
      </c>
      <c r="BM2391" s="4">
        <v>5.91</v>
      </c>
      <c r="BN2391" s="4">
        <v>45.33</v>
      </c>
      <c r="BO2391" s="4">
        <v>45.33</v>
      </c>
      <c r="BQ2391" t="s">
        <v>109</v>
      </c>
      <c r="BR2391" t="s">
        <v>84</v>
      </c>
      <c r="BS2391" s="3">
        <v>43790</v>
      </c>
      <c r="BT2391" s="5">
        <v>0.34375</v>
      </c>
      <c r="BU2391" t="s">
        <v>1430</v>
      </c>
      <c r="BV2391" t="s">
        <v>86</v>
      </c>
      <c r="BY2391">
        <v>1200</v>
      </c>
      <c r="CA2391" t="s">
        <v>238</v>
      </c>
      <c r="CC2391" t="s">
        <v>76</v>
      </c>
      <c r="CD2391">
        <v>1665</v>
      </c>
      <c r="CE2391" t="s">
        <v>147</v>
      </c>
      <c r="CF2391" s="3">
        <v>43791</v>
      </c>
      <c r="CI2391">
        <v>1</v>
      </c>
      <c r="CJ2391">
        <v>1</v>
      </c>
      <c r="CK2391">
        <v>22</v>
      </c>
      <c r="CL2391" t="s">
        <v>89</v>
      </c>
    </row>
    <row r="2392" spans="1:90">
      <c r="A2392" t="s">
        <v>72</v>
      </c>
      <c r="B2392" t="s">
        <v>73</v>
      </c>
      <c r="C2392" t="s">
        <v>74</v>
      </c>
      <c r="E2392" t="str">
        <f>"FES1162724057"</f>
        <v>FES1162724057</v>
      </c>
      <c r="F2392" s="3">
        <v>43789</v>
      </c>
      <c r="G2392">
        <v>202005</v>
      </c>
      <c r="H2392" t="s">
        <v>75</v>
      </c>
      <c r="I2392" t="s">
        <v>76</v>
      </c>
      <c r="J2392" t="s">
        <v>77</v>
      </c>
      <c r="K2392" t="s">
        <v>78</v>
      </c>
      <c r="L2392" t="s">
        <v>106</v>
      </c>
      <c r="M2392" t="s">
        <v>107</v>
      </c>
      <c r="N2392" t="s">
        <v>242</v>
      </c>
      <c r="O2392" t="s">
        <v>82</v>
      </c>
      <c r="P2392" t="str">
        <f>"2170718024                    "</f>
        <v xml:space="preserve">2170718024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8.58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 s="4">
        <v>50.45</v>
      </c>
      <c r="BM2392" s="4">
        <v>7.57</v>
      </c>
      <c r="BN2392" s="4">
        <v>58.02</v>
      </c>
      <c r="BO2392" s="4">
        <v>58.02</v>
      </c>
      <c r="BQ2392" t="s">
        <v>109</v>
      </c>
      <c r="BR2392" t="s">
        <v>84</v>
      </c>
      <c r="BS2392" s="3">
        <v>43790</v>
      </c>
      <c r="BT2392" s="5">
        <v>0.38750000000000001</v>
      </c>
      <c r="BU2392" t="s">
        <v>243</v>
      </c>
      <c r="BV2392" t="s">
        <v>86</v>
      </c>
      <c r="BY2392">
        <v>1200</v>
      </c>
      <c r="CA2392" t="s">
        <v>244</v>
      </c>
      <c r="CC2392" t="s">
        <v>107</v>
      </c>
      <c r="CD2392">
        <v>6001</v>
      </c>
      <c r="CE2392" t="s">
        <v>147</v>
      </c>
      <c r="CF2392" s="3">
        <v>43791</v>
      </c>
      <c r="CI2392">
        <v>1</v>
      </c>
      <c r="CJ2392">
        <v>1</v>
      </c>
      <c r="CK2392">
        <v>21</v>
      </c>
      <c r="CL2392" t="s">
        <v>89</v>
      </c>
    </row>
    <row r="2393" spans="1:90">
      <c r="A2393" t="s">
        <v>72</v>
      </c>
      <c r="B2393" t="s">
        <v>73</v>
      </c>
      <c r="C2393" t="s">
        <v>74</v>
      </c>
      <c r="E2393" t="str">
        <f>"FES1162723984"</f>
        <v>FES1162723984</v>
      </c>
      <c r="F2393" s="3">
        <v>43789</v>
      </c>
      <c r="G2393">
        <v>202005</v>
      </c>
      <c r="H2393" t="s">
        <v>75</v>
      </c>
      <c r="I2393" t="s">
        <v>76</v>
      </c>
      <c r="J2393" t="s">
        <v>77</v>
      </c>
      <c r="K2393" t="s">
        <v>78</v>
      </c>
      <c r="L2393" t="s">
        <v>1327</v>
      </c>
      <c r="M2393" t="s">
        <v>1328</v>
      </c>
      <c r="N2393" t="s">
        <v>1329</v>
      </c>
      <c r="O2393" t="s">
        <v>82</v>
      </c>
      <c r="P2393" t="str">
        <f>"2170717974                    "</f>
        <v xml:space="preserve">2170717974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69.209999999999994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5.9</v>
      </c>
      <c r="BJ2393">
        <v>9</v>
      </c>
      <c r="BK2393">
        <v>9</v>
      </c>
      <c r="BL2393" s="4">
        <v>406.81</v>
      </c>
      <c r="BM2393" s="4">
        <v>61.02</v>
      </c>
      <c r="BN2393" s="4">
        <v>467.83</v>
      </c>
      <c r="BO2393" s="4">
        <v>467.83</v>
      </c>
      <c r="BQ2393" t="s">
        <v>109</v>
      </c>
      <c r="BR2393" t="s">
        <v>84</v>
      </c>
      <c r="BS2393" s="3">
        <v>43790</v>
      </c>
      <c r="BT2393" s="5">
        <v>0.35555555555555557</v>
      </c>
      <c r="BU2393" t="s">
        <v>378</v>
      </c>
      <c r="BV2393" t="s">
        <v>86</v>
      </c>
      <c r="BY2393">
        <v>44839.34</v>
      </c>
      <c r="CA2393" t="s">
        <v>1330</v>
      </c>
      <c r="CC2393" t="s">
        <v>1328</v>
      </c>
      <c r="CD2393">
        <v>9700</v>
      </c>
      <c r="CE2393" t="s">
        <v>88</v>
      </c>
      <c r="CF2393" s="3">
        <v>43794</v>
      </c>
      <c r="CI2393">
        <v>1</v>
      </c>
      <c r="CJ2393">
        <v>1</v>
      </c>
      <c r="CK2393">
        <v>23</v>
      </c>
      <c r="CL2393" t="s">
        <v>89</v>
      </c>
    </row>
    <row r="2394" spans="1:90">
      <c r="A2394" t="s">
        <v>72</v>
      </c>
      <c r="B2394" t="s">
        <v>73</v>
      </c>
      <c r="C2394" t="s">
        <v>74</v>
      </c>
      <c r="E2394" t="str">
        <f>"FES1162718148"</f>
        <v>FES1162718148</v>
      </c>
      <c r="F2394" s="3">
        <v>43789</v>
      </c>
      <c r="G2394">
        <v>202005</v>
      </c>
      <c r="H2394" t="s">
        <v>75</v>
      </c>
      <c r="I2394" t="s">
        <v>76</v>
      </c>
      <c r="J2394" t="s">
        <v>77</v>
      </c>
      <c r="K2394" t="s">
        <v>78</v>
      </c>
      <c r="L2394" t="s">
        <v>124</v>
      </c>
      <c r="M2394" t="s">
        <v>125</v>
      </c>
      <c r="N2394" t="s">
        <v>218</v>
      </c>
      <c r="O2394" t="s">
        <v>82</v>
      </c>
      <c r="P2394" t="str">
        <f>"2170712876                    "</f>
        <v xml:space="preserve">2170712876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6.71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0.2</v>
      </c>
      <c r="BJ2394">
        <v>0.6</v>
      </c>
      <c r="BK2394">
        <v>1</v>
      </c>
      <c r="BL2394" s="4">
        <v>39.42</v>
      </c>
      <c r="BM2394" s="4">
        <v>5.91</v>
      </c>
      <c r="BN2394" s="4">
        <v>45.33</v>
      </c>
      <c r="BO2394" s="4">
        <v>45.33</v>
      </c>
      <c r="BQ2394" t="s">
        <v>121</v>
      </c>
      <c r="BR2394" t="s">
        <v>84</v>
      </c>
      <c r="BS2394" s="3">
        <v>43790</v>
      </c>
      <c r="BT2394" s="5">
        <v>0.35694444444444445</v>
      </c>
      <c r="BU2394" t="s">
        <v>2545</v>
      </c>
      <c r="BV2394" t="s">
        <v>86</v>
      </c>
      <c r="BY2394">
        <v>3116.82</v>
      </c>
      <c r="CC2394" t="s">
        <v>125</v>
      </c>
      <c r="CD2394">
        <v>2094</v>
      </c>
      <c r="CE2394" t="s">
        <v>88</v>
      </c>
      <c r="CF2394" s="3">
        <v>43791</v>
      </c>
      <c r="CI2394">
        <v>1</v>
      </c>
      <c r="CJ2394">
        <v>1</v>
      </c>
      <c r="CK2394">
        <v>22</v>
      </c>
      <c r="CL2394" t="s">
        <v>89</v>
      </c>
    </row>
    <row r="2395" spans="1:90">
      <c r="A2395" t="s">
        <v>72</v>
      </c>
      <c r="B2395" t="s">
        <v>73</v>
      </c>
      <c r="C2395" t="s">
        <v>74</v>
      </c>
      <c r="E2395" t="str">
        <f>"FES1162723904"</f>
        <v>FES1162723904</v>
      </c>
      <c r="F2395" s="3">
        <v>43789</v>
      </c>
      <c r="G2395">
        <v>202005</v>
      </c>
      <c r="H2395" t="s">
        <v>75</v>
      </c>
      <c r="I2395" t="s">
        <v>76</v>
      </c>
      <c r="J2395" t="s">
        <v>77</v>
      </c>
      <c r="K2395" t="s">
        <v>78</v>
      </c>
      <c r="L2395" t="s">
        <v>75</v>
      </c>
      <c r="M2395" t="s">
        <v>76</v>
      </c>
      <c r="N2395" t="s">
        <v>199</v>
      </c>
      <c r="O2395" t="s">
        <v>82</v>
      </c>
      <c r="P2395" t="str">
        <f>"2170717471                    "</f>
        <v xml:space="preserve">2170717471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8.31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2.9</v>
      </c>
      <c r="BJ2395">
        <v>1.1000000000000001</v>
      </c>
      <c r="BK2395">
        <v>3</v>
      </c>
      <c r="BL2395" s="4">
        <v>48.86</v>
      </c>
      <c r="BM2395" s="4">
        <v>7.33</v>
      </c>
      <c r="BN2395" s="4">
        <v>56.19</v>
      </c>
      <c r="BO2395" s="4">
        <v>56.19</v>
      </c>
      <c r="BQ2395" t="s">
        <v>200</v>
      </c>
      <c r="BR2395" t="s">
        <v>84</v>
      </c>
      <c r="BS2395" s="3">
        <v>43790</v>
      </c>
      <c r="BT2395" s="5">
        <v>0.33333333333333331</v>
      </c>
      <c r="BU2395" t="s">
        <v>1072</v>
      </c>
      <c r="BV2395" t="s">
        <v>86</v>
      </c>
      <c r="BY2395">
        <v>5262.88</v>
      </c>
      <c r="CA2395" t="s">
        <v>368</v>
      </c>
      <c r="CC2395" t="s">
        <v>76</v>
      </c>
      <c r="CD2395">
        <v>1600</v>
      </c>
      <c r="CE2395" t="s">
        <v>88</v>
      </c>
      <c r="CF2395" s="3">
        <v>43795</v>
      </c>
      <c r="CI2395">
        <v>1</v>
      </c>
      <c r="CJ2395">
        <v>1</v>
      </c>
      <c r="CK2395">
        <v>22</v>
      </c>
      <c r="CL2395" t="s">
        <v>89</v>
      </c>
    </row>
    <row r="2396" spans="1:90">
      <c r="A2396" t="s">
        <v>72</v>
      </c>
      <c r="B2396" t="s">
        <v>73</v>
      </c>
      <c r="C2396" t="s">
        <v>74</v>
      </c>
      <c r="E2396" t="str">
        <f>"FES1162723897"</f>
        <v>FES1162723897</v>
      </c>
      <c r="F2396" s="3">
        <v>43789</v>
      </c>
      <c r="G2396">
        <v>202005</v>
      </c>
      <c r="H2396" t="s">
        <v>75</v>
      </c>
      <c r="I2396" t="s">
        <v>76</v>
      </c>
      <c r="J2396" t="s">
        <v>77</v>
      </c>
      <c r="K2396" t="s">
        <v>78</v>
      </c>
      <c r="L2396" t="s">
        <v>176</v>
      </c>
      <c r="M2396" t="s">
        <v>177</v>
      </c>
      <c r="N2396" t="s">
        <v>2599</v>
      </c>
      <c r="O2396" t="s">
        <v>282</v>
      </c>
      <c r="P2396" t="str">
        <f>"2170717901                    "</f>
        <v xml:space="preserve">2170717901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18.170000000000002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3</v>
      </c>
      <c r="BI2396">
        <v>20.100000000000001</v>
      </c>
      <c r="BJ2396">
        <v>27.1</v>
      </c>
      <c r="BK2396">
        <v>27</v>
      </c>
      <c r="BL2396" s="4">
        <v>111.81</v>
      </c>
      <c r="BM2396" s="4">
        <v>16.77</v>
      </c>
      <c r="BN2396" s="4">
        <v>128.58000000000001</v>
      </c>
      <c r="BO2396" s="4">
        <v>128.58000000000001</v>
      </c>
      <c r="BQ2396" t="s">
        <v>121</v>
      </c>
      <c r="BR2396" t="s">
        <v>84</v>
      </c>
      <c r="BS2396" s="3">
        <v>43790</v>
      </c>
      <c r="BT2396" s="5">
        <v>0.6166666666666667</v>
      </c>
      <c r="BU2396" t="s">
        <v>2600</v>
      </c>
      <c r="BV2396" t="s">
        <v>86</v>
      </c>
      <c r="BY2396">
        <v>135460.9</v>
      </c>
      <c r="CA2396" t="s">
        <v>2601</v>
      </c>
      <c r="CC2396" t="s">
        <v>177</v>
      </c>
      <c r="CD2396">
        <v>3610</v>
      </c>
      <c r="CE2396" t="s">
        <v>852</v>
      </c>
      <c r="CF2396" s="3">
        <v>43791</v>
      </c>
      <c r="CI2396">
        <v>1</v>
      </c>
      <c r="CJ2396">
        <v>1</v>
      </c>
      <c r="CK2396" t="s">
        <v>711</v>
      </c>
      <c r="CL2396" t="s">
        <v>89</v>
      </c>
    </row>
    <row r="2397" spans="1:90">
      <c r="A2397" t="s">
        <v>72</v>
      </c>
      <c r="B2397" t="s">
        <v>73</v>
      </c>
      <c r="C2397" t="s">
        <v>74</v>
      </c>
      <c r="E2397" t="str">
        <f>"FES1162724107"</f>
        <v>FES1162724107</v>
      </c>
      <c r="F2397" s="3">
        <v>43789</v>
      </c>
      <c r="G2397">
        <v>202005</v>
      </c>
      <c r="H2397" t="s">
        <v>75</v>
      </c>
      <c r="I2397" t="s">
        <v>76</v>
      </c>
      <c r="J2397" t="s">
        <v>77</v>
      </c>
      <c r="K2397" t="s">
        <v>78</v>
      </c>
      <c r="L2397" t="s">
        <v>482</v>
      </c>
      <c r="M2397" t="s">
        <v>483</v>
      </c>
      <c r="N2397" t="s">
        <v>1881</v>
      </c>
      <c r="O2397" t="s">
        <v>282</v>
      </c>
      <c r="P2397" t="str">
        <f>"217070717566                  "</f>
        <v xml:space="preserve">217070717566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15.71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24</v>
      </c>
      <c r="BJ2397">
        <v>17</v>
      </c>
      <c r="BK2397">
        <v>24</v>
      </c>
      <c r="BL2397" s="4">
        <v>97.32</v>
      </c>
      <c r="BM2397" s="4">
        <v>14.6</v>
      </c>
      <c r="BN2397" s="4">
        <v>111.92</v>
      </c>
      <c r="BO2397" s="4">
        <v>111.92</v>
      </c>
      <c r="BQ2397" t="s">
        <v>2602</v>
      </c>
      <c r="BR2397" t="s">
        <v>84</v>
      </c>
      <c r="BS2397" s="3">
        <v>43794</v>
      </c>
      <c r="BT2397" s="5">
        <v>0.39305555555555555</v>
      </c>
      <c r="BU2397" t="s">
        <v>2164</v>
      </c>
      <c r="BV2397" t="s">
        <v>89</v>
      </c>
      <c r="BW2397" t="s">
        <v>865</v>
      </c>
      <c r="BX2397" t="s">
        <v>2566</v>
      </c>
      <c r="BY2397">
        <v>84882.01</v>
      </c>
      <c r="CA2397" t="s">
        <v>2603</v>
      </c>
      <c r="CC2397" t="s">
        <v>483</v>
      </c>
      <c r="CD2397">
        <v>1459</v>
      </c>
      <c r="CE2397" t="s">
        <v>88</v>
      </c>
      <c r="CI2397">
        <v>1</v>
      </c>
      <c r="CJ2397">
        <v>3</v>
      </c>
      <c r="CK2397" t="s">
        <v>379</v>
      </c>
      <c r="CL2397" t="s">
        <v>89</v>
      </c>
    </row>
    <row r="2398" spans="1:90">
      <c r="A2398" t="s">
        <v>72</v>
      </c>
      <c r="B2398" t="s">
        <v>73</v>
      </c>
      <c r="C2398" t="s">
        <v>74</v>
      </c>
      <c r="E2398" t="str">
        <f>"FES1162724136"</f>
        <v>FES1162724136</v>
      </c>
      <c r="F2398" s="3">
        <v>43789</v>
      </c>
      <c r="G2398">
        <v>202005</v>
      </c>
      <c r="H2398" t="s">
        <v>75</v>
      </c>
      <c r="I2398" t="s">
        <v>76</v>
      </c>
      <c r="J2398" t="s">
        <v>77</v>
      </c>
      <c r="K2398" t="s">
        <v>78</v>
      </c>
      <c r="L2398" t="s">
        <v>999</v>
      </c>
      <c r="M2398" t="s">
        <v>91</v>
      </c>
      <c r="N2398" t="s">
        <v>810</v>
      </c>
      <c r="O2398" t="s">
        <v>282</v>
      </c>
      <c r="P2398" t="str">
        <f>"2170718105                    "</f>
        <v xml:space="preserve">2170718105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17.57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5</v>
      </c>
      <c r="BJ2398">
        <v>1.4</v>
      </c>
      <c r="BK2398">
        <v>5</v>
      </c>
      <c r="BL2398" s="4">
        <v>108.28</v>
      </c>
      <c r="BM2398" s="4">
        <v>16.239999999999998</v>
      </c>
      <c r="BN2398" s="4">
        <v>124.52</v>
      </c>
      <c r="BO2398" s="4">
        <v>124.52</v>
      </c>
      <c r="BP2398" t="s">
        <v>757</v>
      </c>
      <c r="BQ2398" t="s">
        <v>121</v>
      </c>
      <c r="BR2398" t="s">
        <v>84</v>
      </c>
      <c r="BS2398" s="3">
        <v>43791</v>
      </c>
      <c r="BT2398" s="5">
        <v>0.41875000000000001</v>
      </c>
      <c r="BU2398" t="s">
        <v>2604</v>
      </c>
      <c r="BV2398" t="s">
        <v>86</v>
      </c>
      <c r="BY2398">
        <v>6900</v>
      </c>
      <c r="CA2398" t="s">
        <v>1476</v>
      </c>
      <c r="CC2398" t="s">
        <v>91</v>
      </c>
      <c r="CD2398">
        <v>7405</v>
      </c>
      <c r="CE2398" t="s">
        <v>88</v>
      </c>
      <c r="CF2398" s="3">
        <v>43794</v>
      </c>
      <c r="CI2398">
        <v>2</v>
      </c>
      <c r="CJ2398">
        <v>2</v>
      </c>
      <c r="CK2398" t="s">
        <v>1002</v>
      </c>
      <c r="CL2398" t="s">
        <v>89</v>
      </c>
    </row>
    <row r="2399" spans="1:90">
      <c r="A2399" t="s">
        <v>72</v>
      </c>
      <c r="B2399" t="s">
        <v>73</v>
      </c>
      <c r="C2399" t="s">
        <v>74</v>
      </c>
      <c r="E2399" t="str">
        <f>"FES1162724062"</f>
        <v>FES1162724062</v>
      </c>
      <c r="F2399" s="3">
        <v>43789</v>
      </c>
      <c r="G2399">
        <v>202005</v>
      </c>
      <c r="H2399" t="s">
        <v>75</v>
      </c>
      <c r="I2399" t="s">
        <v>76</v>
      </c>
      <c r="J2399" t="s">
        <v>77</v>
      </c>
      <c r="K2399" t="s">
        <v>78</v>
      </c>
      <c r="L2399" t="s">
        <v>344</v>
      </c>
      <c r="M2399" t="s">
        <v>345</v>
      </c>
      <c r="N2399" t="s">
        <v>2200</v>
      </c>
      <c r="O2399" t="s">
        <v>282</v>
      </c>
      <c r="P2399" t="str">
        <f>"2170715868                    "</f>
        <v xml:space="preserve">2170715868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16.510000000000002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26</v>
      </c>
      <c r="BJ2399">
        <v>15.3</v>
      </c>
      <c r="BK2399">
        <v>26</v>
      </c>
      <c r="BL2399" s="4">
        <v>102.06</v>
      </c>
      <c r="BM2399" s="4">
        <v>15.31</v>
      </c>
      <c r="BN2399" s="4">
        <v>117.37</v>
      </c>
      <c r="BO2399" s="4">
        <v>117.37</v>
      </c>
      <c r="BQ2399" t="s">
        <v>121</v>
      </c>
      <c r="BR2399" t="s">
        <v>84</v>
      </c>
      <c r="BS2399" s="3">
        <v>43790</v>
      </c>
      <c r="BT2399" s="5">
        <v>0.47500000000000003</v>
      </c>
      <c r="BU2399" t="s">
        <v>2605</v>
      </c>
      <c r="BV2399" t="s">
        <v>86</v>
      </c>
      <c r="BY2399">
        <v>76380</v>
      </c>
      <c r="CA2399" t="s">
        <v>2381</v>
      </c>
      <c r="CC2399" t="s">
        <v>345</v>
      </c>
      <c r="CD2399">
        <v>2163</v>
      </c>
      <c r="CE2399" t="s">
        <v>88</v>
      </c>
      <c r="CF2399" s="3">
        <v>43791</v>
      </c>
      <c r="CI2399">
        <v>1</v>
      </c>
      <c r="CJ2399">
        <v>1</v>
      </c>
      <c r="CK2399" t="s">
        <v>379</v>
      </c>
      <c r="CL2399" t="s">
        <v>89</v>
      </c>
    </row>
    <row r="2400" spans="1:90">
      <c r="A2400" t="s">
        <v>72</v>
      </c>
      <c r="B2400" t="s">
        <v>73</v>
      </c>
      <c r="C2400" t="s">
        <v>74</v>
      </c>
      <c r="E2400" t="str">
        <f>"FES1162724055"</f>
        <v>FES1162724055</v>
      </c>
      <c r="F2400" s="3">
        <v>43789</v>
      </c>
      <c r="G2400">
        <v>202005</v>
      </c>
      <c r="H2400" t="s">
        <v>75</v>
      </c>
      <c r="I2400" t="s">
        <v>76</v>
      </c>
      <c r="J2400" t="s">
        <v>77</v>
      </c>
      <c r="K2400" t="s">
        <v>78</v>
      </c>
      <c r="L2400" t="s">
        <v>192</v>
      </c>
      <c r="M2400" t="s">
        <v>193</v>
      </c>
      <c r="N2400" t="s">
        <v>194</v>
      </c>
      <c r="O2400" t="s">
        <v>282</v>
      </c>
      <c r="P2400" t="str">
        <f>"2170718022                    "</f>
        <v xml:space="preserve">2170718022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21.33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20</v>
      </c>
      <c r="BJ2400">
        <v>9.1</v>
      </c>
      <c r="BK2400">
        <v>20</v>
      </c>
      <c r="BL2400" s="4">
        <v>130.38999999999999</v>
      </c>
      <c r="BM2400" s="4">
        <v>19.559999999999999</v>
      </c>
      <c r="BN2400" s="4">
        <v>149.94999999999999</v>
      </c>
      <c r="BO2400" s="4">
        <v>149.94999999999999</v>
      </c>
      <c r="BQ2400" t="s">
        <v>109</v>
      </c>
      <c r="BR2400" t="s">
        <v>84</v>
      </c>
      <c r="BS2400" s="3">
        <v>43791</v>
      </c>
      <c r="BT2400" s="5">
        <v>0.38819444444444445</v>
      </c>
      <c r="BU2400" t="s">
        <v>2606</v>
      </c>
      <c r="BV2400" t="s">
        <v>86</v>
      </c>
      <c r="BY2400">
        <v>45632</v>
      </c>
      <c r="CA2400" t="s">
        <v>2607</v>
      </c>
      <c r="CC2400" t="s">
        <v>193</v>
      </c>
      <c r="CD2400">
        <v>7130</v>
      </c>
      <c r="CE2400" t="s">
        <v>88</v>
      </c>
      <c r="CF2400" s="3">
        <v>43794</v>
      </c>
      <c r="CI2400">
        <v>2</v>
      </c>
      <c r="CJ2400">
        <v>2</v>
      </c>
      <c r="CK2400" t="s">
        <v>1002</v>
      </c>
      <c r="CL2400" t="s">
        <v>89</v>
      </c>
    </row>
    <row r="2401" spans="1:90">
      <c r="A2401" t="s">
        <v>72</v>
      </c>
      <c r="B2401" t="s">
        <v>73</v>
      </c>
      <c r="C2401" t="s">
        <v>74</v>
      </c>
      <c r="E2401" t="str">
        <f>"FES1162724039"</f>
        <v>FES1162724039</v>
      </c>
      <c r="F2401" s="3">
        <v>43789</v>
      </c>
      <c r="G2401">
        <v>202005</v>
      </c>
      <c r="H2401" t="s">
        <v>75</v>
      </c>
      <c r="I2401" t="s">
        <v>76</v>
      </c>
      <c r="J2401" t="s">
        <v>77</v>
      </c>
      <c r="K2401" t="s">
        <v>78</v>
      </c>
      <c r="L2401" t="s">
        <v>118</v>
      </c>
      <c r="M2401" t="s">
        <v>119</v>
      </c>
      <c r="N2401" t="s">
        <v>120</v>
      </c>
      <c r="O2401" t="s">
        <v>282</v>
      </c>
      <c r="P2401" t="str">
        <f>"2170713895                    "</f>
        <v xml:space="preserve">2170713895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21.62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20.5</v>
      </c>
      <c r="BJ2401">
        <v>13.5</v>
      </c>
      <c r="BK2401">
        <v>21</v>
      </c>
      <c r="BL2401" s="4">
        <v>132.06</v>
      </c>
      <c r="BM2401" s="4">
        <v>19.809999999999999</v>
      </c>
      <c r="BN2401" s="4">
        <v>151.87</v>
      </c>
      <c r="BO2401" s="4">
        <v>151.87</v>
      </c>
      <c r="BQ2401" t="s">
        <v>121</v>
      </c>
      <c r="BR2401" t="s">
        <v>84</v>
      </c>
      <c r="BS2401" s="3">
        <v>43790</v>
      </c>
      <c r="BT2401" s="5">
        <v>0.41250000000000003</v>
      </c>
      <c r="BU2401" t="s">
        <v>623</v>
      </c>
      <c r="BV2401" t="s">
        <v>86</v>
      </c>
      <c r="BY2401">
        <v>67287.360000000001</v>
      </c>
      <c r="CA2401" t="s">
        <v>435</v>
      </c>
      <c r="CC2401" t="s">
        <v>119</v>
      </c>
      <c r="CD2401">
        <v>3201</v>
      </c>
      <c r="CE2401" t="s">
        <v>88</v>
      </c>
      <c r="CF2401" s="3">
        <v>43791</v>
      </c>
      <c r="CI2401">
        <v>1</v>
      </c>
      <c r="CJ2401">
        <v>1</v>
      </c>
      <c r="CK2401" t="s">
        <v>2377</v>
      </c>
      <c r="CL2401" t="s">
        <v>89</v>
      </c>
    </row>
    <row r="2402" spans="1:90">
      <c r="A2402" t="s">
        <v>72</v>
      </c>
      <c r="B2402" t="s">
        <v>73</v>
      </c>
      <c r="C2402" t="s">
        <v>74</v>
      </c>
      <c r="E2402" t="str">
        <f>"FES1162722235"</f>
        <v>FES1162722235</v>
      </c>
      <c r="F2402" s="3">
        <v>43780</v>
      </c>
      <c r="G2402">
        <v>202005</v>
      </c>
      <c r="H2402" t="s">
        <v>75</v>
      </c>
      <c r="I2402" t="s">
        <v>76</v>
      </c>
      <c r="J2402" t="s">
        <v>211</v>
      </c>
      <c r="K2402" t="s">
        <v>78</v>
      </c>
      <c r="L2402" t="s">
        <v>405</v>
      </c>
      <c r="M2402" t="s">
        <v>406</v>
      </c>
      <c r="N2402" t="s">
        <v>407</v>
      </c>
      <c r="O2402" t="s">
        <v>756</v>
      </c>
      <c r="P2402" t="str">
        <f>"2170709691                    "</f>
        <v xml:space="preserve">2170709691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22.94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5.4</v>
      </c>
      <c r="BJ2402">
        <v>6.1</v>
      </c>
      <c r="BK2402">
        <v>7</v>
      </c>
      <c r="BL2402" s="4">
        <v>134.83000000000001</v>
      </c>
      <c r="BM2402" s="4">
        <v>20.22</v>
      </c>
      <c r="BN2402" s="4">
        <v>155.05000000000001</v>
      </c>
      <c r="BO2402" s="4">
        <v>155.05000000000001</v>
      </c>
      <c r="BQ2402" t="s">
        <v>121</v>
      </c>
      <c r="BR2402" t="s">
        <v>212</v>
      </c>
      <c r="BS2402" s="3">
        <v>43781</v>
      </c>
      <c r="BT2402" s="5">
        <v>0.37361111111111112</v>
      </c>
      <c r="BU2402" t="s">
        <v>408</v>
      </c>
      <c r="BV2402" t="s">
        <v>86</v>
      </c>
      <c r="BY2402">
        <v>30451.68</v>
      </c>
      <c r="BZ2402" t="s">
        <v>27</v>
      </c>
      <c r="CA2402" t="s">
        <v>409</v>
      </c>
      <c r="CC2402" t="s">
        <v>406</v>
      </c>
      <c r="CD2402">
        <v>250</v>
      </c>
      <c r="CE2402" t="s">
        <v>1598</v>
      </c>
      <c r="CF2402" s="3">
        <v>43783</v>
      </c>
      <c r="CI2402">
        <v>1</v>
      </c>
      <c r="CJ2402">
        <v>1</v>
      </c>
      <c r="CK2402">
        <v>34</v>
      </c>
      <c r="CL2402" t="s">
        <v>89</v>
      </c>
    </row>
    <row r="2403" spans="1:90">
      <c r="A2403" t="s">
        <v>72</v>
      </c>
      <c r="B2403" t="s">
        <v>73</v>
      </c>
      <c r="C2403" t="s">
        <v>74</v>
      </c>
      <c r="E2403" t="str">
        <f>"FES1162721605"</f>
        <v>FES1162721605</v>
      </c>
      <c r="F2403" s="3">
        <v>43775</v>
      </c>
      <c r="G2403">
        <v>202005</v>
      </c>
      <c r="H2403" t="s">
        <v>75</v>
      </c>
      <c r="I2403" t="s">
        <v>76</v>
      </c>
      <c r="J2403" t="s">
        <v>211</v>
      </c>
      <c r="K2403" t="s">
        <v>78</v>
      </c>
      <c r="L2403" t="s">
        <v>172</v>
      </c>
      <c r="M2403" t="s">
        <v>173</v>
      </c>
      <c r="N2403" t="s">
        <v>2608</v>
      </c>
      <c r="O2403" t="s">
        <v>756</v>
      </c>
      <c r="P2403" t="str">
        <f>"2170715789                    "</f>
        <v xml:space="preserve">2170715789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26.56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5.7</v>
      </c>
      <c r="BJ2403">
        <v>7.4</v>
      </c>
      <c r="BK2403">
        <v>8</v>
      </c>
      <c r="BL2403" s="4">
        <v>156.12</v>
      </c>
      <c r="BM2403" s="4">
        <v>23.42</v>
      </c>
      <c r="BN2403" s="4">
        <v>179.54</v>
      </c>
      <c r="BO2403" s="4">
        <v>179.54</v>
      </c>
      <c r="BQ2403" t="s">
        <v>121</v>
      </c>
      <c r="BR2403" t="s">
        <v>212</v>
      </c>
      <c r="BS2403" s="3">
        <v>43776</v>
      </c>
      <c r="BT2403" s="5">
        <v>0.375</v>
      </c>
      <c r="BU2403" t="s">
        <v>2609</v>
      </c>
      <c r="BV2403" t="s">
        <v>86</v>
      </c>
      <c r="BY2403">
        <v>36956.660000000003</v>
      </c>
      <c r="BZ2403" t="s">
        <v>27</v>
      </c>
      <c r="CC2403" t="s">
        <v>173</v>
      </c>
      <c r="CD2403">
        <v>1752</v>
      </c>
      <c r="CE2403" t="s">
        <v>88</v>
      </c>
      <c r="CF2403" s="3">
        <v>43777</v>
      </c>
      <c r="CI2403">
        <v>1</v>
      </c>
      <c r="CJ2403">
        <v>1</v>
      </c>
      <c r="CK2403">
        <v>34</v>
      </c>
      <c r="CL2403" t="s">
        <v>89</v>
      </c>
    </row>
    <row r="2404" spans="1:90">
      <c r="A2404" t="s">
        <v>72</v>
      </c>
      <c r="B2404" t="s">
        <v>73</v>
      </c>
      <c r="C2404" t="s">
        <v>74</v>
      </c>
      <c r="E2404" t="str">
        <f>"009938746408"</f>
        <v>009938746408</v>
      </c>
      <c r="F2404" s="3">
        <v>43775</v>
      </c>
      <c r="G2404">
        <v>202005</v>
      </c>
      <c r="H2404" t="s">
        <v>75</v>
      </c>
      <c r="I2404" t="s">
        <v>76</v>
      </c>
      <c r="J2404" t="s">
        <v>2610</v>
      </c>
      <c r="K2404" t="s">
        <v>78</v>
      </c>
      <c r="L2404" t="s">
        <v>75</v>
      </c>
      <c r="M2404" t="s">
        <v>76</v>
      </c>
      <c r="N2404" t="s">
        <v>211</v>
      </c>
      <c r="O2404" t="s">
        <v>82</v>
      </c>
      <c r="P2404" t="str">
        <f>"....                          "</f>
        <v xml:space="preserve">....      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6.71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1.3</v>
      </c>
      <c r="BJ2404">
        <v>1.6</v>
      </c>
      <c r="BK2404">
        <v>2</v>
      </c>
      <c r="BL2404" s="4">
        <v>39.42</v>
      </c>
      <c r="BM2404" s="4">
        <v>5.91</v>
      </c>
      <c r="BN2404" s="4">
        <v>45.33</v>
      </c>
      <c r="BO2404" s="4">
        <v>45.33</v>
      </c>
      <c r="BQ2404" t="s">
        <v>2611</v>
      </c>
      <c r="BR2404" t="s">
        <v>2612</v>
      </c>
      <c r="BS2404" s="3">
        <v>43776</v>
      </c>
      <c r="BT2404" s="5">
        <v>0.38263888888888892</v>
      </c>
      <c r="BU2404" t="s">
        <v>1016</v>
      </c>
      <c r="BV2404" t="s">
        <v>86</v>
      </c>
      <c r="BY2404">
        <v>8192.23</v>
      </c>
      <c r="BZ2404" t="s">
        <v>27</v>
      </c>
      <c r="CA2404" t="s">
        <v>198</v>
      </c>
      <c r="CC2404" t="s">
        <v>76</v>
      </c>
      <c r="CD2404">
        <v>1600</v>
      </c>
      <c r="CE2404" t="s">
        <v>88</v>
      </c>
      <c r="CF2404" s="3">
        <v>43777</v>
      </c>
      <c r="CI2404">
        <v>1</v>
      </c>
      <c r="CJ2404">
        <v>1</v>
      </c>
      <c r="CK2404">
        <v>22</v>
      </c>
      <c r="CL2404" t="s">
        <v>89</v>
      </c>
    </row>
    <row r="2405" spans="1:90">
      <c r="A2405" t="s">
        <v>72</v>
      </c>
      <c r="B2405" t="s">
        <v>73</v>
      </c>
      <c r="C2405" t="s">
        <v>74</v>
      </c>
      <c r="E2405" t="str">
        <f>"FES1162724169"</f>
        <v>FES1162724169</v>
      </c>
      <c r="F2405" s="3">
        <v>43790</v>
      </c>
      <c r="G2405">
        <v>202005</v>
      </c>
      <c r="H2405" t="s">
        <v>75</v>
      </c>
      <c r="I2405" t="s">
        <v>76</v>
      </c>
      <c r="J2405" t="s">
        <v>77</v>
      </c>
      <c r="K2405" t="s">
        <v>78</v>
      </c>
      <c r="L2405" t="s">
        <v>214</v>
      </c>
      <c r="M2405" t="s">
        <v>214</v>
      </c>
      <c r="N2405" t="s">
        <v>705</v>
      </c>
      <c r="O2405" t="s">
        <v>82</v>
      </c>
      <c r="P2405" t="str">
        <f>"2170717930                    "</f>
        <v xml:space="preserve">2170717930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16.63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0.2</v>
      </c>
      <c r="BJ2405">
        <v>1.4</v>
      </c>
      <c r="BK2405">
        <v>1.5</v>
      </c>
      <c r="BL2405" s="4">
        <v>97.75</v>
      </c>
      <c r="BM2405" s="4">
        <v>14.66</v>
      </c>
      <c r="BN2405" s="4">
        <v>112.41</v>
      </c>
      <c r="BO2405" s="4">
        <v>112.41</v>
      </c>
      <c r="BQ2405" t="s">
        <v>142</v>
      </c>
      <c r="BR2405" t="s">
        <v>84</v>
      </c>
      <c r="BS2405" s="3">
        <v>43791</v>
      </c>
      <c r="BT2405" s="5">
        <v>0.48749999999999999</v>
      </c>
      <c r="BU2405" t="s">
        <v>706</v>
      </c>
      <c r="BV2405" t="s">
        <v>86</v>
      </c>
      <c r="BY2405">
        <v>7202.22</v>
      </c>
      <c r="CA2405" t="s">
        <v>217</v>
      </c>
      <c r="CC2405" t="s">
        <v>214</v>
      </c>
      <c r="CD2405">
        <v>7620</v>
      </c>
      <c r="CE2405" t="s">
        <v>147</v>
      </c>
      <c r="CF2405" s="3">
        <v>43794</v>
      </c>
      <c r="CI2405">
        <v>1</v>
      </c>
      <c r="CJ2405">
        <v>1</v>
      </c>
      <c r="CK2405">
        <v>23</v>
      </c>
      <c r="CL2405" t="s">
        <v>89</v>
      </c>
    </row>
    <row r="2406" spans="1:90">
      <c r="A2406" t="s">
        <v>72</v>
      </c>
      <c r="B2406" t="s">
        <v>73</v>
      </c>
      <c r="C2406" t="s">
        <v>74</v>
      </c>
      <c r="E2406" t="str">
        <f>"FES1162724164"</f>
        <v>FES1162724164</v>
      </c>
      <c r="F2406" s="3">
        <v>43790</v>
      </c>
      <c r="G2406">
        <v>202005</v>
      </c>
      <c r="H2406" t="s">
        <v>75</v>
      </c>
      <c r="I2406" t="s">
        <v>76</v>
      </c>
      <c r="J2406" t="s">
        <v>77</v>
      </c>
      <c r="K2406" t="s">
        <v>78</v>
      </c>
      <c r="L2406" t="s">
        <v>90</v>
      </c>
      <c r="M2406" t="s">
        <v>91</v>
      </c>
      <c r="N2406" t="s">
        <v>576</v>
      </c>
      <c r="O2406" t="s">
        <v>82</v>
      </c>
      <c r="P2406" t="str">
        <f>"2170716811                    "</f>
        <v xml:space="preserve">2170716811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10.73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0.6</v>
      </c>
      <c r="BJ2406">
        <v>2.4</v>
      </c>
      <c r="BK2406">
        <v>2.5</v>
      </c>
      <c r="BL2406" s="4">
        <v>63.06</v>
      </c>
      <c r="BM2406" s="4">
        <v>9.4600000000000009</v>
      </c>
      <c r="BN2406" s="4">
        <v>72.52</v>
      </c>
      <c r="BO2406" s="4">
        <v>72.52</v>
      </c>
      <c r="BQ2406" t="s">
        <v>109</v>
      </c>
      <c r="BR2406" t="s">
        <v>84</v>
      </c>
      <c r="BS2406" s="3">
        <v>43791</v>
      </c>
      <c r="BT2406" s="5">
        <v>0.34583333333333338</v>
      </c>
      <c r="BU2406" t="s">
        <v>2081</v>
      </c>
      <c r="BV2406" t="s">
        <v>86</v>
      </c>
      <c r="BY2406">
        <v>11840.79</v>
      </c>
      <c r="CA2406" t="s">
        <v>213</v>
      </c>
      <c r="CC2406" t="s">
        <v>91</v>
      </c>
      <c r="CD2406">
        <v>7441</v>
      </c>
      <c r="CE2406" t="s">
        <v>147</v>
      </c>
      <c r="CF2406" s="3">
        <v>43794</v>
      </c>
      <c r="CI2406">
        <v>1</v>
      </c>
      <c r="CJ2406">
        <v>1</v>
      </c>
      <c r="CK2406">
        <v>21</v>
      </c>
      <c r="CL2406" t="s">
        <v>89</v>
      </c>
    </row>
    <row r="2407" spans="1:90">
      <c r="A2407" t="s">
        <v>72</v>
      </c>
      <c r="B2407" t="s">
        <v>73</v>
      </c>
      <c r="C2407" t="s">
        <v>74</v>
      </c>
      <c r="E2407" t="str">
        <f>"FES1162724447"</f>
        <v>FES1162724447</v>
      </c>
      <c r="F2407" s="3">
        <v>43790</v>
      </c>
      <c r="G2407">
        <v>202005</v>
      </c>
      <c r="H2407" t="s">
        <v>75</v>
      </c>
      <c r="I2407" t="s">
        <v>76</v>
      </c>
      <c r="J2407" t="s">
        <v>77</v>
      </c>
      <c r="K2407" t="s">
        <v>78</v>
      </c>
      <c r="L2407" t="s">
        <v>546</v>
      </c>
      <c r="M2407" t="s">
        <v>547</v>
      </c>
      <c r="N2407" t="s">
        <v>830</v>
      </c>
      <c r="O2407" t="s">
        <v>82</v>
      </c>
      <c r="P2407" t="str">
        <f>"2170718179                    "</f>
        <v xml:space="preserve">2170718179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6.71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1.1000000000000001</v>
      </c>
      <c r="BJ2407">
        <v>2</v>
      </c>
      <c r="BK2407">
        <v>2</v>
      </c>
      <c r="BL2407" s="4">
        <v>39.42</v>
      </c>
      <c r="BM2407" s="4">
        <v>5.91</v>
      </c>
      <c r="BN2407" s="4">
        <v>45.33</v>
      </c>
      <c r="BO2407" s="4">
        <v>45.33</v>
      </c>
      <c r="BQ2407" t="s">
        <v>2613</v>
      </c>
      <c r="BR2407" t="s">
        <v>84</v>
      </c>
      <c r="BS2407" s="3">
        <v>43791</v>
      </c>
      <c r="BT2407" s="5">
        <v>0.33333333333333331</v>
      </c>
      <c r="BU2407" t="s">
        <v>2614</v>
      </c>
      <c r="BV2407" t="s">
        <v>86</v>
      </c>
      <c r="BY2407">
        <v>10185.84</v>
      </c>
      <c r="CA2407" t="s">
        <v>1097</v>
      </c>
      <c r="CC2407" t="s">
        <v>547</v>
      </c>
      <c r="CD2407">
        <v>1709</v>
      </c>
      <c r="CE2407" t="s">
        <v>147</v>
      </c>
      <c r="CF2407" s="3">
        <v>43794</v>
      </c>
      <c r="CI2407">
        <v>1</v>
      </c>
      <c r="CJ2407">
        <v>1</v>
      </c>
      <c r="CK2407">
        <v>22</v>
      </c>
      <c r="CL2407" t="s">
        <v>89</v>
      </c>
    </row>
    <row r="2408" spans="1:90">
      <c r="A2408" t="s">
        <v>72</v>
      </c>
      <c r="B2408" t="s">
        <v>73</v>
      </c>
      <c r="C2408" t="s">
        <v>74</v>
      </c>
      <c r="E2408" t="str">
        <f>"FES1162724243"</f>
        <v>FES1162724243</v>
      </c>
      <c r="F2408" s="3">
        <v>43790</v>
      </c>
      <c r="G2408">
        <v>202005</v>
      </c>
      <c r="H2408" t="s">
        <v>75</v>
      </c>
      <c r="I2408" t="s">
        <v>76</v>
      </c>
      <c r="J2408" t="s">
        <v>77</v>
      </c>
      <c r="K2408" t="s">
        <v>78</v>
      </c>
      <c r="L2408" t="s">
        <v>482</v>
      </c>
      <c r="M2408" t="s">
        <v>483</v>
      </c>
      <c r="N2408" t="s">
        <v>1256</v>
      </c>
      <c r="O2408" t="s">
        <v>82</v>
      </c>
      <c r="P2408" t="str">
        <f>"2170715955                    "</f>
        <v xml:space="preserve">2170715955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6.71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0.2</v>
      </c>
      <c r="BJ2408">
        <v>0.7</v>
      </c>
      <c r="BK2408">
        <v>1</v>
      </c>
      <c r="BL2408" s="4">
        <v>39.42</v>
      </c>
      <c r="BM2408" s="4">
        <v>5.91</v>
      </c>
      <c r="BN2408" s="4">
        <v>45.33</v>
      </c>
      <c r="BO2408" s="4">
        <v>45.33</v>
      </c>
      <c r="BR2408" t="s">
        <v>84</v>
      </c>
      <c r="BS2408" s="3">
        <v>43791</v>
      </c>
      <c r="BT2408" s="5">
        <v>0.3527777777777778</v>
      </c>
      <c r="BU2408" t="s">
        <v>2615</v>
      </c>
      <c r="BV2408" t="s">
        <v>86</v>
      </c>
      <c r="BY2408">
        <v>3526.56</v>
      </c>
      <c r="CA2408" t="s">
        <v>1336</v>
      </c>
      <c r="CC2408" t="s">
        <v>483</v>
      </c>
      <c r="CD2408">
        <v>1459</v>
      </c>
      <c r="CE2408" t="s">
        <v>147</v>
      </c>
      <c r="CF2408" s="3">
        <v>43794</v>
      </c>
      <c r="CI2408">
        <v>1</v>
      </c>
      <c r="CJ2408">
        <v>1</v>
      </c>
      <c r="CK2408">
        <v>22</v>
      </c>
      <c r="CL2408" t="s">
        <v>89</v>
      </c>
    </row>
    <row r="2409" spans="1:90">
      <c r="A2409" t="s">
        <v>72</v>
      </c>
      <c r="B2409" t="s">
        <v>73</v>
      </c>
      <c r="C2409" t="s">
        <v>74</v>
      </c>
      <c r="E2409" t="str">
        <f>"FES1162724168"</f>
        <v>FES1162724168</v>
      </c>
      <c r="F2409" s="3">
        <v>43790</v>
      </c>
      <c r="G2409">
        <v>202005</v>
      </c>
      <c r="H2409" t="s">
        <v>75</v>
      </c>
      <c r="I2409" t="s">
        <v>76</v>
      </c>
      <c r="J2409" t="s">
        <v>77</v>
      </c>
      <c r="K2409" t="s">
        <v>78</v>
      </c>
      <c r="L2409" t="s">
        <v>500</v>
      </c>
      <c r="M2409" t="s">
        <v>501</v>
      </c>
      <c r="N2409" t="s">
        <v>502</v>
      </c>
      <c r="O2409" t="s">
        <v>82</v>
      </c>
      <c r="P2409" t="str">
        <f>"2170717883                    "</f>
        <v xml:space="preserve">2170717883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16.63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1.6</v>
      </c>
      <c r="BK2409">
        <v>2</v>
      </c>
      <c r="BL2409" s="4">
        <v>97.75</v>
      </c>
      <c r="BM2409" s="4">
        <v>14.66</v>
      </c>
      <c r="BN2409" s="4">
        <v>112.41</v>
      </c>
      <c r="BO2409" s="4">
        <v>112.41</v>
      </c>
      <c r="BQ2409" t="s">
        <v>109</v>
      </c>
      <c r="BR2409" t="s">
        <v>84</v>
      </c>
      <c r="BS2409" s="3">
        <v>43791</v>
      </c>
      <c r="BT2409" s="5">
        <v>0.54722222222222217</v>
      </c>
      <c r="BU2409" t="s">
        <v>2616</v>
      </c>
      <c r="BV2409" t="s">
        <v>89</v>
      </c>
      <c r="BW2409" t="s">
        <v>364</v>
      </c>
      <c r="BX2409" t="s">
        <v>591</v>
      </c>
      <c r="BY2409">
        <v>8171.28</v>
      </c>
      <c r="CA2409" t="s">
        <v>504</v>
      </c>
      <c r="CC2409" t="s">
        <v>501</v>
      </c>
      <c r="CD2409">
        <v>7349</v>
      </c>
      <c r="CE2409" t="s">
        <v>147</v>
      </c>
      <c r="CF2409" s="3">
        <v>43794</v>
      </c>
      <c r="CI2409">
        <v>1</v>
      </c>
      <c r="CJ2409">
        <v>1</v>
      </c>
      <c r="CK2409">
        <v>23</v>
      </c>
      <c r="CL2409" t="s">
        <v>89</v>
      </c>
    </row>
    <row r="2410" spans="1:90">
      <c r="A2410" t="s">
        <v>72</v>
      </c>
      <c r="B2410" t="s">
        <v>73</v>
      </c>
      <c r="C2410" t="s">
        <v>74</v>
      </c>
      <c r="E2410" t="str">
        <f>"FES1162724163"</f>
        <v>FES1162724163</v>
      </c>
      <c r="F2410" s="3">
        <v>43790</v>
      </c>
      <c r="G2410">
        <v>202005</v>
      </c>
      <c r="H2410" t="s">
        <v>75</v>
      </c>
      <c r="I2410" t="s">
        <v>76</v>
      </c>
      <c r="J2410" t="s">
        <v>77</v>
      </c>
      <c r="K2410" t="s">
        <v>78</v>
      </c>
      <c r="L2410" t="s">
        <v>90</v>
      </c>
      <c r="M2410" t="s">
        <v>91</v>
      </c>
      <c r="N2410" t="s">
        <v>650</v>
      </c>
      <c r="O2410" t="s">
        <v>82</v>
      </c>
      <c r="P2410" t="str">
        <f>"2170716691                    "</f>
        <v xml:space="preserve">2170716691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8.58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0.2</v>
      </c>
      <c r="BJ2410">
        <v>1.4</v>
      </c>
      <c r="BK2410">
        <v>1.5</v>
      </c>
      <c r="BL2410" s="4">
        <v>50.45</v>
      </c>
      <c r="BM2410" s="4">
        <v>7.57</v>
      </c>
      <c r="BN2410" s="4">
        <v>58.02</v>
      </c>
      <c r="BO2410" s="4">
        <v>58.02</v>
      </c>
      <c r="BQ2410" t="s">
        <v>121</v>
      </c>
      <c r="BR2410" t="s">
        <v>84</v>
      </c>
      <c r="BS2410" s="3">
        <v>43791</v>
      </c>
      <c r="BT2410" s="5">
        <v>0.37638888888888888</v>
      </c>
      <c r="BU2410" t="s">
        <v>2617</v>
      </c>
      <c r="BV2410" t="s">
        <v>86</v>
      </c>
      <c r="BY2410">
        <v>6876.48</v>
      </c>
      <c r="CA2410" t="s">
        <v>213</v>
      </c>
      <c r="CC2410" t="s">
        <v>91</v>
      </c>
      <c r="CD2410">
        <v>7441</v>
      </c>
      <c r="CE2410" t="s">
        <v>147</v>
      </c>
      <c r="CF2410" s="3">
        <v>43794</v>
      </c>
      <c r="CI2410">
        <v>1</v>
      </c>
      <c r="CJ2410">
        <v>1</v>
      </c>
      <c r="CK2410">
        <v>21</v>
      </c>
      <c r="CL2410" t="s">
        <v>89</v>
      </c>
    </row>
    <row r="2411" spans="1:90">
      <c r="A2411" t="s">
        <v>72</v>
      </c>
      <c r="B2411" t="s">
        <v>73</v>
      </c>
      <c r="C2411" t="s">
        <v>74</v>
      </c>
      <c r="E2411" t="str">
        <f>"FES1162724305"</f>
        <v>FES1162724305</v>
      </c>
      <c r="F2411" s="3">
        <v>43790</v>
      </c>
      <c r="G2411">
        <v>202005</v>
      </c>
      <c r="H2411" t="s">
        <v>75</v>
      </c>
      <c r="I2411" t="s">
        <v>76</v>
      </c>
      <c r="J2411" t="s">
        <v>77</v>
      </c>
      <c r="K2411" t="s">
        <v>78</v>
      </c>
      <c r="L2411" t="s">
        <v>124</v>
      </c>
      <c r="M2411" t="s">
        <v>125</v>
      </c>
      <c r="N2411" t="s">
        <v>218</v>
      </c>
      <c r="O2411" t="s">
        <v>82</v>
      </c>
      <c r="P2411" t="str">
        <f>"2170718168                    "</f>
        <v xml:space="preserve">2170718168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6.71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0.9</v>
      </c>
      <c r="BJ2411">
        <v>1.3</v>
      </c>
      <c r="BK2411">
        <v>1.5</v>
      </c>
      <c r="BL2411" s="4">
        <v>39.42</v>
      </c>
      <c r="BM2411" s="4">
        <v>5.91</v>
      </c>
      <c r="BN2411" s="4">
        <v>45.33</v>
      </c>
      <c r="BO2411" s="4">
        <v>45.33</v>
      </c>
      <c r="BQ2411" t="s">
        <v>121</v>
      </c>
      <c r="BR2411" t="s">
        <v>84</v>
      </c>
      <c r="BS2411" s="3">
        <v>43791</v>
      </c>
      <c r="BT2411" s="5">
        <v>0.35486111111111113</v>
      </c>
      <c r="BU2411" t="s">
        <v>2618</v>
      </c>
      <c r="BV2411" t="s">
        <v>86</v>
      </c>
      <c r="BY2411">
        <v>6327.55</v>
      </c>
      <c r="CA2411" t="s">
        <v>123</v>
      </c>
      <c r="CC2411" t="s">
        <v>125</v>
      </c>
      <c r="CD2411">
        <v>2094</v>
      </c>
      <c r="CE2411" t="s">
        <v>88</v>
      </c>
      <c r="CF2411" s="3">
        <v>43794</v>
      </c>
      <c r="CI2411">
        <v>1</v>
      </c>
      <c r="CJ2411">
        <v>1</v>
      </c>
      <c r="CK2411">
        <v>22</v>
      </c>
      <c r="CL2411" t="s">
        <v>89</v>
      </c>
    </row>
    <row r="2412" spans="1:90">
      <c r="A2412" t="s">
        <v>72</v>
      </c>
      <c r="B2412" t="s">
        <v>73</v>
      </c>
      <c r="C2412" t="s">
        <v>74</v>
      </c>
      <c r="E2412" t="str">
        <f>"FES1162724139"</f>
        <v>FES1162724139</v>
      </c>
      <c r="F2412" s="3">
        <v>43790</v>
      </c>
      <c r="G2412">
        <v>202005</v>
      </c>
      <c r="H2412" t="s">
        <v>75</v>
      </c>
      <c r="I2412" t="s">
        <v>76</v>
      </c>
      <c r="J2412" t="s">
        <v>77</v>
      </c>
      <c r="K2412" t="s">
        <v>78</v>
      </c>
      <c r="L2412" t="s">
        <v>90</v>
      </c>
      <c r="M2412" t="s">
        <v>91</v>
      </c>
      <c r="N2412" t="s">
        <v>92</v>
      </c>
      <c r="O2412" t="s">
        <v>82</v>
      </c>
      <c r="P2412" t="str">
        <f>"2170715135                    "</f>
        <v xml:space="preserve">2170715135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8.58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0.2</v>
      </c>
      <c r="BJ2412">
        <v>1.8</v>
      </c>
      <c r="BK2412">
        <v>2</v>
      </c>
      <c r="BL2412" s="4">
        <v>50.45</v>
      </c>
      <c r="BM2412" s="4">
        <v>7.57</v>
      </c>
      <c r="BN2412" s="4">
        <v>58.02</v>
      </c>
      <c r="BO2412" s="4">
        <v>58.02</v>
      </c>
      <c r="BR2412" t="s">
        <v>84</v>
      </c>
      <c r="BS2412" s="3">
        <v>43791</v>
      </c>
      <c r="BT2412" s="5">
        <v>0.3611111111111111</v>
      </c>
      <c r="BU2412" t="s">
        <v>2619</v>
      </c>
      <c r="BV2412" t="s">
        <v>86</v>
      </c>
      <c r="BY2412">
        <v>8904.6</v>
      </c>
      <c r="CA2412" t="s">
        <v>94</v>
      </c>
      <c r="CC2412" t="s">
        <v>91</v>
      </c>
      <c r="CD2412">
        <v>7700</v>
      </c>
      <c r="CE2412" t="s">
        <v>147</v>
      </c>
      <c r="CF2412" s="3">
        <v>43794</v>
      </c>
      <c r="CI2412">
        <v>1</v>
      </c>
      <c r="CJ2412">
        <v>1</v>
      </c>
      <c r="CK2412">
        <v>21</v>
      </c>
      <c r="CL2412" t="s">
        <v>89</v>
      </c>
    </row>
    <row r="2413" spans="1:90">
      <c r="A2413" t="s">
        <v>72</v>
      </c>
      <c r="B2413" t="s">
        <v>73</v>
      </c>
      <c r="C2413" t="s">
        <v>74</v>
      </c>
      <c r="E2413" t="str">
        <f>"FES1162724383"</f>
        <v>FES1162724383</v>
      </c>
      <c r="F2413" s="3">
        <v>43790</v>
      </c>
      <c r="G2413">
        <v>202005</v>
      </c>
      <c r="H2413" t="s">
        <v>75</v>
      </c>
      <c r="I2413" t="s">
        <v>76</v>
      </c>
      <c r="J2413" t="s">
        <v>77</v>
      </c>
      <c r="K2413" t="s">
        <v>78</v>
      </c>
      <c r="L2413" t="s">
        <v>344</v>
      </c>
      <c r="M2413" t="s">
        <v>345</v>
      </c>
      <c r="N2413" t="s">
        <v>2620</v>
      </c>
      <c r="O2413" t="s">
        <v>82</v>
      </c>
      <c r="P2413" t="str">
        <f>"2170715876                    "</f>
        <v xml:space="preserve">2170715876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6.71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0.2</v>
      </c>
      <c r="BJ2413">
        <v>1.3</v>
      </c>
      <c r="BK2413">
        <v>1.5</v>
      </c>
      <c r="BL2413" s="4">
        <v>39.42</v>
      </c>
      <c r="BM2413" s="4">
        <v>5.91</v>
      </c>
      <c r="BN2413" s="4">
        <v>45.33</v>
      </c>
      <c r="BO2413" s="4">
        <v>45.33</v>
      </c>
      <c r="BQ2413" t="s">
        <v>121</v>
      </c>
      <c r="BR2413" t="s">
        <v>84</v>
      </c>
      <c r="BS2413" s="3">
        <v>43791</v>
      </c>
      <c r="BT2413" s="5">
        <v>0.33194444444444443</v>
      </c>
      <c r="BU2413" t="s">
        <v>2621</v>
      </c>
      <c r="BV2413" t="s">
        <v>86</v>
      </c>
      <c r="BY2413">
        <v>6399.46</v>
      </c>
      <c r="CA2413" t="s">
        <v>2622</v>
      </c>
      <c r="CC2413" t="s">
        <v>345</v>
      </c>
      <c r="CD2413">
        <v>2194</v>
      </c>
      <c r="CE2413" t="s">
        <v>88</v>
      </c>
      <c r="CF2413" s="3">
        <v>43794</v>
      </c>
      <c r="CI2413">
        <v>1</v>
      </c>
      <c r="CJ2413">
        <v>1</v>
      </c>
      <c r="CK2413">
        <v>22</v>
      </c>
      <c r="CL2413" t="s">
        <v>89</v>
      </c>
    </row>
    <row r="2414" spans="1:90">
      <c r="A2414" t="s">
        <v>72</v>
      </c>
      <c r="B2414" t="s">
        <v>73</v>
      </c>
      <c r="C2414" t="s">
        <v>74</v>
      </c>
      <c r="E2414" t="str">
        <f>"FES1162724286"</f>
        <v>FES1162724286</v>
      </c>
      <c r="F2414" s="3">
        <v>43790</v>
      </c>
      <c r="G2414">
        <v>202005</v>
      </c>
      <c r="H2414" t="s">
        <v>75</v>
      </c>
      <c r="I2414" t="s">
        <v>76</v>
      </c>
      <c r="J2414" t="s">
        <v>77</v>
      </c>
      <c r="K2414" t="s">
        <v>78</v>
      </c>
      <c r="L2414" t="s">
        <v>192</v>
      </c>
      <c r="M2414" t="s">
        <v>193</v>
      </c>
      <c r="N2414" t="s">
        <v>194</v>
      </c>
      <c r="O2414" t="s">
        <v>82</v>
      </c>
      <c r="P2414" t="str">
        <f>"2170717251                    "</f>
        <v xml:space="preserve">2170717251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16.63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0.2</v>
      </c>
      <c r="BJ2414">
        <v>1.1000000000000001</v>
      </c>
      <c r="BK2414">
        <v>1.5</v>
      </c>
      <c r="BL2414" s="4">
        <v>97.75</v>
      </c>
      <c r="BM2414" s="4">
        <v>14.66</v>
      </c>
      <c r="BN2414" s="4">
        <v>112.41</v>
      </c>
      <c r="BO2414" s="4">
        <v>112.41</v>
      </c>
      <c r="BQ2414" t="s">
        <v>109</v>
      </c>
      <c r="BR2414" t="s">
        <v>84</v>
      </c>
      <c r="BS2414" s="3">
        <v>43791</v>
      </c>
      <c r="BT2414" s="5">
        <v>0.41666666666666669</v>
      </c>
      <c r="BU2414" t="s">
        <v>195</v>
      </c>
      <c r="BV2414" t="s">
        <v>86</v>
      </c>
      <c r="BY2414">
        <v>5304</v>
      </c>
      <c r="CC2414" t="s">
        <v>193</v>
      </c>
      <c r="CD2414">
        <v>7130</v>
      </c>
      <c r="CE2414" t="s">
        <v>147</v>
      </c>
      <c r="CF2414" s="3">
        <v>43794</v>
      </c>
      <c r="CI2414">
        <v>1</v>
      </c>
      <c r="CJ2414">
        <v>1</v>
      </c>
      <c r="CK2414">
        <v>23</v>
      </c>
      <c r="CL2414" t="s">
        <v>89</v>
      </c>
    </row>
    <row r="2415" spans="1:90">
      <c r="A2415" t="s">
        <v>72</v>
      </c>
      <c r="B2415" t="s">
        <v>73</v>
      </c>
      <c r="C2415" t="s">
        <v>74</v>
      </c>
      <c r="E2415" t="str">
        <f>"FES1162724244"</f>
        <v>FES1162724244</v>
      </c>
      <c r="F2415" s="3">
        <v>43790</v>
      </c>
      <c r="G2415">
        <v>202005</v>
      </c>
      <c r="H2415" t="s">
        <v>75</v>
      </c>
      <c r="I2415" t="s">
        <v>76</v>
      </c>
      <c r="J2415" t="s">
        <v>77</v>
      </c>
      <c r="K2415" t="s">
        <v>78</v>
      </c>
      <c r="L2415" t="s">
        <v>292</v>
      </c>
      <c r="M2415" t="s">
        <v>293</v>
      </c>
      <c r="N2415" t="s">
        <v>294</v>
      </c>
      <c r="O2415" t="s">
        <v>82</v>
      </c>
      <c r="P2415" t="str">
        <f>"2170715957                    "</f>
        <v xml:space="preserve">2170715957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16.63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0.2</v>
      </c>
      <c r="BJ2415">
        <v>1</v>
      </c>
      <c r="BK2415">
        <v>1</v>
      </c>
      <c r="BL2415" s="4">
        <v>97.75</v>
      </c>
      <c r="BM2415" s="4">
        <v>14.66</v>
      </c>
      <c r="BN2415" s="4">
        <v>112.41</v>
      </c>
      <c r="BO2415" s="4">
        <v>112.41</v>
      </c>
      <c r="BQ2415" t="s">
        <v>121</v>
      </c>
      <c r="BR2415" t="s">
        <v>84</v>
      </c>
      <c r="BS2415" s="3">
        <v>43791</v>
      </c>
      <c r="BT2415" s="5">
        <v>0.3576388888888889</v>
      </c>
      <c r="BU2415" t="s">
        <v>2623</v>
      </c>
      <c r="BV2415" t="s">
        <v>86</v>
      </c>
      <c r="BY2415">
        <v>5149.4799999999996</v>
      </c>
      <c r="CC2415" t="s">
        <v>293</v>
      </c>
      <c r="CD2415">
        <v>1947</v>
      </c>
      <c r="CE2415" t="s">
        <v>147</v>
      </c>
      <c r="CF2415" s="3">
        <v>43794</v>
      </c>
      <c r="CI2415">
        <v>1</v>
      </c>
      <c r="CJ2415">
        <v>1</v>
      </c>
      <c r="CK2415">
        <v>23</v>
      </c>
      <c r="CL2415" t="s">
        <v>89</v>
      </c>
    </row>
    <row r="2416" spans="1:90">
      <c r="A2416" t="s">
        <v>72</v>
      </c>
      <c r="B2416" t="s">
        <v>73</v>
      </c>
      <c r="C2416" t="s">
        <v>74</v>
      </c>
      <c r="E2416" t="str">
        <f>"FES1162724415"</f>
        <v>FES1162724415</v>
      </c>
      <c r="F2416" s="3">
        <v>43790</v>
      </c>
      <c r="G2416">
        <v>202005</v>
      </c>
      <c r="H2416" t="s">
        <v>75</v>
      </c>
      <c r="I2416" t="s">
        <v>76</v>
      </c>
      <c r="J2416" t="s">
        <v>77</v>
      </c>
      <c r="K2416" t="s">
        <v>78</v>
      </c>
      <c r="L2416" t="s">
        <v>75</v>
      </c>
      <c r="M2416" t="s">
        <v>76</v>
      </c>
      <c r="N2416" t="s">
        <v>1416</v>
      </c>
      <c r="O2416" t="s">
        <v>82</v>
      </c>
      <c r="P2416" t="str">
        <f>"2170716406                    "</f>
        <v xml:space="preserve">2170716406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6.71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0.5</v>
      </c>
      <c r="BJ2416">
        <v>1.8</v>
      </c>
      <c r="BK2416">
        <v>2</v>
      </c>
      <c r="BL2416" s="4">
        <v>39.42</v>
      </c>
      <c r="BM2416" s="4">
        <v>5.91</v>
      </c>
      <c r="BN2416" s="4">
        <v>45.33</v>
      </c>
      <c r="BO2416" s="4">
        <v>45.33</v>
      </c>
      <c r="BQ2416" t="s">
        <v>1417</v>
      </c>
      <c r="BR2416" t="s">
        <v>84</v>
      </c>
      <c r="BS2416" s="3">
        <v>43791</v>
      </c>
      <c r="BT2416" s="5">
        <v>0.27777777777777779</v>
      </c>
      <c r="BU2416" t="s">
        <v>2624</v>
      </c>
      <c r="BV2416" t="s">
        <v>86</v>
      </c>
      <c r="BY2416">
        <v>9090.84</v>
      </c>
      <c r="CA2416" t="s">
        <v>198</v>
      </c>
      <c r="CC2416" t="s">
        <v>76</v>
      </c>
      <c r="CD2416">
        <v>1601</v>
      </c>
      <c r="CE2416" t="s">
        <v>147</v>
      </c>
      <c r="CF2416" s="3">
        <v>43794</v>
      </c>
      <c r="CI2416">
        <v>1</v>
      </c>
      <c r="CJ2416">
        <v>1</v>
      </c>
      <c r="CK2416">
        <v>22</v>
      </c>
      <c r="CL2416" t="s">
        <v>89</v>
      </c>
    </row>
    <row r="2417" spans="1:90">
      <c r="A2417" t="s">
        <v>72</v>
      </c>
      <c r="B2417" t="s">
        <v>73</v>
      </c>
      <c r="C2417" t="s">
        <v>74</v>
      </c>
      <c r="E2417" t="str">
        <f>"FES1162724204"</f>
        <v>FES1162724204</v>
      </c>
      <c r="F2417" s="3">
        <v>43790</v>
      </c>
      <c r="G2417">
        <v>202005</v>
      </c>
      <c r="H2417" t="s">
        <v>75</v>
      </c>
      <c r="I2417" t="s">
        <v>76</v>
      </c>
      <c r="J2417" t="s">
        <v>77</v>
      </c>
      <c r="K2417" t="s">
        <v>78</v>
      </c>
      <c r="L2417" t="s">
        <v>124</v>
      </c>
      <c r="M2417" t="s">
        <v>125</v>
      </c>
      <c r="N2417" t="s">
        <v>218</v>
      </c>
      <c r="O2417" t="s">
        <v>82</v>
      </c>
      <c r="P2417" t="str">
        <f>"2170718160                    "</f>
        <v xml:space="preserve">2170718160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6.71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0.2</v>
      </c>
      <c r="BJ2417">
        <v>1.9</v>
      </c>
      <c r="BK2417">
        <v>2</v>
      </c>
      <c r="BL2417" s="4">
        <v>39.42</v>
      </c>
      <c r="BM2417" s="4">
        <v>5.91</v>
      </c>
      <c r="BN2417" s="4">
        <v>45.33</v>
      </c>
      <c r="BO2417" s="4">
        <v>45.33</v>
      </c>
      <c r="BQ2417" t="s">
        <v>121</v>
      </c>
      <c r="BR2417" t="s">
        <v>84</v>
      </c>
      <c r="BS2417" s="3">
        <v>43791</v>
      </c>
      <c r="BT2417" s="5">
        <v>0.34722222222222227</v>
      </c>
      <c r="BU2417" t="s">
        <v>2618</v>
      </c>
      <c r="BV2417" t="s">
        <v>86</v>
      </c>
      <c r="BY2417">
        <v>9381.83</v>
      </c>
      <c r="CA2417" t="s">
        <v>123</v>
      </c>
      <c r="CC2417" t="s">
        <v>125</v>
      </c>
      <c r="CD2417">
        <v>2094</v>
      </c>
      <c r="CE2417" t="s">
        <v>147</v>
      </c>
      <c r="CF2417" s="3">
        <v>43794</v>
      </c>
      <c r="CI2417">
        <v>1</v>
      </c>
      <c r="CJ2417">
        <v>1</v>
      </c>
      <c r="CK2417">
        <v>22</v>
      </c>
      <c r="CL2417" t="s">
        <v>89</v>
      </c>
    </row>
    <row r="2418" spans="1:90">
      <c r="A2418" t="s">
        <v>72</v>
      </c>
      <c r="B2418" t="s">
        <v>73</v>
      </c>
      <c r="C2418" t="s">
        <v>74</v>
      </c>
      <c r="E2418" t="str">
        <f>"FES1162724352"</f>
        <v>FES1162724352</v>
      </c>
      <c r="F2418" s="3">
        <v>43790</v>
      </c>
      <c r="G2418">
        <v>202005</v>
      </c>
      <c r="H2418" t="s">
        <v>75</v>
      </c>
      <c r="I2418" t="s">
        <v>76</v>
      </c>
      <c r="J2418" t="s">
        <v>77</v>
      </c>
      <c r="K2418" t="s">
        <v>78</v>
      </c>
      <c r="L2418" t="s">
        <v>90</v>
      </c>
      <c r="M2418" t="s">
        <v>91</v>
      </c>
      <c r="N2418" t="s">
        <v>576</v>
      </c>
      <c r="O2418" t="s">
        <v>82</v>
      </c>
      <c r="P2418" t="str">
        <f>"2170715367                    "</f>
        <v xml:space="preserve">2170715367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8.58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0.2</v>
      </c>
      <c r="BJ2418">
        <v>1.2</v>
      </c>
      <c r="BK2418">
        <v>1.5</v>
      </c>
      <c r="BL2418" s="4">
        <v>50.45</v>
      </c>
      <c r="BM2418" s="4">
        <v>7.57</v>
      </c>
      <c r="BN2418" s="4">
        <v>58.02</v>
      </c>
      <c r="BO2418" s="4">
        <v>58.02</v>
      </c>
      <c r="BQ2418" t="s">
        <v>109</v>
      </c>
      <c r="BR2418" t="s">
        <v>84</v>
      </c>
      <c r="BS2418" s="3">
        <v>43791</v>
      </c>
      <c r="BT2418" s="5">
        <v>0.34583333333333338</v>
      </c>
      <c r="BU2418" t="s">
        <v>2081</v>
      </c>
      <c r="BV2418" t="s">
        <v>86</v>
      </c>
      <c r="BY2418">
        <v>5863.2</v>
      </c>
      <c r="CA2418" t="s">
        <v>213</v>
      </c>
      <c r="CC2418" t="s">
        <v>91</v>
      </c>
      <c r="CD2418">
        <v>7441</v>
      </c>
      <c r="CE2418" t="s">
        <v>147</v>
      </c>
      <c r="CF2418" s="3">
        <v>43794</v>
      </c>
      <c r="CI2418">
        <v>1</v>
      </c>
      <c r="CJ2418">
        <v>1</v>
      </c>
      <c r="CK2418">
        <v>21</v>
      </c>
      <c r="CL2418" t="s">
        <v>89</v>
      </c>
    </row>
    <row r="2419" spans="1:90">
      <c r="A2419" t="s">
        <v>72</v>
      </c>
      <c r="B2419" t="s">
        <v>73</v>
      </c>
      <c r="C2419" t="s">
        <v>74</v>
      </c>
      <c r="E2419" t="str">
        <f>"FES1162724181"</f>
        <v>FES1162724181</v>
      </c>
      <c r="F2419" s="3">
        <v>43790</v>
      </c>
      <c r="G2419">
        <v>202005</v>
      </c>
      <c r="H2419" t="s">
        <v>75</v>
      </c>
      <c r="I2419" t="s">
        <v>76</v>
      </c>
      <c r="J2419" t="s">
        <v>77</v>
      </c>
      <c r="K2419" t="s">
        <v>78</v>
      </c>
      <c r="L2419" t="s">
        <v>95</v>
      </c>
      <c r="M2419" t="s">
        <v>96</v>
      </c>
      <c r="N2419" t="s">
        <v>2276</v>
      </c>
      <c r="O2419" t="s">
        <v>82</v>
      </c>
      <c r="P2419" t="str">
        <f>"2170718127                    "</f>
        <v xml:space="preserve">2170718127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7.51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0.5</v>
      </c>
      <c r="BJ2419">
        <v>2.5</v>
      </c>
      <c r="BK2419">
        <v>2.5</v>
      </c>
      <c r="BL2419" s="4">
        <v>44.14</v>
      </c>
      <c r="BM2419" s="4">
        <v>6.62</v>
      </c>
      <c r="BN2419" s="4">
        <v>50.76</v>
      </c>
      <c r="BO2419" s="4">
        <v>50.76</v>
      </c>
      <c r="BQ2419" t="s">
        <v>2277</v>
      </c>
      <c r="BR2419" t="s">
        <v>84</v>
      </c>
      <c r="BS2419" s="3">
        <v>43791</v>
      </c>
      <c r="BT2419" s="5">
        <v>0.33749999999999997</v>
      </c>
      <c r="BU2419" t="s">
        <v>2625</v>
      </c>
      <c r="BV2419" t="s">
        <v>86</v>
      </c>
      <c r="BY2419">
        <v>12350.52</v>
      </c>
      <c r="CA2419" t="s">
        <v>123</v>
      </c>
      <c r="CC2419" t="s">
        <v>96</v>
      </c>
      <c r="CD2419">
        <v>1451</v>
      </c>
      <c r="CE2419" t="s">
        <v>147</v>
      </c>
      <c r="CF2419" s="3">
        <v>43795</v>
      </c>
      <c r="CI2419">
        <v>1</v>
      </c>
      <c r="CJ2419">
        <v>1</v>
      </c>
      <c r="CK2419">
        <v>22</v>
      </c>
      <c r="CL2419" t="s">
        <v>89</v>
      </c>
    </row>
    <row r="2420" spans="1:90">
      <c r="A2420" t="s">
        <v>72</v>
      </c>
      <c r="B2420" t="s">
        <v>73</v>
      </c>
      <c r="C2420" t="s">
        <v>74</v>
      </c>
      <c r="E2420" t="str">
        <f>"FES1162724382"</f>
        <v>FES1162724382</v>
      </c>
      <c r="F2420" s="3">
        <v>43790</v>
      </c>
      <c r="G2420">
        <v>202005</v>
      </c>
      <c r="H2420" t="s">
        <v>75</v>
      </c>
      <c r="I2420" t="s">
        <v>76</v>
      </c>
      <c r="J2420" t="s">
        <v>77</v>
      </c>
      <c r="K2420" t="s">
        <v>78</v>
      </c>
      <c r="L2420" t="s">
        <v>106</v>
      </c>
      <c r="M2420" t="s">
        <v>107</v>
      </c>
      <c r="N2420" t="s">
        <v>1311</v>
      </c>
      <c r="O2420" t="s">
        <v>82</v>
      </c>
      <c r="P2420" t="str">
        <f>"2170715851                    "</f>
        <v xml:space="preserve">2170715851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8.58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0.2</v>
      </c>
      <c r="BJ2420">
        <v>1.2</v>
      </c>
      <c r="BK2420">
        <v>1.5</v>
      </c>
      <c r="BL2420" s="4">
        <v>50.45</v>
      </c>
      <c r="BM2420" s="4">
        <v>7.57</v>
      </c>
      <c r="BN2420" s="4">
        <v>58.02</v>
      </c>
      <c r="BO2420" s="4">
        <v>58.02</v>
      </c>
      <c r="BQ2420" t="s">
        <v>109</v>
      </c>
      <c r="BR2420" t="s">
        <v>84</v>
      </c>
      <c r="BS2420" s="3">
        <v>43791</v>
      </c>
      <c r="BT2420" s="5">
        <v>0.35000000000000003</v>
      </c>
      <c r="BU2420" t="s">
        <v>2518</v>
      </c>
      <c r="BV2420" t="s">
        <v>86</v>
      </c>
      <c r="BY2420">
        <v>6223.76</v>
      </c>
      <c r="CA2420" t="s">
        <v>773</v>
      </c>
      <c r="CC2420" t="s">
        <v>107</v>
      </c>
      <c r="CD2420">
        <v>6001</v>
      </c>
      <c r="CE2420" t="s">
        <v>88</v>
      </c>
      <c r="CF2420" s="3">
        <v>43794</v>
      </c>
      <c r="CI2420">
        <v>1</v>
      </c>
      <c r="CJ2420">
        <v>1</v>
      </c>
      <c r="CK2420">
        <v>21</v>
      </c>
      <c r="CL2420" t="s">
        <v>89</v>
      </c>
    </row>
    <row r="2421" spans="1:90">
      <c r="A2421" t="s">
        <v>72</v>
      </c>
      <c r="B2421" t="s">
        <v>73</v>
      </c>
      <c r="C2421" t="s">
        <v>74</v>
      </c>
      <c r="E2421" t="str">
        <f>"FES1162724281"</f>
        <v>FES1162724281</v>
      </c>
      <c r="F2421" s="3">
        <v>43790</v>
      </c>
      <c r="G2421">
        <v>202005</v>
      </c>
      <c r="H2421" t="s">
        <v>75</v>
      </c>
      <c r="I2421" t="s">
        <v>76</v>
      </c>
      <c r="J2421" t="s">
        <v>77</v>
      </c>
      <c r="K2421" t="s">
        <v>78</v>
      </c>
      <c r="L2421" t="s">
        <v>112</v>
      </c>
      <c r="M2421" t="s">
        <v>113</v>
      </c>
      <c r="N2421" t="s">
        <v>669</v>
      </c>
      <c r="O2421" t="s">
        <v>82</v>
      </c>
      <c r="P2421" t="str">
        <f>"2170716929                    "</f>
        <v xml:space="preserve">2170716929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8.58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0.7</v>
      </c>
      <c r="BJ2421">
        <v>0.9</v>
      </c>
      <c r="BK2421">
        <v>1</v>
      </c>
      <c r="BL2421" s="4">
        <v>50.45</v>
      </c>
      <c r="BM2421" s="4">
        <v>7.57</v>
      </c>
      <c r="BN2421" s="4">
        <v>58.02</v>
      </c>
      <c r="BO2421" s="4">
        <v>58.02</v>
      </c>
      <c r="BQ2421" t="s">
        <v>109</v>
      </c>
      <c r="BR2421" t="s">
        <v>84</v>
      </c>
      <c r="BS2421" s="3">
        <v>43791</v>
      </c>
      <c r="BT2421" s="5">
        <v>0.38263888888888892</v>
      </c>
      <c r="BU2421" t="s">
        <v>2626</v>
      </c>
      <c r="BV2421" t="s">
        <v>86</v>
      </c>
      <c r="BY2421">
        <v>4725.12</v>
      </c>
      <c r="CA2421" t="s">
        <v>2627</v>
      </c>
      <c r="CC2421" t="s">
        <v>113</v>
      </c>
      <c r="CD2421">
        <v>4001</v>
      </c>
      <c r="CE2421" t="s">
        <v>88</v>
      </c>
      <c r="CF2421" s="3">
        <v>43794</v>
      </c>
      <c r="CI2421">
        <v>1</v>
      </c>
      <c r="CJ2421">
        <v>1</v>
      </c>
      <c r="CK2421">
        <v>21</v>
      </c>
      <c r="CL2421" t="s">
        <v>89</v>
      </c>
    </row>
    <row r="2422" spans="1:90">
      <c r="A2422" t="s">
        <v>72</v>
      </c>
      <c r="B2422" t="s">
        <v>73</v>
      </c>
      <c r="C2422" t="s">
        <v>74</v>
      </c>
      <c r="E2422" t="str">
        <f>"FES1162724397"</f>
        <v>FES1162724397</v>
      </c>
      <c r="F2422" s="3">
        <v>43790</v>
      </c>
      <c r="G2422">
        <v>202005</v>
      </c>
      <c r="H2422" t="s">
        <v>75</v>
      </c>
      <c r="I2422" t="s">
        <v>76</v>
      </c>
      <c r="J2422" t="s">
        <v>77</v>
      </c>
      <c r="K2422" t="s">
        <v>78</v>
      </c>
      <c r="L2422" t="s">
        <v>500</v>
      </c>
      <c r="M2422" t="s">
        <v>501</v>
      </c>
      <c r="N2422" t="s">
        <v>765</v>
      </c>
      <c r="O2422" t="s">
        <v>82</v>
      </c>
      <c r="P2422" t="str">
        <f>"2170716286                    "</f>
        <v xml:space="preserve">2170716286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16.63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0.2</v>
      </c>
      <c r="BJ2422">
        <v>1.8</v>
      </c>
      <c r="BK2422">
        <v>2</v>
      </c>
      <c r="BL2422" s="4">
        <v>97.75</v>
      </c>
      <c r="BM2422" s="4">
        <v>14.66</v>
      </c>
      <c r="BN2422" s="4">
        <v>112.41</v>
      </c>
      <c r="BO2422" s="4">
        <v>112.41</v>
      </c>
      <c r="BR2422" t="s">
        <v>84</v>
      </c>
      <c r="BS2422" s="3">
        <v>43791</v>
      </c>
      <c r="BT2422" s="5">
        <v>0.50277777777777777</v>
      </c>
      <c r="BU2422" t="s">
        <v>2628</v>
      </c>
      <c r="BV2422" t="s">
        <v>86</v>
      </c>
      <c r="BY2422">
        <v>9058.08</v>
      </c>
      <c r="CA2422" t="s">
        <v>504</v>
      </c>
      <c r="CC2422" t="s">
        <v>501</v>
      </c>
      <c r="CD2422">
        <v>7349</v>
      </c>
      <c r="CE2422" t="s">
        <v>147</v>
      </c>
      <c r="CF2422" s="3">
        <v>43794</v>
      </c>
      <c r="CI2422">
        <v>1</v>
      </c>
      <c r="CJ2422">
        <v>1</v>
      </c>
      <c r="CK2422">
        <v>23</v>
      </c>
      <c r="CL2422" t="s">
        <v>89</v>
      </c>
    </row>
    <row r="2423" spans="1:90">
      <c r="A2423" t="s">
        <v>72</v>
      </c>
      <c r="B2423" t="s">
        <v>73</v>
      </c>
      <c r="C2423" t="s">
        <v>74</v>
      </c>
      <c r="E2423" t="str">
        <f>"FES1162724212"</f>
        <v>FES1162724212</v>
      </c>
      <c r="F2423" s="3">
        <v>43790</v>
      </c>
      <c r="G2423">
        <v>202005</v>
      </c>
      <c r="H2423" t="s">
        <v>75</v>
      </c>
      <c r="I2423" t="s">
        <v>76</v>
      </c>
      <c r="J2423" t="s">
        <v>77</v>
      </c>
      <c r="K2423" t="s">
        <v>78</v>
      </c>
      <c r="L2423" t="s">
        <v>90</v>
      </c>
      <c r="M2423" t="s">
        <v>91</v>
      </c>
      <c r="N2423" t="s">
        <v>527</v>
      </c>
      <c r="O2423" t="s">
        <v>82</v>
      </c>
      <c r="P2423" t="str">
        <f>"2170715446                    "</f>
        <v xml:space="preserve">2170715446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8.58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1.1000000000000001</v>
      </c>
      <c r="BJ2423">
        <v>2</v>
      </c>
      <c r="BK2423">
        <v>2</v>
      </c>
      <c r="BL2423" s="4">
        <v>50.45</v>
      </c>
      <c r="BM2423" s="4">
        <v>7.57</v>
      </c>
      <c r="BN2423" s="4">
        <v>58.02</v>
      </c>
      <c r="BO2423" s="4">
        <v>58.02</v>
      </c>
      <c r="BQ2423" t="s">
        <v>109</v>
      </c>
      <c r="BR2423" t="s">
        <v>84</v>
      </c>
      <c r="BS2423" s="3">
        <v>43791</v>
      </c>
      <c r="BT2423" s="5">
        <v>0.30902777777777779</v>
      </c>
      <c r="BU2423" t="s">
        <v>724</v>
      </c>
      <c r="BV2423" t="s">
        <v>86</v>
      </c>
      <c r="BY2423">
        <v>10050.06</v>
      </c>
      <c r="CA2423" t="s">
        <v>221</v>
      </c>
      <c r="CC2423" t="s">
        <v>91</v>
      </c>
      <c r="CD2423">
        <v>7405</v>
      </c>
      <c r="CE2423" t="s">
        <v>147</v>
      </c>
      <c r="CF2423" s="3">
        <v>43794</v>
      </c>
      <c r="CI2423">
        <v>1</v>
      </c>
      <c r="CJ2423">
        <v>1</v>
      </c>
      <c r="CK2423">
        <v>21</v>
      </c>
      <c r="CL2423" t="s">
        <v>89</v>
      </c>
    </row>
    <row r="2424" spans="1:90">
      <c r="A2424" t="s">
        <v>72</v>
      </c>
      <c r="B2424" t="s">
        <v>73</v>
      </c>
      <c r="C2424" t="s">
        <v>74</v>
      </c>
      <c r="E2424" t="str">
        <f>"FES1162724239"</f>
        <v>FES1162724239</v>
      </c>
      <c r="F2424" s="3">
        <v>43790</v>
      </c>
      <c r="G2424">
        <v>202005</v>
      </c>
      <c r="H2424" t="s">
        <v>75</v>
      </c>
      <c r="I2424" t="s">
        <v>76</v>
      </c>
      <c r="J2424" t="s">
        <v>77</v>
      </c>
      <c r="K2424" t="s">
        <v>78</v>
      </c>
      <c r="L2424" t="s">
        <v>90</v>
      </c>
      <c r="M2424" t="s">
        <v>91</v>
      </c>
      <c r="N2424" t="s">
        <v>1751</v>
      </c>
      <c r="O2424" t="s">
        <v>82</v>
      </c>
      <c r="P2424" t="str">
        <f>"2170715916                    "</f>
        <v xml:space="preserve">2170715916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8.58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0.6</v>
      </c>
      <c r="BJ2424">
        <v>1.6</v>
      </c>
      <c r="BK2424">
        <v>2</v>
      </c>
      <c r="BL2424" s="4">
        <v>50.45</v>
      </c>
      <c r="BM2424" s="4">
        <v>7.57</v>
      </c>
      <c r="BN2424" s="4">
        <v>58.02</v>
      </c>
      <c r="BO2424" s="4">
        <v>58.02</v>
      </c>
      <c r="BQ2424" t="s">
        <v>142</v>
      </c>
      <c r="BR2424" t="s">
        <v>84</v>
      </c>
      <c r="BS2424" s="3">
        <v>43791</v>
      </c>
      <c r="BT2424" s="5">
        <v>0.3576388888888889</v>
      </c>
      <c r="BU2424" t="s">
        <v>2629</v>
      </c>
      <c r="BV2424" t="s">
        <v>86</v>
      </c>
      <c r="BY2424">
        <v>8011.02</v>
      </c>
      <c r="CA2424" t="s">
        <v>1281</v>
      </c>
      <c r="CC2424" t="s">
        <v>91</v>
      </c>
      <c r="CD2424">
        <v>7800</v>
      </c>
      <c r="CE2424" t="s">
        <v>147</v>
      </c>
      <c r="CF2424" s="3">
        <v>43794</v>
      </c>
      <c r="CI2424">
        <v>1</v>
      </c>
      <c r="CJ2424">
        <v>1</v>
      </c>
      <c r="CK2424">
        <v>21</v>
      </c>
      <c r="CL2424" t="s">
        <v>89</v>
      </c>
    </row>
    <row r="2425" spans="1:90">
      <c r="A2425" t="s">
        <v>72</v>
      </c>
      <c r="B2425" t="s">
        <v>73</v>
      </c>
      <c r="C2425" t="s">
        <v>74</v>
      </c>
      <c r="E2425" t="str">
        <f>"FES1162724423"</f>
        <v>FES1162724423</v>
      </c>
      <c r="F2425" s="3">
        <v>43790</v>
      </c>
      <c r="G2425">
        <v>202005</v>
      </c>
      <c r="H2425" t="s">
        <v>75</v>
      </c>
      <c r="I2425" t="s">
        <v>76</v>
      </c>
      <c r="J2425" t="s">
        <v>77</v>
      </c>
      <c r="K2425" t="s">
        <v>78</v>
      </c>
      <c r="L2425" t="s">
        <v>90</v>
      </c>
      <c r="M2425" t="s">
        <v>91</v>
      </c>
      <c r="N2425" t="s">
        <v>576</v>
      </c>
      <c r="O2425" t="s">
        <v>82</v>
      </c>
      <c r="P2425" t="str">
        <f>"2170716811                    "</f>
        <v xml:space="preserve">2170716811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8.58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0.2</v>
      </c>
      <c r="BJ2425">
        <v>1.7</v>
      </c>
      <c r="BK2425">
        <v>2</v>
      </c>
      <c r="BL2425" s="4">
        <v>50.45</v>
      </c>
      <c r="BM2425" s="4">
        <v>7.57</v>
      </c>
      <c r="BN2425" s="4">
        <v>58.02</v>
      </c>
      <c r="BO2425" s="4">
        <v>58.02</v>
      </c>
      <c r="BQ2425" t="s">
        <v>109</v>
      </c>
      <c r="BR2425" t="s">
        <v>84</v>
      </c>
      <c r="BS2425" s="3">
        <v>43791</v>
      </c>
      <c r="BT2425" s="5">
        <v>0.34583333333333338</v>
      </c>
      <c r="BU2425" t="s">
        <v>2081</v>
      </c>
      <c r="BV2425" t="s">
        <v>86</v>
      </c>
      <c r="BY2425">
        <v>8575.65</v>
      </c>
      <c r="CA2425" t="s">
        <v>213</v>
      </c>
      <c r="CC2425" t="s">
        <v>91</v>
      </c>
      <c r="CD2425">
        <v>7441</v>
      </c>
      <c r="CE2425" t="s">
        <v>147</v>
      </c>
      <c r="CF2425" s="3">
        <v>43794</v>
      </c>
      <c r="CI2425">
        <v>1</v>
      </c>
      <c r="CJ2425">
        <v>1</v>
      </c>
      <c r="CK2425">
        <v>21</v>
      </c>
      <c r="CL2425" t="s">
        <v>89</v>
      </c>
    </row>
    <row r="2426" spans="1:90">
      <c r="A2426" t="s">
        <v>72</v>
      </c>
      <c r="B2426" t="s">
        <v>73</v>
      </c>
      <c r="C2426" t="s">
        <v>74</v>
      </c>
      <c r="E2426" t="str">
        <f>"FES1162724277"</f>
        <v>FES1162724277</v>
      </c>
      <c r="F2426" s="3">
        <v>43790</v>
      </c>
      <c r="G2426">
        <v>202005</v>
      </c>
      <c r="H2426" t="s">
        <v>75</v>
      </c>
      <c r="I2426" t="s">
        <v>76</v>
      </c>
      <c r="J2426" t="s">
        <v>77</v>
      </c>
      <c r="K2426" t="s">
        <v>78</v>
      </c>
      <c r="L2426" t="s">
        <v>90</v>
      </c>
      <c r="M2426" t="s">
        <v>91</v>
      </c>
      <c r="N2426" t="s">
        <v>650</v>
      </c>
      <c r="O2426" t="s">
        <v>82</v>
      </c>
      <c r="P2426" t="str">
        <f>"2170716691                    "</f>
        <v xml:space="preserve">2170716691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8.58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0.2</v>
      </c>
      <c r="BJ2426">
        <v>1.8</v>
      </c>
      <c r="BK2426">
        <v>2</v>
      </c>
      <c r="BL2426" s="4">
        <v>50.45</v>
      </c>
      <c r="BM2426" s="4">
        <v>7.57</v>
      </c>
      <c r="BN2426" s="4">
        <v>58.02</v>
      </c>
      <c r="BO2426" s="4">
        <v>58.02</v>
      </c>
      <c r="BQ2426" t="s">
        <v>121</v>
      </c>
      <c r="BR2426" t="s">
        <v>84</v>
      </c>
      <c r="BS2426" s="3">
        <v>43791</v>
      </c>
      <c r="BT2426" s="5">
        <v>0.3756944444444445</v>
      </c>
      <c r="BU2426" t="s">
        <v>2617</v>
      </c>
      <c r="BV2426" t="s">
        <v>86</v>
      </c>
      <c r="BY2426">
        <v>8971.41</v>
      </c>
      <c r="CA2426" t="s">
        <v>213</v>
      </c>
      <c r="CC2426" t="s">
        <v>91</v>
      </c>
      <c r="CD2426">
        <v>7441</v>
      </c>
      <c r="CE2426" t="s">
        <v>147</v>
      </c>
      <c r="CF2426" s="3">
        <v>43794</v>
      </c>
      <c r="CI2426">
        <v>1</v>
      </c>
      <c r="CJ2426">
        <v>1</v>
      </c>
      <c r="CK2426">
        <v>21</v>
      </c>
      <c r="CL2426" t="s">
        <v>89</v>
      </c>
    </row>
    <row r="2427" spans="1:90">
      <c r="A2427" t="s">
        <v>72</v>
      </c>
      <c r="B2427" t="s">
        <v>73</v>
      </c>
      <c r="C2427" t="s">
        <v>74</v>
      </c>
      <c r="E2427" t="str">
        <f>"FES1162724353"</f>
        <v>FES1162724353</v>
      </c>
      <c r="F2427" s="3">
        <v>43790</v>
      </c>
      <c r="G2427">
        <v>202005</v>
      </c>
      <c r="H2427" t="s">
        <v>75</v>
      </c>
      <c r="I2427" t="s">
        <v>76</v>
      </c>
      <c r="J2427" t="s">
        <v>77</v>
      </c>
      <c r="K2427" t="s">
        <v>78</v>
      </c>
      <c r="L2427" t="s">
        <v>90</v>
      </c>
      <c r="M2427" t="s">
        <v>91</v>
      </c>
      <c r="N2427" t="s">
        <v>1825</v>
      </c>
      <c r="O2427" t="s">
        <v>82</v>
      </c>
      <c r="P2427" t="str">
        <f>"2170715425                    "</f>
        <v xml:space="preserve">2170715425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10.73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2.5</v>
      </c>
      <c r="BJ2427">
        <v>0.9</v>
      </c>
      <c r="BK2427">
        <v>2.5</v>
      </c>
      <c r="BL2427" s="4">
        <v>63.06</v>
      </c>
      <c r="BM2427" s="4">
        <v>9.4600000000000009</v>
      </c>
      <c r="BN2427" s="4">
        <v>72.52</v>
      </c>
      <c r="BO2427" s="4">
        <v>72.52</v>
      </c>
      <c r="BQ2427" t="s">
        <v>121</v>
      </c>
      <c r="BR2427" t="s">
        <v>84</v>
      </c>
      <c r="BS2427" s="3">
        <v>43791</v>
      </c>
      <c r="BT2427" s="5">
        <v>0.4375</v>
      </c>
      <c r="BU2427" t="s">
        <v>1826</v>
      </c>
      <c r="BV2427" t="s">
        <v>86</v>
      </c>
      <c r="BY2427">
        <v>4708.3999999999996</v>
      </c>
      <c r="CA2427" t="s">
        <v>323</v>
      </c>
      <c r="CC2427" t="s">
        <v>91</v>
      </c>
      <c r="CD2427">
        <v>7460</v>
      </c>
      <c r="CE2427" t="s">
        <v>88</v>
      </c>
      <c r="CF2427" s="3">
        <v>43794</v>
      </c>
      <c r="CI2427">
        <v>1</v>
      </c>
      <c r="CJ2427">
        <v>1</v>
      </c>
      <c r="CK2427">
        <v>21</v>
      </c>
      <c r="CL2427" t="s">
        <v>89</v>
      </c>
    </row>
    <row r="2428" spans="1:90">
      <c r="A2428" t="s">
        <v>72</v>
      </c>
      <c r="B2428" t="s">
        <v>73</v>
      </c>
      <c r="C2428" t="s">
        <v>74</v>
      </c>
      <c r="E2428" t="str">
        <f>"FES1162724282"</f>
        <v>FES1162724282</v>
      </c>
      <c r="F2428" s="3">
        <v>43790</v>
      </c>
      <c r="G2428">
        <v>202005</v>
      </c>
      <c r="H2428" t="s">
        <v>75</v>
      </c>
      <c r="I2428" t="s">
        <v>76</v>
      </c>
      <c r="J2428" t="s">
        <v>77</v>
      </c>
      <c r="K2428" t="s">
        <v>78</v>
      </c>
      <c r="L2428" t="s">
        <v>90</v>
      </c>
      <c r="M2428" t="s">
        <v>91</v>
      </c>
      <c r="N2428" t="s">
        <v>950</v>
      </c>
      <c r="O2428" t="s">
        <v>82</v>
      </c>
      <c r="P2428" t="str">
        <f>"2170717047                    "</f>
        <v xml:space="preserve">2170717047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8.58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0.2</v>
      </c>
      <c r="BJ2428">
        <v>1.7</v>
      </c>
      <c r="BK2428">
        <v>2</v>
      </c>
      <c r="BL2428" s="4">
        <v>50.45</v>
      </c>
      <c r="BM2428" s="4">
        <v>7.57</v>
      </c>
      <c r="BN2428" s="4">
        <v>58.02</v>
      </c>
      <c r="BO2428" s="4">
        <v>58.02</v>
      </c>
      <c r="BQ2428" t="s">
        <v>121</v>
      </c>
      <c r="BR2428" t="s">
        <v>84</v>
      </c>
      <c r="BS2428" s="3">
        <v>43791</v>
      </c>
      <c r="BT2428" s="5">
        <v>0.32916666666666666</v>
      </c>
      <c r="BU2428" t="s">
        <v>1789</v>
      </c>
      <c r="BV2428" t="s">
        <v>86</v>
      </c>
      <c r="BY2428">
        <v>8279.0400000000009</v>
      </c>
      <c r="CA2428" t="s">
        <v>1309</v>
      </c>
      <c r="CC2428" t="s">
        <v>91</v>
      </c>
      <c r="CD2428">
        <v>7530</v>
      </c>
      <c r="CE2428" t="s">
        <v>147</v>
      </c>
      <c r="CF2428" s="3">
        <v>43794</v>
      </c>
      <c r="CI2428">
        <v>1</v>
      </c>
      <c r="CJ2428">
        <v>1</v>
      </c>
      <c r="CK2428">
        <v>21</v>
      </c>
      <c r="CL2428" t="s">
        <v>89</v>
      </c>
    </row>
    <row r="2429" spans="1:90">
      <c r="A2429" t="s">
        <v>72</v>
      </c>
      <c r="B2429" t="s">
        <v>73</v>
      </c>
      <c r="C2429" t="s">
        <v>74</v>
      </c>
      <c r="E2429" t="str">
        <f>"FES1162724151"</f>
        <v>FES1162724151</v>
      </c>
      <c r="F2429" s="3">
        <v>43790</v>
      </c>
      <c r="G2429">
        <v>202005</v>
      </c>
      <c r="H2429" t="s">
        <v>75</v>
      </c>
      <c r="I2429" t="s">
        <v>76</v>
      </c>
      <c r="J2429" t="s">
        <v>77</v>
      </c>
      <c r="K2429" t="s">
        <v>78</v>
      </c>
      <c r="L2429" t="s">
        <v>90</v>
      </c>
      <c r="M2429" t="s">
        <v>91</v>
      </c>
      <c r="N2429" t="s">
        <v>538</v>
      </c>
      <c r="O2429" t="s">
        <v>82</v>
      </c>
      <c r="P2429" t="str">
        <f>"21707415601                   "</f>
        <v xml:space="preserve">21707415601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8.58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0.2</v>
      </c>
      <c r="BJ2429">
        <v>1.5</v>
      </c>
      <c r="BK2429">
        <v>1.5</v>
      </c>
      <c r="BL2429" s="4">
        <v>50.45</v>
      </c>
      <c r="BM2429" s="4">
        <v>7.57</v>
      </c>
      <c r="BN2429" s="4">
        <v>58.02</v>
      </c>
      <c r="BO2429" s="4">
        <v>58.02</v>
      </c>
      <c r="BQ2429" t="s">
        <v>109</v>
      </c>
      <c r="BR2429" t="s">
        <v>84</v>
      </c>
      <c r="BS2429" s="3">
        <v>43791</v>
      </c>
      <c r="BT2429" s="5">
        <v>0.29583333333333334</v>
      </c>
      <c r="BU2429" t="s">
        <v>1577</v>
      </c>
      <c r="BV2429" t="s">
        <v>86</v>
      </c>
      <c r="BY2429">
        <v>7286.4</v>
      </c>
      <c r="CA2429" t="s">
        <v>140</v>
      </c>
      <c r="CC2429" t="s">
        <v>91</v>
      </c>
      <c r="CD2429">
        <v>7530</v>
      </c>
      <c r="CE2429" t="s">
        <v>147</v>
      </c>
      <c r="CF2429" s="3">
        <v>43794</v>
      </c>
      <c r="CI2429">
        <v>1</v>
      </c>
      <c r="CJ2429">
        <v>1</v>
      </c>
      <c r="CK2429">
        <v>21</v>
      </c>
      <c r="CL2429" t="s">
        <v>89</v>
      </c>
    </row>
    <row r="2430" spans="1:90">
      <c r="A2430" t="s">
        <v>72</v>
      </c>
      <c r="B2430" t="s">
        <v>73</v>
      </c>
      <c r="C2430" t="s">
        <v>74</v>
      </c>
      <c r="E2430" t="str">
        <f>"FES1162724155"</f>
        <v>FES1162724155</v>
      </c>
      <c r="F2430" s="3">
        <v>43790</v>
      </c>
      <c r="G2430">
        <v>202005</v>
      </c>
      <c r="H2430" t="s">
        <v>75</v>
      </c>
      <c r="I2430" t="s">
        <v>76</v>
      </c>
      <c r="J2430" t="s">
        <v>77</v>
      </c>
      <c r="K2430" t="s">
        <v>78</v>
      </c>
      <c r="L2430" t="s">
        <v>214</v>
      </c>
      <c r="M2430" t="s">
        <v>214</v>
      </c>
      <c r="N2430" t="s">
        <v>312</v>
      </c>
      <c r="O2430" t="s">
        <v>82</v>
      </c>
      <c r="P2430" t="str">
        <f>"217078415936                  "</f>
        <v xml:space="preserve">217078415936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16.63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0.2</v>
      </c>
      <c r="BJ2430">
        <v>1.4</v>
      </c>
      <c r="BK2430">
        <v>1.5</v>
      </c>
      <c r="BL2430" s="4">
        <v>97.75</v>
      </c>
      <c r="BM2430" s="4">
        <v>14.66</v>
      </c>
      <c r="BN2430" s="4">
        <v>112.41</v>
      </c>
      <c r="BO2430" s="4">
        <v>112.41</v>
      </c>
      <c r="BQ2430" t="s">
        <v>121</v>
      </c>
      <c r="BR2430" t="s">
        <v>84</v>
      </c>
      <c r="BS2430" s="3">
        <v>43791</v>
      </c>
      <c r="BT2430" s="5">
        <v>0.4909722222222222</v>
      </c>
      <c r="BU2430" t="s">
        <v>313</v>
      </c>
      <c r="BV2430" t="s">
        <v>86</v>
      </c>
      <c r="BY2430">
        <v>6879.99</v>
      </c>
      <c r="CA2430" t="s">
        <v>217</v>
      </c>
      <c r="CC2430" t="s">
        <v>214</v>
      </c>
      <c r="CD2430">
        <v>7646</v>
      </c>
      <c r="CE2430" t="s">
        <v>147</v>
      </c>
      <c r="CF2430" s="3">
        <v>43794</v>
      </c>
      <c r="CI2430">
        <v>0</v>
      </c>
      <c r="CJ2430">
        <v>0</v>
      </c>
      <c r="CK2430">
        <v>23</v>
      </c>
      <c r="CL2430" t="s">
        <v>89</v>
      </c>
    </row>
    <row r="2431" spans="1:90">
      <c r="A2431" t="s">
        <v>72</v>
      </c>
      <c r="B2431" t="s">
        <v>73</v>
      </c>
      <c r="C2431" t="s">
        <v>74</v>
      </c>
      <c r="E2431" t="str">
        <f>"FES1162724283"</f>
        <v>FES1162724283</v>
      </c>
      <c r="F2431" s="3">
        <v>43790</v>
      </c>
      <c r="G2431">
        <v>202005</v>
      </c>
      <c r="H2431" t="s">
        <v>75</v>
      </c>
      <c r="I2431" t="s">
        <v>76</v>
      </c>
      <c r="J2431" t="s">
        <v>77</v>
      </c>
      <c r="K2431" t="s">
        <v>78</v>
      </c>
      <c r="L2431" t="s">
        <v>90</v>
      </c>
      <c r="M2431" t="s">
        <v>91</v>
      </c>
      <c r="N2431" t="s">
        <v>2630</v>
      </c>
      <c r="O2431" t="s">
        <v>82</v>
      </c>
      <c r="P2431" t="str">
        <f>"2170717088                    "</f>
        <v xml:space="preserve">2170717088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8.58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0.2</v>
      </c>
      <c r="BJ2431">
        <v>1.1000000000000001</v>
      </c>
      <c r="BK2431">
        <v>1.5</v>
      </c>
      <c r="BL2431" s="4">
        <v>50.45</v>
      </c>
      <c r="BM2431" s="4">
        <v>7.57</v>
      </c>
      <c r="BN2431" s="4">
        <v>58.02</v>
      </c>
      <c r="BO2431" s="4">
        <v>58.02</v>
      </c>
      <c r="BQ2431" t="s">
        <v>121</v>
      </c>
      <c r="BR2431" t="s">
        <v>84</v>
      </c>
      <c r="BS2431" s="3">
        <v>43791</v>
      </c>
      <c r="BT2431" s="5">
        <v>0.41666666666666669</v>
      </c>
      <c r="BU2431" t="s">
        <v>2631</v>
      </c>
      <c r="BV2431" t="s">
        <v>86</v>
      </c>
      <c r="BY2431">
        <v>5481</v>
      </c>
      <c r="CA2431" t="s">
        <v>515</v>
      </c>
      <c r="CC2431" t="s">
        <v>91</v>
      </c>
      <c r="CD2431">
        <v>7500</v>
      </c>
      <c r="CE2431" t="s">
        <v>147</v>
      </c>
      <c r="CF2431" s="3">
        <v>43794</v>
      </c>
      <c r="CI2431">
        <v>1</v>
      </c>
      <c r="CJ2431">
        <v>1</v>
      </c>
      <c r="CK2431">
        <v>21</v>
      </c>
      <c r="CL2431" t="s">
        <v>89</v>
      </c>
    </row>
    <row r="2432" spans="1:90">
      <c r="A2432" t="s">
        <v>72</v>
      </c>
      <c r="B2432" t="s">
        <v>73</v>
      </c>
      <c r="C2432" t="s">
        <v>74</v>
      </c>
      <c r="E2432" t="str">
        <f>"FES1162724409"</f>
        <v>FES1162724409</v>
      </c>
      <c r="F2432" s="3">
        <v>43790</v>
      </c>
      <c r="G2432">
        <v>202005</v>
      </c>
      <c r="H2432" t="s">
        <v>75</v>
      </c>
      <c r="I2432" t="s">
        <v>76</v>
      </c>
      <c r="J2432" t="s">
        <v>77</v>
      </c>
      <c r="K2432" t="s">
        <v>78</v>
      </c>
      <c r="L2432" t="s">
        <v>214</v>
      </c>
      <c r="M2432" t="s">
        <v>214</v>
      </c>
      <c r="N2432" t="s">
        <v>1523</v>
      </c>
      <c r="O2432" t="s">
        <v>82</v>
      </c>
      <c r="P2432" t="str">
        <f>"2170716343                    "</f>
        <v xml:space="preserve">2170716343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16.63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0.2</v>
      </c>
      <c r="BJ2432">
        <v>1.5</v>
      </c>
      <c r="BK2432">
        <v>1.5</v>
      </c>
      <c r="BL2432" s="4">
        <v>97.75</v>
      </c>
      <c r="BM2432" s="4">
        <v>14.66</v>
      </c>
      <c r="BN2432" s="4">
        <v>112.41</v>
      </c>
      <c r="BO2432" s="4">
        <v>112.41</v>
      </c>
      <c r="BR2432" t="s">
        <v>84</v>
      </c>
      <c r="BS2432" s="3">
        <v>43791</v>
      </c>
      <c r="BT2432" s="5">
        <v>0.48749999999999999</v>
      </c>
      <c r="BU2432" t="s">
        <v>706</v>
      </c>
      <c r="BV2432" t="s">
        <v>86</v>
      </c>
      <c r="BY2432">
        <v>7693.29</v>
      </c>
      <c r="CA2432" t="s">
        <v>217</v>
      </c>
      <c r="CC2432" t="s">
        <v>214</v>
      </c>
      <c r="CD2432">
        <v>7646</v>
      </c>
      <c r="CE2432" t="s">
        <v>147</v>
      </c>
      <c r="CF2432" s="3">
        <v>43794</v>
      </c>
      <c r="CI2432">
        <v>1</v>
      </c>
      <c r="CJ2432">
        <v>1</v>
      </c>
      <c r="CK2432">
        <v>23</v>
      </c>
      <c r="CL2432" t="s">
        <v>89</v>
      </c>
    </row>
    <row r="2433" spans="1:90">
      <c r="A2433" t="s">
        <v>72</v>
      </c>
      <c r="B2433" t="s">
        <v>73</v>
      </c>
      <c r="C2433" t="s">
        <v>74</v>
      </c>
      <c r="E2433" t="str">
        <f>"FES1162724314"</f>
        <v>FES1162724314</v>
      </c>
      <c r="F2433" s="3">
        <v>43790</v>
      </c>
      <c r="G2433">
        <v>202005</v>
      </c>
      <c r="H2433" t="s">
        <v>75</v>
      </c>
      <c r="I2433" t="s">
        <v>76</v>
      </c>
      <c r="J2433" t="s">
        <v>77</v>
      </c>
      <c r="K2433" t="s">
        <v>78</v>
      </c>
      <c r="L2433" t="s">
        <v>184</v>
      </c>
      <c r="M2433" t="s">
        <v>185</v>
      </c>
      <c r="N2433" t="s">
        <v>1314</v>
      </c>
      <c r="O2433" t="s">
        <v>82</v>
      </c>
      <c r="P2433" t="str">
        <f>"2170718183                    "</f>
        <v xml:space="preserve">2170718183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7.51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0.2</v>
      </c>
      <c r="BJ2433">
        <v>2.2000000000000002</v>
      </c>
      <c r="BK2433">
        <v>2.5</v>
      </c>
      <c r="BL2433" s="4">
        <v>44.14</v>
      </c>
      <c r="BM2433" s="4">
        <v>6.62</v>
      </c>
      <c r="BN2433" s="4">
        <v>50.76</v>
      </c>
      <c r="BO2433" s="4">
        <v>50.76</v>
      </c>
      <c r="BQ2433" t="s">
        <v>109</v>
      </c>
      <c r="BR2433" t="s">
        <v>84</v>
      </c>
      <c r="BS2433" s="3">
        <v>43791</v>
      </c>
      <c r="BT2433" s="5">
        <v>0.33333333333333331</v>
      </c>
      <c r="BU2433" t="s">
        <v>370</v>
      </c>
      <c r="BV2433" t="s">
        <v>86</v>
      </c>
      <c r="BY2433">
        <v>10979.28</v>
      </c>
      <c r="CC2433" t="s">
        <v>185</v>
      </c>
      <c r="CD2433">
        <v>1501</v>
      </c>
      <c r="CE2433" t="s">
        <v>147</v>
      </c>
      <c r="CF2433" s="3">
        <v>43795</v>
      </c>
      <c r="CI2433">
        <v>1</v>
      </c>
      <c r="CJ2433">
        <v>1</v>
      </c>
      <c r="CK2433">
        <v>22</v>
      </c>
      <c r="CL2433" t="s">
        <v>89</v>
      </c>
    </row>
    <row r="2434" spans="1:90">
      <c r="A2434" t="s">
        <v>72</v>
      </c>
      <c r="B2434" t="s">
        <v>73</v>
      </c>
      <c r="C2434" t="s">
        <v>74</v>
      </c>
      <c r="E2434" t="str">
        <f>"FES1162724357"</f>
        <v>FES1162724357</v>
      </c>
      <c r="F2434" s="3">
        <v>43790</v>
      </c>
      <c r="G2434">
        <v>202005</v>
      </c>
      <c r="H2434" t="s">
        <v>75</v>
      </c>
      <c r="I2434" t="s">
        <v>76</v>
      </c>
      <c r="J2434" t="s">
        <v>77</v>
      </c>
      <c r="K2434" t="s">
        <v>78</v>
      </c>
      <c r="L2434" t="s">
        <v>90</v>
      </c>
      <c r="M2434" t="s">
        <v>91</v>
      </c>
      <c r="N2434" t="s">
        <v>533</v>
      </c>
      <c r="O2434" t="s">
        <v>82</v>
      </c>
      <c r="P2434" t="str">
        <f>"2170715515                    "</f>
        <v xml:space="preserve">2170715515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8.58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0.2</v>
      </c>
      <c r="BJ2434">
        <v>1.9</v>
      </c>
      <c r="BK2434">
        <v>2</v>
      </c>
      <c r="BL2434" s="4">
        <v>50.45</v>
      </c>
      <c r="BM2434" s="4">
        <v>7.57</v>
      </c>
      <c r="BN2434" s="4">
        <v>58.02</v>
      </c>
      <c r="BO2434" s="4">
        <v>58.02</v>
      </c>
      <c r="BQ2434" t="s">
        <v>161</v>
      </c>
      <c r="BR2434" t="s">
        <v>84</v>
      </c>
      <c r="BS2434" s="3">
        <v>43791</v>
      </c>
      <c r="BT2434" s="5">
        <v>0.4375</v>
      </c>
      <c r="BU2434" t="s">
        <v>2632</v>
      </c>
      <c r="BV2434" t="s">
        <v>86</v>
      </c>
      <c r="BY2434">
        <v>9424.7999999999993</v>
      </c>
      <c r="CA2434" t="s">
        <v>323</v>
      </c>
      <c r="CC2434" t="s">
        <v>91</v>
      </c>
      <c r="CD2434">
        <v>7460</v>
      </c>
      <c r="CE2434" t="s">
        <v>147</v>
      </c>
      <c r="CF2434" s="3">
        <v>43794</v>
      </c>
      <c r="CI2434">
        <v>1</v>
      </c>
      <c r="CJ2434">
        <v>1</v>
      </c>
      <c r="CK2434">
        <v>21</v>
      </c>
      <c r="CL2434" t="s">
        <v>89</v>
      </c>
    </row>
    <row r="2435" spans="1:90">
      <c r="A2435" t="s">
        <v>72</v>
      </c>
      <c r="B2435" t="s">
        <v>73</v>
      </c>
      <c r="C2435" t="s">
        <v>74</v>
      </c>
      <c r="E2435" t="str">
        <f>"FES1162724365"</f>
        <v>FES1162724365</v>
      </c>
      <c r="F2435" s="3">
        <v>43790</v>
      </c>
      <c r="G2435">
        <v>202005</v>
      </c>
      <c r="H2435" t="s">
        <v>75</v>
      </c>
      <c r="I2435" t="s">
        <v>76</v>
      </c>
      <c r="J2435" t="s">
        <v>77</v>
      </c>
      <c r="K2435" t="s">
        <v>78</v>
      </c>
      <c r="L2435" t="s">
        <v>90</v>
      </c>
      <c r="M2435" t="s">
        <v>91</v>
      </c>
      <c r="N2435" t="s">
        <v>538</v>
      </c>
      <c r="O2435" t="s">
        <v>82</v>
      </c>
      <c r="P2435" t="str">
        <f>"2170715601                    "</f>
        <v xml:space="preserve">2170715601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8.58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0.2</v>
      </c>
      <c r="BJ2435">
        <v>1.3</v>
      </c>
      <c r="BK2435">
        <v>1.5</v>
      </c>
      <c r="BL2435" s="4">
        <v>50.45</v>
      </c>
      <c r="BM2435" s="4">
        <v>7.57</v>
      </c>
      <c r="BN2435" s="4">
        <v>58.02</v>
      </c>
      <c r="BO2435" s="4">
        <v>58.02</v>
      </c>
      <c r="BQ2435" t="s">
        <v>109</v>
      </c>
      <c r="BR2435" t="s">
        <v>84</v>
      </c>
      <c r="BS2435" s="3">
        <v>43791</v>
      </c>
      <c r="BT2435" s="5">
        <v>0.29583333333333334</v>
      </c>
      <c r="BU2435" t="s">
        <v>1577</v>
      </c>
      <c r="BV2435" t="s">
        <v>86</v>
      </c>
      <c r="BY2435">
        <v>6435.52</v>
      </c>
      <c r="CA2435" t="s">
        <v>140</v>
      </c>
      <c r="CC2435" t="s">
        <v>91</v>
      </c>
      <c r="CD2435">
        <v>7530</v>
      </c>
      <c r="CE2435" t="s">
        <v>147</v>
      </c>
      <c r="CF2435" s="3">
        <v>43794</v>
      </c>
      <c r="CI2435">
        <v>1</v>
      </c>
      <c r="CJ2435">
        <v>1</v>
      </c>
      <c r="CK2435">
        <v>21</v>
      </c>
      <c r="CL2435" t="s">
        <v>89</v>
      </c>
    </row>
    <row r="2436" spans="1:90">
      <c r="A2436" t="s">
        <v>72</v>
      </c>
      <c r="B2436" t="s">
        <v>73</v>
      </c>
      <c r="C2436" t="s">
        <v>74</v>
      </c>
      <c r="E2436" t="str">
        <f>"FES1162724342"</f>
        <v>FES1162724342</v>
      </c>
      <c r="F2436" s="3">
        <v>43790</v>
      </c>
      <c r="G2436">
        <v>202005</v>
      </c>
      <c r="H2436" t="s">
        <v>75</v>
      </c>
      <c r="I2436" t="s">
        <v>76</v>
      </c>
      <c r="J2436" t="s">
        <v>77</v>
      </c>
      <c r="K2436" t="s">
        <v>78</v>
      </c>
      <c r="L2436" t="s">
        <v>106</v>
      </c>
      <c r="M2436" t="s">
        <v>107</v>
      </c>
      <c r="N2436" t="s">
        <v>108</v>
      </c>
      <c r="O2436" t="s">
        <v>82</v>
      </c>
      <c r="P2436" t="str">
        <f>"2170715227                    "</f>
        <v xml:space="preserve">2170715227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10.73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2.2000000000000002</v>
      </c>
      <c r="BK2436">
        <v>2.5</v>
      </c>
      <c r="BL2436" s="4">
        <v>63.06</v>
      </c>
      <c r="BM2436" s="4">
        <v>9.4600000000000009</v>
      </c>
      <c r="BN2436" s="4">
        <v>72.52</v>
      </c>
      <c r="BO2436" s="4">
        <v>72.52</v>
      </c>
      <c r="BQ2436" t="s">
        <v>109</v>
      </c>
      <c r="BR2436" t="s">
        <v>84</v>
      </c>
      <c r="BS2436" s="3">
        <v>43791</v>
      </c>
      <c r="BT2436" s="5">
        <v>0.37152777777777773</v>
      </c>
      <c r="BU2436" t="s">
        <v>110</v>
      </c>
      <c r="BV2436" t="s">
        <v>86</v>
      </c>
      <c r="BY2436">
        <v>11060.28</v>
      </c>
      <c r="CA2436" t="s">
        <v>111</v>
      </c>
      <c r="CC2436" t="s">
        <v>107</v>
      </c>
      <c r="CD2436">
        <v>6001</v>
      </c>
      <c r="CE2436" t="s">
        <v>147</v>
      </c>
      <c r="CF2436" s="3">
        <v>43794</v>
      </c>
      <c r="CI2436">
        <v>1</v>
      </c>
      <c r="CJ2436">
        <v>1</v>
      </c>
      <c r="CK2436">
        <v>21</v>
      </c>
      <c r="CL2436" t="s">
        <v>89</v>
      </c>
    </row>
    <row r="2437" spans="1:90">
      <c r="A2437" t="s">
        <v>72</v>
      </c>
      <c r="B2437" t="s">
        <v>73</v>
      </c>
      <c r="C2437" t="s">
        <v>74</v>
      </c>
      <c r="E2437" t="str">
        <f>"FES1162724327"</f>
        <v>FES1162724327</v>
      </c>
      <c r="F2437" s="3">
        <v>43790</v>
      </c>
      <c r="G2437">
        <v>202005</v>
      </c>
      <c r="H2437" t="s">
        <v>75</v>
      </c>
      <c r="I2437" t="s">
        <v>76</v>
      </c>
      <c r="J2437" t="s">
        <v>77</v>
      </c>
      <c r="K2437" t="s">
        <v>78</v>
      </c>
      <c r="L2437" t="s">
        <v>106</v>
      </c>
      <c r="M2437" t="s">
        <v>107</v>
      </c>
      <c r="N2437" t="s">
        <v>308</v>
      </c>
      <c r="O2437" t="s">
        <v>82</v>
      </c>
      <c r="P2437" t="str">
        <f>"21707126465                   "</f>
        <v xml:space="preserve">21707126465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8.58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0.5</v>
      </c>
      <c r="BJ2437">
        <v>1.3</v>
      </c>
      <c r="BK2437">
        <v>1.5</v>
      </c>
      <c r="BL2437" s="4">
        <v>50.45</v>
      </c>
      <c r="BM2437" s="4">
        <v>7.57</v>
      </c>
      <c r="BN2437" s="4">
        <v>58.02</v>
      </c>
      <c r="BO2437" s="4">
        <v>58.02</v>
      </c>
      <c r="BQ2437" t="s">
        <v>121</v>
      </c>
      <c r="BR2437" t="s">
        <v>84</v>
      </c>
      <c r="BS2437" s="3">
        <v>43791</v>
      </c>
      <c r="BT2437" s="5">
        <v>0.41666666666666669</v>
      </c>
      <c r="BU2437" t="s">
        <v>1568</v>
      </c>
      <c r="BV2437" t="s">
        <v>86</v>
      </c>
      <c r="BY2437">
        <v>6692.4</v>
      </c>
      <c r="CA2437" t="s">
        <v>111</v>
      </c>
      <c r="CC2437" t="s">
        <v>107</v>
      </c>
      <c r="CD2437">
        <v>6001</v>
      </c>
      <c r="CE2437" t="s">
        <v>147</v>
      </c>
      <c r="CF2437" s="3">
        <v>43794</v>
      </c>
      <c r="CI2437">
        <v>1</v>
      </c>
      <c r="CJ2437">
        <v>1</v>
      </c>
      <c r="CK2437">
        <v>21</v>
      </c>
      <c r="CL2437" t="s">
        <v>89</v>
      </c>
    </row>
    <row r="2438" spans="1:90">
      <c r="A2438" t="s">
        <v>72</v>
      </c>
      <c r="B2438" t="s">
        <v>73</v>
      </c>
      <c r="C2438" t="s">
        <v>74</v>
      </c>
      <c r="E2438" t="str">
        <f>"FES1162724404"</f>
        <v>FES1162724404</v>
      </c>
      <c r="F2438" s="3">
        <v>43790</v>
      </c>
      <c r="G2438">
        <v>202005</v>
      </c>
      <c r="H2438" t="s">
        <v>75</v>
      </c>
      <c r="I2438" t="s">
        <v>76</v>
      </c>
      <c r="J2438" t="s">
        <v>77</v>
      </c>
      <c r="K2438" t="s">
        <v>78</v>
      </c>
      <c r="L2438" t="s">
        <v>133</v>
      </c>
      <c r="M2438" t="s">
        <v>134</v>
      </c>
      <c r="N2438" t="s">
        <v>1569</v>
      </c>
      <c r="O2438" t="s">
        <v>82</v>
      </c>
      <c r="P2438" t="str">
        <f>"2170716315                    "</f>
        <v xml:space="preserve">2170716315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10.73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0.2</v>
      </c>
      <c r="BJ2438">
        <v>2.1</v>
      </c>
      <c r="BK2438">
        <v>2.5</v>
      </c>
      <c r="BL2438" s="4">
        <v>63.06</v>
      </c>
      <c r="BM2438" s="4">
        <v>9.4600000000000009</v>
      </c>
      <c r="BN2438" s="4">
        <v>72.52</v>
      </c>
      <c r="BO2438" s="4">
        <v>72.52</v>
      </c>
      <c r="BQ2438" t="s">
        <v>1570</v>
      </c>
      <c r="BR2438" t="s">
        <v>84</v>
      </c>
      <c r="BS2438" s="3">
        <v>43791</v>
      </c>
      <c r="BT2438" s="5">
        <v>0.43402777777777773</v>
      </c>
      <c r="BU2438" t="s">
        <v>2633</v>
      </c>
      <c r="BV2438" t="s">
        <v>86</v>
      </c>
      <c r="BY2438">
        <v>10714.08</v>
      </c>
      <c r="CA2438" t="s">
        <v>698</v>
      </c>
      <c r="CC2438" t="s">
        <v>134</v>
      </c>
      <c r="CD2438">
        <v>5201</v>
      </c>
      <c r="CE2438" t="s">
        <v>147</v>
      </c>
      <c r="CF2438" s="3">
        <v>43794</v>
      </c>
      <c r="CI2438">
        <v>1</v>
      </c>
      <c r="CJ2438">
        <v>1</v>
      </c>
      <c r="CK2438">
        <v>21</v>
      </c>
      <c r="CL2438" t="s">
        <v>89</v>
      </c>
    </row>
    <row r="2439" spans="1:90">
      <c r="A2439" t="s">
        <v>72</v>
      </c>
      <c r="B2439" t="s">
        <v>73</v>
      </c>
      <c r="C2439" t="s">
        <v>74</v>
      </c>
      <c r="E2439" t="str">
        <f>"FES1162724360"</f>
        <v>FES1162724360</v>
      </c>
      <c r="F2439" s="3">
        <v>43790</v>
      </c>
      <c r="G2439">
        <v>202005</v>
      </c>
      <c r="H2439" t="s">
        <v>75</v>
      </c>
      <c r="I2439" t="s">
        <v>76</v>
      </c>
      <c r="J2439" t="s">
        <v>77</v>
      </c>
      <c r="K2439" t="s">
        <v>78</v>
      </c>
      <c r="L2439" t="s">
        <v>101</v>
      </c>
      <c r="M2439" t="s">
        <v>102</v>
      </c>
      <c r="N2439" t="s">
        <v>2634</v>
      </c>
      <c r="O2439" t="s">
        <v>82</v>
      </c>
      <c r="P2439" t="str">
        <f>"2170715542                    "</f>
        <v xml:space="preserve">2170715542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8.58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1.2</v>
      </c>
      <c r="BJ2439">
        <v>1.8</v>
      </c>
      <c r="BK2439">
        <v>2</v>
      </c>
      <c r="BL2439" s="4">
        <v>50.45</v>
      </c>
      <c r="BM2439" s="4">
        <v>7.57</v>
      </c>
      <c r="BN2439" s="4">
        <v>58.02</v>
      </c>
      <c r="BO2439" s="4">
        <v>58.02</v>
      </c>
      <c r="BR2439" t="s">
        <v>84</v>
      </c>
      <c r="BS2439" s="3">
        <v>43791</v>
      </c>
      <c r="BT2439" s="5">
        <v>0.4375</v>
      </c>
      <c r="BU2439" t="s">
        <v>2635</v>
      </c>
      <c r="BV2439" t="s">
        <v>86</v>
      </c>
      <c r="BY2439">
        <v>8808.75</v>
      </c>
      <c r="CA2439" t="s">
        <v>183</v>
      </c>
      <c r="CC2439" t="s">
        <v>102</v>
      </c>
      <c r="CD2439">
        <v>200</v>
      </c>
      <c r="CE2439" t="s">
        <v>147</v>
      </c>
      <c r="CF2439" s="3">
        <v>43794</v>
      </c>
      <c r="CI2439">
        <v>1</v>
      </c>
      <c r="CJ2439">
        <v>1</v>
      </c>
      <c r="CK2439">
        <v>21</v>
      </c>
      <c r="CL2439" t="s">
        <v>89</v>
      </c>
    </row>
    <row r="2440" spans="1:90">
      <c r="A2440" t="s">
        <v>72</v>
      </c>
      <c r="B2440" t="s">
        <v>73</v>
      </c>
      <c r="C2440" t="s">
        <v>74</v>
      </c>
      <c r="E2440" t="str">
        <f>"FES1162724249"</f>
        <v>FES1162724249</v>
      </c>
      <c r="F2440" s="3">
        <v>43790</v>
      </c>
      <c r="G2440">
        <v>202005</v>
      </c>
      <c r="H2440" t="s">
        <v>75</v>
      </c>
      <c r="I2440" t="s">
        <v>76</v>
      </c>
      <c r="J2440" t="s">
        <v>77</v>
      </c>
      <c r="K2440" t="s">
        <v>78</v>
      </c>
      <c r="L2440" t="s">
        <v>431</v>
      </c>
      <c r="M2440" t="s">
        <v>432</v>
      </c>
      <c r="N2440" t="s">
        <v>1341</v>
      </c>
      <c r="O2440" t="s">
        <v>82</v>
      </c>
      <c r="P2440" t="str">
        <f>"2170716008                    "</f>
        <v xml:space="preserve">2170716008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8.58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0.2</v>
      </c>
      <c r="BJ2440">
        <v>1</v>
      </c>
      <c r="BK2440">
        <v>1</v>
      </c>
      <c r="BL2440" s="4">
        <v>50.45</v>
      </c>
      <c r="BM2440" s="4">
        <v>7.57</v>
      </c>
      <c r="BN2440" s="4">
        <v>58.02</v>
      </c>
      <c r="BO2440" s="4">
        <v>58.02</v>
      </c>
      <c r="BQ2440" t="s">
        <v>121</v>
      </c>
      <c r="BR2440" t="s">
        <v>84</v>
      </c>
      <c r="BS2440" s="3">
        <v>43791</v>
      </c>
      <c r="BT2440" s="5">
        <v>0.48125000000000001</v>
      </c>
      <c r="BU2440" t="s">
        <v>2636</v>
      </c>
      <c r="BV2440" t="s">
        <v>86</v>
      </c>
      <c r="BY2440">
        <v>4797.3500000000004</v>
      </c>
      <c r="CA2440" t="s">
        <v>435</v>
      </c>
      <c r="CC2440" t="s">
        <v>432</v>
      </c>
      <c r="CD2440">
        <v>3699</v>
      </c>
      <c r="CE2440" t="s">
        <v>88</v>
      </c>
      <c r="CF2440" s="3">
        <v>43794</v>
      </c>
      <c r="CI2440">
        <v>1</v>
      </c>
      <c r="CJ2440">
        <v>1</v>
      </c>
      <c r="CK2440">
        <v>21</v>
      </c>
      <c r="CL2440" t="s">
        <v>89</v>
      </c>
    </row>
    <row r="2441" spans="1:90">
      <c r="A2441" t="s">
        <v>72</v>
      </c>
      <c r="B2441" t="s">
        <v>73</v>
      </c>
      <c r="C2441" t="s">
        <v>74</v>
      </c>
      <c r="E2441" t="str">
        <f>"FES1162724140"</f>
        <v>FES1162724140</v>
      </c>
      <c r="F2441" s="3">
        <v>43790</v>
      </c>
      <c r="G2441">
        <v>202005</v>
      </c>
      <c r="H2441" t="s">
        <v>75</v>
      </c>
      <c r="I2441" t="s">
        <v>76</v>
      </c>
      <c r="J2441" t="s">
        <v>77</v>
      </c>
      <c r="K2441" t="s">
        <v>78</v>
      </c>
      <c r="L2441" t="s">
        <v>90</v>
      </c>
      <c r="M2441" t="s">
        <v>91</v>
      </c>
      <c r="N2441" t="s">
        <v>1825</v>
      </c>
      <c r="O2441" t="s">
        <v>82</v>
      </c>
      <c r="P2441" t="str">
        <f>"2170716876                    "</f>
        <v xml:space="preserve">2170716876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8.58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0.7</v>
      </c>
      <c r="BJ2441">
        <v>1.5</v>
      </c>
      <c r="BK2441">
        <v>1.5</v>
      </c>
      <c r="BL2441" s="4">
        <v>50.45</v>
      </c>
      <c r="BM2441" s="4">
        <v>7.57</v>
      </c>
      <c r="BN2441" s="4">
        <v>58.02</v>
      </c>
      <c r="BO2441" s="4">
        <v>58.02</v>
      </c>
      <c r="BQ2441" t="s">
        <v>121</v>
      </c>
      <c r="BR2441" t="s">
        <v>84</v>
      </c>
      <c r="BS2441" s="3">
        <v>43791</v>
      </c>
      <c r="BT2441" s="5">
        <v>0.4375</v>
      </c>
      <c r="BU2441" t="s">
        <v>1826</v>
      </c>
      <c r="BV2441" t="s">
        <v>86</v>
      </c>
      <c r="BY2441">
        <v>7638.4</v>
      </c>
      <c r="CA2441" t="s">
        <v>323</v>
      </c>
      <c r="CC2441" t="s">
        <v>91</v>
      </c>
      <c r="CD2441">
        <v>7460</v>
      </c>
      <c r="CE2441" t="s">
        <v>147</v>
      </c>
      <c r="CF2441" s="3">
        <v>43794</v>
      </c>
      <c r="CI2441">
        <v>1</v>
      </c>
      <c r="CJ2441">
        <v>1</v>
      </c>
      <c r="CK2441">
        <v>21</v>
      </c>
      <c r="CL2441" t="s">
        <v>89</v>
      </c>
    </row>
    <row r="2442" spans="1:90">
      <c r="A2442" t="s">
        <v>72</v>
      </c>
      <c r="B2442" t="s">
        <v>73</v>
      </c>
      <c r="C2442" t="s">
        <v>74</v>
      </c>
      <c r="E2442" t="str">
        <f>"FES1162724165"</f>
        <v>FES1162724165</v>
      </c>
      <c r="F2442" s="3">
        <v>43790</v>
      </c>
      <c r="G2442">
        <v>202005</v>
      </c>
      <c r="H2442" t="s">
        <v>75</v>
      </c>
      <c r="I2442" t="s">
        <v>76</v>
      </c>
      <c r="J2442" t="s">
        <v>77</v>
      </c>
      <c r="K2442" t="s">
        <v>78</v>
      </c>
      <c r="L2442" t="s">
        <v>90</v>
      </c>
      <c r="M2442" t="s">
        <v>91</v>
      </c>
      <c r="N2442" t="s">
        <v>2630</v>
      </c>
      <c r="O2442" t="s">
        <v>82</v>
      </c>
      <c r="P2442" t="str">
        <f>"2170717088                    "</f>
        <v xml:space="preserve">2170717088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8.58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0.2</v>
      </c>
      <c r="BJ2442">
        <v>1.3</v>
      </c>
      <c r="BK2442">
        <v>1.5</v>
      </c>
      <c r="BL2442" s="4">
        <v>50.45</v>
      </c>
      <c r="BM2442" s="4">
        <v>7.57</v>
      </c>
      <c r="BN2442" s="4">
        <v>58.02</v>
      </c>
      <c r="BO2442" s="4">
        <v>58.02</v>
      </c>
      <c r="BQ2442" t="s">
        <v>121</v>
      </c>
      <c r="BR2442" t="s">
        <v>84</v>
      </c>
      <c r="BS2442" s="3">
        <v>43791</v>
      </c>
      <c r="BT2442" s="5">
        <v>0.41666666666666669</v>
      </c>
      <c r="BU2442" t="s">
        <v>2637</v>
      </c>
      <c r="BV2442" t="s">
        <v>86</v>
      </c>
      <c r="BY2442">
        <v>6717.15</v>
      </c>
      <c r="CA2442" t="s">
        <v>515</v>
      </c>
      <c r="CC2442" t="s">
        <v>91</v>
      </c>
      <c r="CD2442">
        <v>7500</v>
      </c>
      <c r="CE2442" t="s">
        <v>147</v>
      </c>
      <c r="CF2442" s="3">
        <v>43794</v>
      </c>
      <c r="CI2442">
        <v>1</v>
      </c>
      <c r="CJ2442">
        <v>1</v>
      </c>
      <c r="CK2442">
        <v>21</v>
      </c>
      <c r="CL2442" t="s">
        <v>89</v>
      </c>
    </row>
    <row r="2443" spans="1:90">
      <c r="A2443" t="s">
        <v>72</v>
      </c>
      <c r="B2443" t="s">
        <v>73</v>
      </c>
      <c r="C2443" t="s">
        <v>74</v>
      </c>
      <c r="E2443" t="str">
        <f>"FES1162724394"</f>
        <v>FES1162724394</v>
      </c>
      <c r="F2443" s="3">
        <v>43790</v>
      </c>
      <c r="G2443">
        <v>202005</v>
      </c>
      <c r="H2443" t="s">
        <v>75</v>
      </c>
      <c r="I2443" t="s">
        <v>76</v>
      </c>
      <c r="J2443" t="s">
        <v>77</v>
      </c>
      <c r="K2443" t="s">
        <v>78</v>
      </c>
      <c r="L2443" t="s">
        <v>2111</v>
      </c>
      <c r="M2443" t="s">
        <v>2112</v>
      </c>
      <c r="N2443" t="s">
        <v>2638</v>
      </c>
      <c r="O2443" t="s">
        <v>82</v>
      </c>
      <c r="P2443" t="str">
        <f>"21707162859                   "</f>
        <v xml:space="preserve">21707162859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16.63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 s="4">
        <v>97.75</v>
      </c>
      <c r="BM2443" s="4">
        <v>14.66</v>
      </c>
      <c r="BN2443" s="4">
        <v>112.41</v>
      </c>
      <c r="BO2443" s="4">
        <v>112.41</v>
      </c>
      <c r="BQ2443" t="s">
        <v>302</v>
      </c>
      <c r="BR2443" t="s">
        <v>84</v>
      </c>
      <c r="BS2443" s="3">
        <v>43791</v>
      </c>
      <c r="BT2443" s="5">
        <v>0.37222222222222223</v>
      </c>
      <c r="BU2443" t="s">
        <v>2639</v>
      </c>
      <c r="BV2443" t="s">
        <v>86</v>
      </c>
      <c r="BY2443">
        <v>1200</v>
      </c>
      <c r="CA2443" t="s">
        <v>1046</v>
      </c>
      <c r="CC2443" t="s">
        <v>2112</v>
      </c>
      <c r="CD2443">
        <v>4339</v>
      </c>
      <c r="CE2443" t="s">
        <v>147</v>
      </c>
      <c r="CF2443" s="3">
        <v>43794</v>
      </c>
      <c r="CI2443">
        <v>1</v>
      </c>
      <c r="CJ2443">
        <v>1</v>
      </c>
      <c r="CK2443">
        <v>23</v>
      </c>
      <c r="CL2443" t="s">
        <v>89</v>
      </c>
    </row>
    <row r="2444" spans="1:90">
      <c r="A2444" t="s">
        <v>72</v>
      </c>
      <c r="B2444" t="s">
        <v>73</v>
      </c>
      <c r="C2444" t="s">
        <v>74</v>
      </c>
      <c r="E2444" t="str">
        <f>"FES1162724293"</f>
        <v>FES1162724293</v>
      </c>
      <c r="F2444" s="3">
        <v>43790</v>
      </c>
      <c r="G2444">
        <v>202005</v>
      </c>
      <c r="H2444" t="s">
        <v>75</v>
      </c>
      <c r="I2444" t="s">
        <v>76</v>
      </c>
      <c r="J2444" t="s">
        <v>77</v>
      </c>
      <c r="K2444" t="s">
        <v>78</v>
      </c>
      <c r="L2444" t="s">
        <v>118</v>
      </c>
      <c r="M2444" t="s">
        <v>119</v>
      </c>
      <c r="N2444" t="s">
        <v>248</v>
      </c>
      <c r="O2444" t="s">
        <v>82</v>
      </c>
      <c r="P2444" t="str">
        <f>"217074618                     "</f>
        <v xml:space="preserve">217074618 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8.58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0.7</v>
      </c>
      <c r="BJ2444">
        <v>1.4</v>
      </c>
      <c r="BK2444">
        <v>1.5</v>
      </c>
      <c r="BL2444" s="4">
        <v>50.45</v>
      </c>
      <c r="BM2444" s="4">
        <v>7.57</v>
      </c>
      <c r="BN2444" s="4">
        <v>58.02</v>
      </c>
      <c r="BO2444" s="4">
        <v>58.02</v>
      </c>
      <c r="BQ2444" t="s">
        <v>121</v>
      </c>
      <c r="BR2444" t="s">
        <v>84</v>
      </c>
      <c r="BS2444" s="3">
        <v>43791</v>
      </c>
      <c r="BT2444" s="5">
        <v>0.37152777777777773</v>
      </c>
      <c r="BU2444" t="s">
        <v>623</v>
      </c>
      <c r="BV2444" t="s">
        <v>86</v>
      </c>
      <c r="BY2444">
        <v>7230.6</v>
      </c>
      <c r="CA2444" t="s">
        <v>435</v>
      </c>
      <c r="CC2444" t="s">
        <v>119</v>
      </c>
      <c r="CD2444">
        <v>3212</v>
      </c>
      <c r="CE2444" t="s">
        <v>147</v>
      </c>
      <c r="CF2444" s="3">
        <v>43794</v>
      </c>
      <c r="CI2444">
        <v>1</v>
      </c>
      <c r="CJ2444">
        <v>1</v>
      </c>
      <c r="CK2444">
        <v>21</v>
      </c>
      <c r="CL2444" t="s">
        <v>89</v>
      </c>
    </row>
    <row r="2445" spans="1:90">
      <c r="A2445" t="s">
        <v>72</v>
      </c>
      <c r="B2445" t="s">
        <v>73</v>
      </c>
      <c r="C2445" t="s">
        <v>74</v>
      </c>
      <c r="E2445" t="str">
        <f>"FES1162724221"</f>
        <v>FES1162724221</v>
      </c>
      <c r="F2445" s="3">
        <v>43790</v>
      </c>
      <c r="G2445">
        <v>202005</v>
      </c>
      <c r="H2445" t="s">
        <v>75</v>
      </c>
      <c r="I2445" t="s">
        <v>76</v>
      </c>
      <c r="J2445" t="s">
        <v>77</v>
      </c>
      <c r="K2445" t="s">
        <v>78</v>
      </c>
      <c r="L2445" t="s">
        <v>112</v>
      </c>
      <c r="M2445" t="s">
        <v>113</v>
      </c>
      <c r="N2445" t="s">
        <v>887</v>
      </c>
      <c r="O2445" t="s">
        <v>82</v>
      </c>
      <c r="P2445" t="str">
        <f>"2170715688                    "</f>
        <v xml:space="preserve">2170715688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8.58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0.2</v>
      </c>
      <c r="BJ2445">
        <v>1.9</v>
      </c>
      <c r="BK2445">
        <v>2</v>
      </c>
      <c r="BL2445" s="4">
        <v>50.45</v>
      </c>
      <c r="BM2445" s="4">
        <v>7.57</v>
      </c>
      <c r="BN2445" s="4">
        <v>58.02</v>
      </c>
      <c r="BO2445" s="4">
        <v>58.02</v>
      </c>
      <c r="BQ2445" t="s">
        <v>121</v>
      </c>
      <c r="BR2445" t="s">
        <v>84</v>
      </c>
      <c r="BS2445" s="3">
        <v>43791</v>
      </c>
      <c r="BT2445" s="5">
        <v>0.4909722222222222</v>
      </c>
      <c r="BU2445" t="s">
        <v>2640</v>
      </c>
      <c r="BV2445" t="s">
        <v>89</v>
      </c>
      <c r="BW2445" t="s">
        <v>144</v>
      </c>
      <c r="BX2445" t="s">
        <v>145</v>
      </c>
      <c r="BY2445">
        <v>9363.2000000000007</v>
      </c>
      <c r="CA2445" t="s">
        <v>2641</v>
      </c>
      <c r="CC2445" t="s">
        <v>113</v>
      </c>
      <c r="CD2445">
        <v>4001</v>
      </c>
      <c r="CE2445" t="s">
        <v>147</v>
      </c>
      <c r="CF2445" s="3">
        <v>43794</v>
      </c>
      <c r="CI2445">
        <v>1</v>
      </c>
      <c r="CJ2445">
        <v>1</v>
      </c>
      <c r="CK2445">
        <v>21</v>
      </c>
      <c r="CL2445" t="s">
        <v>89</v>
      </c>
    </row>
    <row r="2446" spans="1:90">
      <c r="A2446" t="s">
        <v>72</v>
      </c>
      <c r="B2446" t="s">
        <v>73</v>
      </c>
      <c r="C2446" t="s">
        <v>74</v>
      </c>
      <c r="E2446" t="str">
        <f>"FES1162724253"</f>
        <v>FES1162724253</v>
      </c>
      <c r="F2446" s="3">
        <v>43790</v>
      </c>
      <c r="G2446">
        <v>202005</v>
      </c>
      <c r="H2446" t="s">
        <v>75</v>
      </c>
      <c r="I2446" t="s">
        <v>76</v>
      </c>
      <c r="J2446" t="s">
        <v>77</v>
      </c>
      <c r="K2446" t="s">
        <v>78</v>
      </c>
      <c r="L2446" t="s">
        <v>176</v>
      </c>
      <c r="M2446" t="s">
        <v>177</v>
      </c>
      <c r="N2446" t="s">
        <v>178</v>
      </c>
      <c r="O2446" t="s">
        <v>82</v>
      </c>
      <c r="P2446" t="str">
        <f>"2170716100                    "</f>
        <v xml:space="preserve">2170716100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8.58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0.2</v>
      </c>
      <c r="BJ2446">
        <v>1.3</v>
      </c>
      <c r="BK2446">
        <v>1.5</v>
      </c>
      <c r="BL2446" s="4">
        <v>50.45</v>
      </c>
      <c r="BM2446" s="4">
        <v>7.57</v>
      </c>
      <c r="BN2446" s="4">
        <v>58.02</v>
      </c>
      <c r="BO2446" s="4">
        <v>58.02</v>
      </c>
      <c r="BQ2446" t="s">
        <v>142</v>
      </c>
      <c r="BR2446" t="s">
        <v>84</v>
      </c>
      <c r="BS2446" s="3">
        <v>43791</v>
      </c>
      <c r="BT2446" s="5">
        <v>0.41597222222222219</v>
      </c>
      <c r="BU2446" t="s">
        <v>1053</v>
      </c>
      <c r="BV2446" t="s">
        <v>86</v>
      </c>
      <c r="BY2446">
        <v>6689.76</v>
      </c>
      <c r="CA2446" t="s">
        <v>180</v>
      </c>
      <c r="CC2446" t="s">
        <v>177</v>
      </c>
      <c r="CD2446">
        <v>3610</v>
      </c>
      <c r="CE2446" t="s">
        <v>147</v>
      </c>
      <c r="CF2446" s="3">
        <v>43794</v>
      </c>
      <c r="CI2446">
        <v>1</v>
      </c>
      <c r="CJ2446">
        <v>1</v>
      </c>
      <c r="CK2446">
        <v>21</v>
      </c>
      <c r="CL2446" t="s">
        <v>89</v>
      </c>
    </row>
    <row r="2447" spans="1:90">
      <c r="A2447" t="s">
        <v>72</v>
      </c>
      <c r="B2447" t="s">
        <v>73</v>
      </c>
      <c r="C2447" t="s">
        <v>74</v>
      </c>
      <c r="E2447" t="str">
        <f>"FES1162724361"</f>
        <v>FES1162724361</v>
      </c>
      <c r="F2447" s="3">
        <v>43790</v>
      </c>
      <c r="G2447">
        <v>202005</v>
      </c>
      <c r="H2447" t="s">
        <v>75</v>
      </c>
      <c r="I2447" t="s">
        <v>76</v>
      </c>
      <c r="J2447" t="s">
        <v>77</v>
      </c>
      <c r="K2447" t="s">
        <v>78</v>
      </c>
      <c r="L2447" t="s">
        <v>1048</v>
      </c>
      <c r="M2447" t="s">
        <v>1049</v>
      </c>
      <c r="N2447" t="s">
        <v>1050</v>
      </c>
      <c r="O2447" t="s">
        <v>82</v>
      </c>
      <c r="P2447" t="str">
        <f>"2170715544                    "</f>
        <v xml:space="preserve">2170715544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8.58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0.2</v>
      </c>
      <c r="BJ2447">
        <v>1</v>
      </c>
      <c r="BK2447">
        <v>1</v>
      </c>
      <c r="BL2447" s="4">
        <v>50.45</v>
      </c>
      <c r="BM2447" s="4">
        <v>7.57</v>
      </c>
      <c r="BN2447" s="4">
        <v>58.02</v>
      </c>
      <c r="BO2447" s="4">
        <v>58.02</v>
      </c>
      <c r="BR2447" t="s">
        <v>84</v>
      </c>
      <c r="BS2447" s="3">
        <v>43791</v>
      </c>
      <c r="BT2447" s="5">
        <v>0.4069444444444445</v>
      </c>
      <c r="BU2447" t="s">
        <v>2642</v>
      </c>
      <c r="BV2447" t="s">
        <v>86</v>
      </c>
      <c r="BY2447">
        <v>4945.7700000000004</v>
      </c>
      <c r="CA2447" t="s">
        <v>1052</v>
      </c>
      <c r="CC2447" t="s">
        <v>1049</v>
      </c>
      <c r="CD2447">
        <v>4120</v>
      </c>
      <c r="CE2447" t="s">
        <v>147</v>
      </c>
      <c r="CF2447" s="3">
        <v>43794</v>
      </c>
      <c r="CI2447">
        <v>1</v>
      </c>
      <c r="CJ2447">
        <v>1</v>
      </c>
      <c r="CK2447">
        <v>21</v>
      </c>
      <c r="CL2447" t="s">
        <v>89</v>
      </c>
    </row>
    <row r="2448" spans="1:90">
      <c r="A2448" t="s">
        <v>72</v>
      </c>
      <c r="B2448" t="s">
        <v>73</v>
      </c>
      <c r="C2448" t="s">
        <v>74</v>
      </c>
      <c r="E2448" t="str">
        <f>"FES1162724206"</f>
        <v>FES1162724206</v>
      </c>
      <c r="F2448" s="3">
        <v>43790</v>
      </c>
      <c r="G2448">
        <v>202005</v>
      </c>
      <c r="H2448" t="s">
        <v>75</v>
      </c>
      <c r="I2448" t="s">
        <v>76</v>
      </c>
      <c r="J2448" t="s">
        <v>77</v>
      </c>
      <c r="K2448" t="s">
        <v>78</v>
      </c>
      <c r="L2448" t="s">
        <v>482</v>
      </c>
      <c r="M2448" t="s">
        <v>483</v>
      </c>
      <c r="N2448" t="s">
        <v>2643</v>
      </c>
      <c r="O2448" t="s">
        <v>82</v>
      </c>
      <c r="P2448" t="str">
        <f>"2170718163                    "</f>
        <v xml:space="preserve">2170718163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6.71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0.2</v>
      </c>
      <c r="BJ2448">
        <v>1.5</v>
      </c>
      <c r="BK2448">
        <v>1.5</v>
      </c>
      <c r="BL2448" s="4">
        <v>39.42</v>
      </c>
      <c r="BM2448" s="4">
        <v>5.91</v>
      </c>
      <c r="BN2448" s="4">
        <v>45.33</v>
      </c>
      <c r="BO2448" s="4">
        <v>45.33</v>
      </c>
      <c r="BR2448" t="s">
        <v>84</v>
      </c>
      <c r="BS2448" s="3">
        <v>43791</v>
      </c>
      <c r="BT2448" s="5">
        <v>0.32430555555555557</v>
      </c>
      <c r="BU2448" t="s">
        <v>2644</v>
      </c>
      <c r="BV2448" t="s">
        <v>86</v>
      </c>
      <c r="BY2448">
        <v>7326.48</v>
      </c>
      <c r="CA2448" t="s">
        <v>1336</v>
      </c>
      <c r="CC2448" t="s">
        <v>483</v>
      </c>
      <c r="CD2448">
        <v>1459</v>
      </c>
      <c r="CE2448" t="s">
        <v>147</v>
      </c>
      <c r="CF2448" s="3">
        <v>43794</v>
      </c>
      <c r="CI2448">
        <v>1</v>
      </c>
      <c r="CJ2448">
        <v>1</v>
      </c>
      <c r="CK2448">
        <v>22</v>
      </c>
      <c r="CL2448" t="s">
        <v>89</v>
      </c>
    </row>
    <row r="2449" spans="1:90">
      <c r="A2449" t="s">
        <v>72</v>
      </c>
      <c r="B2449" t="s">
        <v>73</v>
      </c>
      <c r="C2449" t="s">
        <v>74</v>
      </c>
      <c r="E2449" t="str">
        <f>"FES1162724279"</f>
        <v>FES1162724279</v>
      </c>
      <c r="F2449" s="3">
        <v>43790</v>
      </c>
      <c r="G2449">
        <v>202005</v>
      </c>
      <c r="H2449" t="s">
        <v>75</v>
      </c>
      <c r="I2449" t="s">
        <v>76</v>
      </c>
      <c r="J2449" t="s">
        <v>77</v>
      </c>
      <c r="K2449" t="s">
        <v>78</v>
      </c>
      <c r="L2449" t="s">
        <v>783</v>
      </c>
      <c r="M2449" t="s">
        <v>784</v>
      </c>
      <c r="N2449" t="s">
        <v>785</v>
      </c>
      <c r="O2449" t="s">
        <v>82</v>
      </c>
      <c r="P2449" t="str">
        <f>"2170716817                    "</f>
        <v xml:space="preserve">2170716817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16.63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0.2</v>
      </c>
      <c r="BJ2449">
        <v>1.9</v>
      </c>
      <c r="BK2449">
        <v>2</v>
      </c>
      <c r="BL2449" s="4">
        <v>97.75</v>
      </c>
      <c r="BM2449" s="4">
        <v>14.66</v>
      </c>
      <c r="BN2449" s="4">
        <v>112.41</v>
      </c>
      <c r="BO2449" s="4">
        <v>112.41</v>
      </c>
      <c r="BQ2449" t="s">
        <v>109</v>
      </c>
      <c r="BR2449" t="s">
        <v>84</v>
      </c>
      <c r="BS2449" s="3">
        <v>43791</v>
      </c>
      <c r="BT2449" s="5">
        <v>0.39583333333333331</v>
      </c>
      <c r="BU2449" t="s">
        <v>786</v>
      </c>
      <c r="BV2449" t="s">
        <v>86</v>
      </c>
      <c r="BY2449">
        <v>9364.8799999999992</v>
      </c>
      <c r="CC2449" t="s">
        <v>784</v>
      </c>
      <c r="CD2449">
        <v>9880</v>
      </c>
      <c r="CE2449" t="s">
        <v>147</v>
      </c>
      <c r="CF2449" s="3">
        <v>43795</v>
      </c>
      <c r="CI2449">
        <v>1</v>
      </c>
      <c r="CJ2449">
        <v>1</v>
      </c>
      <c r="CK2449">
        <v>23</v>
      </c>
      <c r="CL2449" t="s">
        <v>89</v>
      </c>
    </row>
    <row r="2450" spans="1:90">
      <c r="A2450" t="s">
        <v>72</v>
      </c>
      <c r="B2450" t="s">
        <v>73</v>
      </c>
      <c r="C2450" t="s">
        <v>74</v>
      </c>
      <c r="E2450" t="str">
        <f>"FES1162724225"</f>
        <v>FES1162724225</v>
      </c>
      <c r="F2450" s="3">
        <v>43790</v>
      </c>
      <c r="G2450">
        <v>202005</v>
      </c>
      <c r="H2450" t="s">
        <v>75</v>
      </c>
      <c r="I2450" t="s">
        <v>76</v>
      </c>
      <c r="J2450" t="s">
        <v>77</v>
      </c>
      <c r="K2450" t="s">
        <v>78</v>
      </c>
      <c r="L2450" t="s">
        <v>176</v>
      </c>
      <c r="M2450" t="s">
        <v>177</v>
      </c>
      <c r="N2450" t="s">
        <v>1136</v>
      </c>
      <c r="O2450" t="s">
        <v>82</v>
      </c>
      <c r="P2450" t="str">
        <f>"2170715747                    "</f>
        <v xml:space="preserve">2170715747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8.58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0.6</v>
      </c>
      <c r="BJ2450">
        <v>2</v>
      </c>
      <c r="BK2450">
        <v>2</v>
      </c>
      <c r="BL2450" s="4">
        <v>50.45</v>
      </c>
      <c r="BM2450" s="4">
        <v>7.57</v>
      </c>
      <c r="BN2450" s="4">
        <v>58.02</v>
      </c>
      <c r="BO2450" s="4">
        <v>58.02</v>
      </c>
      <c r="BQ2450" t="s">
        <v>121</v>
      </c>
      <c r="BR2450" t="s">
        <v>84</v>
      </c>
      <c r="BS2450" s="3">
        <v>43791</v>
      </c>
      <c r="BT2450" s="5">
        <v>0.38125000000000003</v>
      </c>
      <c r="BU2450" t="s">
        <v>2645</v>
      </c>
      <c r="BV2450" t="s">
        <v>86</v>
      </c>
      <c r="BY2450">
        <v>10007.280000000001</v>
      </c>
      <c r="CA2450" t="s">
        <v>180</v>
      </c>
      <c r="CC2450" t="s">
        <v>177</v>
      </c>
      <c r="CD2450">
        <v>3610</v>
      </c>
      <c r="CE2450" t="s">
        <v>147</v>
      </c>
      <c r="CF2450" s="3">
        <v>43794</v>
      </c>
      <c r="CI2450">
        <v>1</v>
      </c>
      <c r="CJ2450">
        <v>1</v>
      </c>
      <c r="CK2450">
        <v>21</v>
      </c>
      <c r="CL2450" t="s">
        <v>89</v>
      </c>
    </row>
    <row r="2451" spans="1:90">
      <c r="A2451" t="s">
        <v>72</v>
      </c>
      <c r="B2451" t="s">
        <v>73</v>
      </c>
      <c r="C2451" t="s">
        <v>74</v>
      </c>
      <c r="E2451" t="str">
        <f>"FES1162724262"</f>
        <v>FES1162724262</v>
      </c>
      <c r="F2451" s="3">
        <v>43790</v>
      </c>
      <c r="G2451">
        <v>202005</v>
      </c>
      <c r="H2451" t="s">
        <v>75</v>
      </c>
      <c r="I2451" t="s">
        <v>76</v>
      </c>
      <c r="J2451" t="s">
        <v>77</v>
      </c>
      <c r="K2451" t="s">
        <v>78</v>
      </c>
      <c r="L2451" t="s">
        <v>1204</v>
      </c>
      <c r="M2451" t="s">
        <v>1205</v>
      </c>
      <c r="N2451" t="s">
        <v>1206</v>
      </c>
      <c r="O2451" t="s">
        <v>82</v>
      </c>
      <c r="P2451" t="str">
        <f>"2170716154                    "</f>
        <v xml:space="preserve">2170716154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8.58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0.7</v>
      </c>
      <c r="BJ2451">
        <v>1.3</v>
      </c>
      <c r="BK2451">
        <v>1.5</v>
      </c>
      <c r="BL2451" s="4">
        <v>50.45</v>
      </c>
      <c r="BM2451" s="4">
        <v>7.57</v>
      </c>
      <c r="BN2451" s="4">
        <v>58.02</v>
      </c>
      <c r="BO2451" s="4">
        <v>58.02</v>
      </c>
      <c r="BQ2451" t="s">
        <v>109</v>
      </c>
      <c r="BR2451" t="s">
        <v>84</v>
      </c>
      <c r="BS2451" s="3">
        <v>43791</v>
      </c>
      <c r="BT2451" s="5">
        <v>0.57430555555555551</v>
      </c>
      <c r="BU2451" t="s">
        <v>1384</v>
      </c>
      <c r="BV2451" t="s">
        <v>86</v>
      </c>
      <c r="BY2451">
        <v>6544.08</v>
      </c>
      <c r="CA2451" t="s">
        <v>435</v>
      </c>
      <c r="CC2451" t="s">
        <v>1205</v>
      </c>
      <c r="CD2451">
        <v>3760</v>
      </c>
      <c r="CE2451" t="s">
        <v>147</v>
      </c>
      <c r="CF2451" s="3">
        <v>43794</v>
      </c>
      <c r="CI2451">
        <v>4</v>
      </c>
      <c r="CJ2451">
        <v>1</v>
      </c>
      <c r="CK2451">
        <v>21</v>
      </c>
      <c r="CL2451" t="s">
        <v>89</v>
      </c>
    </row>
    <row r="2452" spans="1:90">
      <c r="A2452" t="s">
        <v>72</v>
      </c>
      <c r="B2452" t="s">
        <v>73</v>
      </c>
      <c r="C2452" t="s">
        <v>74</v>
      </c>
      <c r="E2452" t="str">
        <f>"FES1162724374"</f>
        <v>FES1162724374</v>
      </c>
      <c r="F2452" s="3">
        <v>43790</v>
      </c>
      <c r="G2452">
        <v>202005</v>
      </c>
      <c r="H2452" t="s">
        <v>75</v>
      </c>
      <c r="I2452" t="s">
        <v>76</v>
      </c>
      <c r="J2452" t="s">
        <v>77</v>
      </c>
      <c r="K2452" t="s">
        <v>78</v>
      </c>
      <c r="L2452" t="s">
        <v>176</v>
      </c>
      <c r="M2452" t="s">
        <v>177</v>
      </c>
      <c r="N2452" t="s">
        <v>792</v>
      </c>
      <c r="O2452" t="s">
        <v>82</v>
      </c>
      <c r="P2452" t="str">
        <f>"2170715690                    "</f>
        <v xml:space="preserve">2170715690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8.58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0.2</v>
      </c>
      <c r="BJ2452">
        <v>1</v>
      </c>
      <c r="BK2452">
        <v>1</v>
      </c>
      <c r="BL2452" s="4">
        <v>50.45</v>
      </c>
      <c r="BM2452" s="4">
        <v>7.57</v>
      </c>
      <c r="BN2452" s="4">
        <v>58.02</v>
      </c>
      <c r="BO2452" s="4">
        <v>58.02</v>
      </c>
      <c r="BQ2452" t="s">
        <v>246</v>
      </c>
      <c r="BR2452" t="s">
        <v>84</v>
      </c>
      <c r="BS2452" s="3">
        <v>43791</v>
      </c>
      <c r="BT2452" s="5">
        <v>0.375</v>
      </c>
      <c r="BU2452" t="s">
        <v>599</v>
      </c>
      <c r="BV2452" t="s">
        <v>86</v>
      </c>
      <c r="BY2452">
        <v>4925.4799999999996</v>
      </c>
      <c r="CA2452" t="s">
        <v>224</v>
      </c>
      <c r="CC2452" t="s">
        <v>177</v>
      </c>
      <c r="CD2452">
        <v>3610</v>
      </c>
      <c r="CE2452" t="s">
        <v>147</v>
      </c>
      <c r="CF2452" s="3">
        <v>43794</v>
      </c>
      <c r="CI2452">
        <v>1</v>
      </c>
      <c r="CJ2452">
        <v>1</v>
      </c>
      <c r="CK2452">
        <v>21</v>
      </c>
      <c r="CL2452" t="s">
        <v>89</v>
      </c>
    </row>
    <row r="2453" spans="1:90">
      <c r="A2453" t="s">
        <v>72</v>
      </c>
      <c r="B2453" t="s">
        <v>73</v>
      </c>
      <c r="C2453" t="s">
        <v>74</v>
      </c>
      <c r="E2453" t="str">
        <f>"FES1162724141"</f>
        <v>FES1162724141</v>
      </c>
      <c r="F2453" s="3">
        <v>43790</v>
      </c>
      <c r="G2453">
        <v>202005</v>
      </c>
      <c r="H2453" t="s">
        <v>75</v>
      </c>
      <c r="I2453" t="s">
        <v>76</v>
      </c>
      <c r="J2453" t="s">
        <v>77</v>
      </c>
      <c r="K2453" t="s">
        <v>78</v>
      </c>
      <c r="L2453" t="s">
        <v>176</v>
      </c>
      <c r="M2453" t="s">
        <v>177</v>
      </c>
      <c r="N2453" t="s">
        <v>587</v>
      </c>
      <c r="O2453" t="s">
        <v>82</v>
      </c>
      <c r="P2453" t="str">
        <f>"2170718044                    "</f>
        <v xml:space="preserve">2170718044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8.58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0.2</v>
      </c>
      <c r="BJ2453">
        <v>1.1000000000000001</v>
      </c>
      <c r="BK2453">
        <v>1.5</v>
      </c>
      <c r="BL2453" s="4">
        <v>50.45</v>
      </c>
      <c r="BM2453" s="4">
        <v>7.57</v>
      </c>
      <c r="BN2453" s="4">
        <v>58.02</v>
      </c>
      <c r="BO2453" s="4">
        <v>58.02</v>
      </c>
      <c r="BQ2453" t="s">
        <v>142</v>
      </c>
      <c r="BR2453" t="s">
        <v>84</v>
      </c>
      <c r="BS2453" s="3">
        <v>43791</v>
      </c>
      <c r="BT2453" s="5">
        <v>0.38263888888888892</v>
      </c>
      <c r="BU2453" t="s">
        <v>2646</v>
      </c>
      <c r="BV2453" t="s">
        <v>86</v>
      </c>
      <c r="BY2453">
        <v>5256</v>
      </c>
      <c r="CA2453" t="s">
        <v>224</v>
      </c>
      <c r="CC2453" t="s">
        <v>177</v>
      </c>
      <c r="CD2453">
        <v>3610</v>
      </c>
      <c r="CE2453" t="s">
        <v>147</v>
      </c>
      <c r="CF2453" s="3">
        <v>43794</v>
      </c>
      <c r="CI2453">
        <v>1</v>
      </c>
      <c r="CJ2453">
        <v>1</v>
      </c>
      <c r="CK2453">
        <v>21</v>
      </c>
      <c r="CL2453" t="s">
        <v>89</v>
      </c>
    </row>
    <row r="2454" spans="1:90">
      <c r="A2454" t="s">
        <v>72</v>
      </c>
      <c r="B2454" t="s">
        <v>73</v>
      </c>
      <c r="C2454" t="s">
        <v>74</v>
      </c>
      <c r="E2454" t="str">
        <f>"FES1162724313"</f>
        <v>FES1162724313</v>
      </c>
      <c r="F2454" s="3">
        <v>43790</v>
      </c>
      <c r="G2454">
        <v>202005</v>
      </c>
      <c r="H2454" t="s">
        <v>75</v>
      </c>
      <c r="I2454" t="s">
        <v>76</v>
      </c>
      <c r="J2454" t="s">
        <v>77</v>
      </c>
      <c r="K2454" t="s">
        <v>78</v>
      </c>
      <c r="L2454" t="s">
        <v>118</v>
      </c>
      <c r="M2454" t="s">
        <v>119</v>
      </c>
      <c r="N2454" t="s">
        <v>248</v>
      </c>
      <c r="O2454" t="s">
        <v>82</v>
      </c>
      <c r="P2454" t="str">
        <f>"2170718182                    "</f>
        <v xml:space="preserve">2170718182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10.73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0.2</v>
      </c>
      <c r="BJ2454">
        <v>2.2999999999999998</v>
      </c>
      <c r="BK2454">
        <v>2.5</v>
      </c>
      <c r="BL2454" s="4">
        <v>63.06</v>
      </c>
      <c r="BM2454" s="4">
        <v>9.4600000000000009</v>
      </c>
      <c r="BN2454" s="4">
        <v>72.52</v>
      </c>
      <c r="BO2454" s="4">
        <v>72.52</v>
      </c>
      <c r="BQ2454" t="s">
        <v>121</v>
      </c>
      <c r="BR2454" t="s">
        <v>84</v>
      </c>
      <c r="BS2454" s="3">
        <v>43791</v>
      </c>
      <c r="BT2454" s="5">
        <v>0.37152777777777773</v>
      </c>
      <c r="BU2454" t="s">
        <v>623</v>
      </c>
      <c r="BV2454" t="s">
        <v>86</v>
      </c>
      <c r="BY2454">
        <v>11706.2</v>
      </c>
      <c r="CA2454" t="s">
        <v>435</v>
      </c>
      <c r="CC2454" t="s">
        <v>119</v>
      </c>
      <c r="CD2454">
        <v>3212</v>
      </c>
      <c r="CE2454" t="s">
        <v>147</v>
      </c>
      <c r="CF2454" s="3">
        <v>43794</v>
      </c>
      <c r="CI2454">
        <v>1</v>
      </c>
      <c r="CJ2454">
        <v>1</v>
      </c>
      <c r="CK2454">
        <v>21</v>
      </c>
      <c r="CL2454" t="s">
        <v>89</v>
      </c>
    </row>
    <row r="2455" spans="1:90">
      <c r="A2455" t="s">
        <v>72</v>
      </c>
      <c r="B2455" t="s">
        <v>73</v>
      </c>
      <c r="C2455" t="s">
        <v>74</v>
      </c>
      <c r="E2455" t="str">
        <f>"FES1162724263"</f>
        <v>FES1162724263</v>
      </c>
      <c r="F2455" s="3">
        <v>43790</v>
      </c>
      <c r="G2455">
        <v>202005</v>
      </c>
      <c r="H2455" t="s">
        <v>75</v>
      </c>
      <c r="I2455" t="s">
        <v>76</v>
      </c>
      <c r="J2455" t="s">
        <v>77</v>
      </c>
      <c r="K2455" t="s">
        <v>78</v>
      </c>
      <c r="L2455" t="s">
        <v>133</v>
      </c>
      <c r="M2455" t="s">
        <v>134</v>
      </c>
      <c r="N2455" t="s">
        <v>1726</v>
      </c>
      <c r="O2455" t="s">
        <v>82</v>
      </c>
      <c r="P2455" t="str">
        <f>"2170716156                    "</f>
        <v xml:space="preserve">2170716156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10.73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0.5</v>
      </c>
      <c r="BJ2455">
        <v>2.2999999999999998</v>
      </c>
      <c r="BK2455">
        <v>2.5</v>
      </c>
      <c r="BL2455" s="4">
        <v>63.06</v>
      </c>
      <c r="BM2455" s="4">
        <v>9.4600000000000009</v>
      </c>
      <c r="BN2455" s="4">
        <v>72.52</v>
      </c>
      <c r="BO2455" s="4">
        <v>72.52</v>
      </c>
      <c r="BQ2455" t="s">
        <v>1727</v>
      </c>
      <c r="BR2455" t="s">
        <v>84</v>
      </c>
      <c r="BS2455" s="3">
        <v>43791</v>
      </c>
      <c r="BT2455" s="5">
        <v>0.43402777777777773</v>
      </c>
      <c r="BU2455" t="s">
        <v>2647</v>
      </c>
      <c r="BV2455" t="s">
        <v>86</v>
      </c>
      <c r="BY2455">
        <v>11486.64</v>
      </c>
      <c r="CA2455" t="s">
        <v>2648</v>
      </c>
      <c r="CC2455" t="s">
        <v>134</v>
      </c>
      <c r="CD2455">
        <v>5201</v>
      </c>
      <c r="CE2455" t="s">
        <v>147</v>
      </c>
      <c r="CF2455" s="3">
        <v>43795</v>
      </c>
      <c r="CI2455">
        <v>1</v>
      </c>
      <c r="CJ2455">
        <v>1</v>
      </c>
      <c r="CK2455">
        <v>21</v>
      </c>
      <c r="CL2455" t="s">
        <v>89</v>
      </c>
    </row>
    <row r="2456" spans="1:90">
      <c r="A2456" t="s">
        <v>72</v>
      </c>
      <c r="B2456" t="s">
        <v>73</v>
      </c>
      <c r="C2456" t="s">
        <v>74</v>
      </c>
      <c r="E2456" t="str">
        <f>"FES1162724311"</f>
        <v>FES1162724311</v>
      </c>
      <c r="F2456" s="3">
        <v>43790</v>
      </c>
      <c r="G2456">
        <v>202005</v>
      </c>
      <c r="H2456" t="s">
        <v>75</v>
      </c>
      <c r="I2456" t="s">
        <v>76</v>
      </c>
      <c r="J2456" t="s">
        <v>77</v>
      </c>
      <c r="K2456" t="s">
        <v>78</v>
      </c>
      <c r="L2456" t="s">
        <v>184</v>
      </c>
      <c r="M2456" t="s">
        <v>185</v>
      </c>
      <c r="N2456" t="s">
        <v>735</v>
      </c>
      <c r="O2456" t="s">
        <v>82</v>
      </c>
      <c r="P2456" t="str">
        <f>"2170718174                    "</f>
        <v xml:space="preserve">2170718174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11.53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4.8</v>
      </c>
      <c r="BJ2456">
        <v>3.2</v>
      </c>
      <c r="BK2456">
        <v>5</v>
      </c>
      <c r="BL2456" s="4">
        <v>67.760000000000005</v>
      </c>
      <c r="BM2456" s="4">
        <v>10.16</v>
      </c>
      <c r="BN2456" s="4">
        <v>77.92</v>
      </c>
      <c r="BO2456" s="4">
        <v>77.92</v>
      </c>
      <c r="BQ2456" t="s">
        <v>121</v>
      </c>
      <c r="BR2456" t="s">
        <v>84</v>
      </c>
      <c r="BS2456" s="3">
        <v>43791</v>
      </c>
      <c r="BT2456" s="5">
        <v>0.34513888888888888</v>
      </c>
      <c r="BU2456" t="s">
        <v>1503</v>
      </c>
      <c r="BV2456" t="s">
        <v>86</v>
      </c>
      <c r="BY2456">
        <v>15987.13</v>
      </c>
      <c r="CA2456" t="s">
        <v>1336</v>
      </c>
      <c r="CC2456" t="s">
        <v>185</v>
      </c>
      <c r="CD2456">
        <v>1500</v>
      </c>
      <c r="CE2456" t="s">
        <v>88</v>
      </c>
      <c r="CF2456" s="3">
        <v>43794</v>
      </c>
      <c r="CI2456">
        <v>1</v>
      </c>
      <c r="CJ2456">
        <v>1</v>
      </c>
      <c r="CK2456">
        <v>22</v>
      </c>
      <c r="CL2456" t="s">
        <v>89</v>
      </c>
    </row>
    <row r="2457" spans="1:90">
      <c r="A2457" t="s">
        <v>72</v>
      </c>
      <c r="B2457" t="s">
        <v>73</v>
      </c>
      <c r="C2457" t="s">
        <v>74</v>
      </c>
      <c r="E2457" t="str">
        <f>"FES1162724269"</f>
        <v>FES1162724269</v>
      </c>
      <c r="F2457" s="3">
        <v>43790</v>
      </c>
      <c r="G2457">
        <v>202005</v>
      </c>
      <c r="H2457" t="s">
        <v>75</v>
      </c>
      <c r="I2457" t="s">
        <v>76</v>
      </c>
      <c r="J2457" t="s">
        <v>77</v>
      </c>
      <c r="K2457" t="s">
        <v>78</v>
      </c>
      <c r="L2457" t="s">
        <v>482</v>
      </c>
      <c r="M2457" t="s">
        <v>483</v>
      </c>
      <c r="N2457" t="s">
        <v>594</v>
      </c>
      <c r="O2457" t="s">
        <v>82</v>
      </c>
      <c r="P2457" t="str">
        <f>"2170716211                    "</f>
        <v xml:space="preserve">2170716211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6.71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0.2</v>
      </c>
      <c r="BJ2457">
        <v>0.7</v>
      </c>
      <c r="BK2457">
        <v>1</v>
      </c>
      <c r="BL2457" s="4">
        <v>39.42</v>
      </c>
      <c r="BM2457" s="4">
        <v>5.91</v>
      </c>
      <c r="BN2457" s="4">
        <v>45.33</v>
      </c>
      <c r="BO2457" s="4">
        <v>45.33</v>
      </c>
      <c r="BQ2457" t="s">
        <v>109</v>
      </c>
      <c r="BR2457" t="s">
        <v>84</v>
      </c>
      <c r="BS2457" s="3">
        <v>43791</v>
      </c>
      <c r="BT2457" s="5">
        <v>0.4375</v>
      </c>
      <c r="BU2457" t="s">
        <v>2452</v>
      </c>
      <c r="BV2457" t="s">
        <v>86</v>
      </c>
      <c r="BY2457">
        <v>3740.66</v>
      </c>
      <c r="CC2457" t="s">
        <v>483</v>
      </c>
      <c r="CD2457">
        <v>1459</v>
      </c>
      <c r="CE2457" t="s">
        <v>88</v>
      </c>
      <c r="CF2457" s="3">
        <v>43796</v>
      </c>
      <c r="CI2457">
        <v>1</v>
      </c>
      <c r="CJ2457">
        <v>1</v>
      </c>
      <c r="CK2457">
        <v>22</v>
      </c>
      <c r="CL2457" t="s">
        <v>89</v>
      </c>
    </row>
    <row r="2458" spans="1:90">
      <c r="A2458" t="s">
        <v>72</v>
      </c>
      <c r="B2458" t="s">
        <v>73</v>
      </c>
      <c r="C2458" t="s">
        <v>74</v>
      </c>
      <c r="E2458" t="str">
        <f>"FES1162724252"</f>
        <v>FES1162724252</v>
      </c>
      <c r="F2458" s="3">
        <v>43790</v>
      </c>
      <c r="G2458">
        <v>202005</v>
      </c>
      <c r="H2458" t="s">
        <v>75</v>
      </c>
      <c r="I2458" t="s">
        <v>76</v>
      </c>
      <c r="J2458" t="s">
        <v>77</v>
      </c>
      <c r="K2458" t="s">
        <v>78</v>
      </c>
      <c r="L2458" t="s">
        <v>825</v>
      </c>
      <c r="M2458" t="s">
        <v>826</v>
      </c>
      <c r="N2458" t="s">
        <v>939</v>
      </c>
      <c r="O2458" t="s">
        <v>82</v>
      </c>
      <c r="P2458" t="str">
        <f>"2170715088                    "</f>
        <v xml:space="preserve">2170715088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12.07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0.2</v>
      </c>
      <c r="BJ2458">
        <v>0.8</v>
      </c>
      <c r="BK2458">
        <v>1</v>
      </c>
      <c r="BL2458" s="4">
        <v>70.95</v>
      </c>
      <c r="BM2458" s="4">
        <v>10.64</v>
      </c>
      <c r="BN2458" s="4">
        <v>81.59</v>
      </c>
      <c r="BO2458" s="4">
        <v>81.59</v>
      </c>
      <c r="BQ2458" t="s">
        <v>109</v>
      </c>
      <c r="BR2458" t="s">
        <v>84</v>
      </c>
      <c r="BS2458" s="3">
        <v>43791</v>
      </c>
      <c r="BT2458" s="5">
        <v>0.40277777777777773</v>
      </c>
      <c r="BU2458" t="s">
        <v>378</v>
      </c>
      <c r="BV2458" t="s">
        <v>86</v>
      </c>
      <c r="BY2458">
        <v>4236.38</v>
      </c>
      <c r="CC2458" t="s">
        <v>826</v>
      </c>
      <c r="CD2458">
        <v>1759</v>
      </c>
      <c r="CE2458" t="s">
        <v>88</v>
      </c>
      <c r="CF2458" s="3">
        <v>43794</v>
      </c>
      <c r="CI2458">
        <v>1</v>
      </c>
      <c r="CJ2458">
        <v>1</v>
      </c>
      <c r="CK2458">
        <v>24</v>
      </c>
      <c r="CL2458" t="s">
        <v>89</v>
      </c>
    </row>
    <row r="2459" spans="1:90">
      <c r="A2459" t="s">
        <v>72</v>
      </c>
      <c r="B2459" t="s">
        <v>73</v>
      </c>
      <c r="C2459" t="s">
        <v>74</v>
      </c>
      <c r="E2459" t="str">
        <f>"FES1162724135"</f>
        <v>FES1162724135</v>
      </c>
      <c r="F2459" s="3">
        <v>43790</v>
      </c>
      <c r="G2459">
        <v>202005</v>
      </c>
      <c r="H2459" t="s">
        <v>75</v>
      </c>
      <c r="I2459" t="s">
        <v>76</v>
      </c>
      <c r="J2459" t="s">
        <v>77</v>
      </c>
      <c r="K2459" t="s">
        <v>78</v>
      </c>
      <c r="L2459" t="s">
        <v>202</v>
      </c>
      <c r="M2459" t="s">
        <v>203</v>
      </c>
      <c r="N2459" t="s">
        <v>1225</v>
      </c>
      <c r="O2459" t="s">
        <v>82</v>
      </c>
      <c r="P2459" t="str">
        <f>"2170718104                    "</f>
        <v xml:space="preserve">2170718104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6.71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1.4</v>
      </c>
      <c r="BK2459">
        <v>1.5</v>
      </c>
      <c r="BL2459" s="4">
        <v>39.42</v>
      </c>
      <c r="BM2459" s="4">
        <v>5.91</v>
      </c>
      <c r="BN2459" s="4">
        <v>45.33</v>
      </c>
      <c r="BO2459" s="4">
        <v>45.33</v>
      </c>
      <c r="BQ2459" t="s">
        <v>2649</v>
      </c>
      <c r="BR2459" t="s">
        <v>84</v>
      </c>
      <c r="BS2459" s="3">
        <v>43791</v>
      </c>
      <c r="BT2459" s="5">
        <v>0.28958333333333336</v>
      </c>
      <c r="BU2459" t="s">
        <v>1227</v>
      </c>
      <c r="BV2459" t="s">
        <v>86</v>
      </c>
      <c r="BY2459">
        <v>6937.2</v>
      </c>
      <c r="CA2459" t="s">
        <v>1181</v>
      </c>
      <c r="CC2459" t="s">
        <v>203</v>
      </c>
      <c r="CD2459">
        <v>1401</v>
      </c>
      <c r="CE2459" t="s">
        <v>88</v>
      </c>
      <c r="CF2459" s="3">
        <v>43795</v>
      </c>
      <c r="CI2459">
        <v>1</v>
      </c>
      <c r="CJ2459">
        <v>1</v>
      </c>
      <c r="CK2459">
        <v>22</v>
      </c>
      <c r="CL2459" t="s">
        <v>89</v>
      </c>
    </row>
    <row r="2460" spans="1:90">
      <c r="A2460" t="s">
        <v>72</v>
      </c>
      <c r="B2460" t="s">
        <v>73</v>
      </c>
      <c r="C2460" t="s">
        <v>74</v>
      </c>
      <c r="E2460" t="str">
        <f>"FES1162724437"</f>
        <v>FES1162724437</v>
      </c>
      <c r="F2460" s="3">
        <v>43790</v>
      </c>
      <c r="G2460">
        <v>202005</v>
      </c>
      <c r="H2460" t="s">
        <v>75</v>
      </c>
      <c r="I2460" t="s">
        <v>76</v>
      </c>
      <c r="J2460" t="s">
        <v>77</v>
      </c>
      <c r="K2460" t="s">
        <v>78</v>
      </c>
      <c r="L2460" t="s">
        <v>681</v>
      </c>
      <c r="M2460" t="s">
        <v>682</v>
      </c>
      <c r="N2460" t="s">
        <v>2569</v>
      </c>
      <c r="O2460" t="s">
        <v>82</v>
      </c>
      <c r="P2460" t="str">
        <f>"2170717993                    "</f>
        <v xml:space="preserve">2170717993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12.07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1.2</v>
      </c>
      <c r="BJ2460">
        <v>1</v>
      </c>
      <c r="BK2460">
        <v>1.5</v>
      </c>
      <c r="BL2460" s="4">
        <v>70.95</v>
      </c>
      <c r="BM2460" s="4">
        <v>10.64</v>
      </c>
      <c r="BN2460" s="4">
        <v>81.59</v>
      </c>
      <c r="BO2460" s="4">
        <v>81.59</v>
      </c>
      <c r="BQ2460" t="s">
        <v>142</v>
      </c>
      <c r="BR2460" t="s">
        <v>84</v>
      </c>
      <c r="BS2460" s="3">
        <v>43791</v>
      </c>
      <c r="BT2460" s="5">
        <v>0.33333333333333331</v>
      </c>
      <c r="BU2460" t="s">
        <v>2570</v>
      </c>
      <c r="BV2460" t="s">
        <v>86</v>
      </c>
      <c r="BY2460">
        <v>4964.7</v>
      </c>
      <c r="CA2460" t="s">
        <v>1224</v>
      </c>
      <c r="CC2460" t="s">
        <v>682</v>
      </c>
      <c r="CD2460">
        <v>1929</v>
      </c>
      <c r="CE2460" t="s">
        <v>88</v>
      </c>
      <c r="CF2460" s="3">
        <v>43794</v>
      </c>
      <c r="CI2460">
        <v>1</v>
      </c>
      <c r="CJ2460">
        <v>1</v>
      </c>
      <c r="CK2460">
        <v>24</v>
      </c>
      <c r="CL2460" t="s">
        <v>89</v>
      </c>
    </row>
    <row r="2461" spans="1:90">
      <c r="A2461" t="s">
        <v>72</v>
      </c>
      <c r="B2461" t="s">
        <v>73</v>
      </c>
      <c r="C2461" t="s">
        <v>74</v>
      </c>
      <c r="E2461" t="str">
        <f>"FES1162724131"</f>
        <v>FES1162724131</v>
      </c>
      <c r="F2461" s="3">
        <v>43790</v>
      </c>
      <c r="G2461">
        <v>202005</v>
      </c>
      <c r="H2461" t="s">
        <v>75</v>
      </c>
      <c r="I2461" t="s">
        <v>76</v>
      </c>
      <c r="J2461" t="s">
        <v>77</v>
      </c>
      <c r="K2461" t="s">
        <v>78</v>
      </c>
      <c r="L2461" t="s">
        <v>482</v>
      </c>
      <c r="M2461" t="s">
        <v>483</v>
      </c>
      <c r="N2461" t="s">
        <v>1153</v>
      </c>
      <c r="O2461" t="s">
        <v>82</v>
      </c>
      <c r="P2461" t="str">
        <f>"2170718095                    "</f>
        <v xml:space="preserve">2170718095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6.71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0.2</v>
      </c>
      <c r="BJ2461">
        <v>1</v>
      </c>
      <c r="BK2461">
        <v>1</v>
      </c>
      <c r="BL2461" s="4">
        <v>39.42</v>
      </c>
      <c r="BM2461" s="4">
        <v>5.91</v>
      </c>
      <c r="BN2461" s="4">
        <v>45.33</v>
      </c>
      <c r="BO2461" s="4">
        <v>45.33</v>
      </c>
      <c r="BP2461" t="s">
        <v>757</v>
      </c>
      <c r="BQ2461" t="s">
        <v>109</v>
      </c>
      <c r="BR2461" t="s">
        <v>84</v>
      </c>
      <c r="BS2461" s="3">
        <v>43791</v>
      </c>
      <c r="BT2461" s="5">
        <v>0.27361111111111108</v>
      </c>
      <c r="BU2461" t="s">
        <v>2650</v>
      </c>
      <c r="BV2461" t="s">
        <v>86</v>
      </c>
      <c r="BY2461">
        <v>5116.32</v>
      </c>
      <c r="CA2461" t="s">
        <v>1336</v>
      </c>
      <c r="CC2461" t="s">
        <v>483</v>
      </c>
      <c r="CD2461">
        <v>1459</v>
      </c>
      <c r="CE2461" t="s">
        <v>88</v>
      </c>
      <c r="CF2461" s="3">
        <v>43794</v>
      </c>
      <c r="CI2461">
        <v>1</v>
      </c>
      <c r="CJ2461">
        <v>1</v>
      </c>
      <c r="CK2461">
        <v>22</v>
      </c>
      <c r="CL2461" t="s">
        <v>89</v>
      </c>
    </row>
    <row r="2462" spans="1:90">
      <c r="A2462" t="s">
        <v>72</v>
      </c>
      <c r="B2462" t="s">
        <v>73</v>
      </c>
      <c r="C2462" t="s">
        <v>74</v>
      </c>
      <c r="E2462" t="str">
        <f>"FES1162724295"</f>
        <v>FES1162724295</v>
      </c>
      <c r="F2462" s="3">
        <v>43790</v>
      </c>
      <c r="G2462">
        <v>202005</v>
      </c>
      <c r="H2462" t="s">
        <v>75</v>
      </c>
      <c r="I2462" t="s">
        <v>76</v>
      </c>
      <c r="J2462" t="s">
        <v>77</v>
      </c>
      <c r="K2462" t="s">
        <v>78</v>
      </c>
      <c r="L2462" t="s">
        <v>2651</v>
      </c>
      <c r="M2462" t="s">
        <v>2651</v>
      </c>
      <c r="N2462" t="s">
        <v>2652</v>
      </c>
      <c r="O2462" t="s">
        <v>82</v>
      </c>
      <c r="P2462" t="str">
        <f>"2170717860                    "</f>
        <v xml:space="preserve">2170717860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16.63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0.2</v>
      </c>
      <c r="BJ2462">
        <v>1.1000000000000001</v>
      </c>
      <c r="BK2462">
        <v>1.5</v>
      </c>
      <c r="BL2462" s="4">
        <v>97.75</v>
      </c>
      <c r="BM2462" s="4">
        <v>14.66</v>
      </c>
      <c r="BN2462" s="4">
        <v>112.41</v>
      </c>
      <c r="BO2462" s="4">
        <v>112.41</v>
      </c>
      <c r="BQ2462" t="s">
        <v>121</v>
      </c>
      <c r="BR2462" t="s">
        <v>84</v>
      </c>
      <c r="BS2462" s="3">
        <v>43791</v>
      </c>
      <c r="BT2462" s="5">
        <v>0.43055555555555558</v>
      </c>
      <c r="BU2462" t="s">
        <v>2653</v>
      </c>
      <c r="BV2462" t="s">
        <v>86</v>
      </c>
      <c r="BY2462">
        <v>5599.8</v>
      </c>
      <c r="CA2462" t="s">
        <v>2654</v>
      </c>
      <c r="CC2462" t="s">
        <v>2651</v>
      </c>
      <c r="CD2462">
        <v>9585</v>
      </c>
      <c r="CE2462" t="s">
        <v>88</v>
      </c>
      <c r="CF2462" s="3">
        <v>43795</v>
      </c>
      <c r="CI2462">
        <v>1</v>
      </c>
      <c r="CJ2462">
        <v>1</v>
      </c>
      <c r="CK2462">
        <v>23</v>
      </c>
      <c r="CL2462" t="s">
        <v>89</v>
      </c>
    </row>
    <row r="2463" spans="1:90">
      <c r="A2463" t="s">
        <v>72</v>
      </c>
      <c r="B2463" t="s">
        <v>73</v>
      </c>
      <c r="C2463" t="s">
        <v>74</v>
      </c>
      <c r="E2463" t="str">
        <f>"FES1162724432"</f>
        <v>FES1162724432</v>
      </c>
      <c r="F2463" s="3">
        <v>43790</v>
      </c>
      <c r="G2463">
        <v>202005</v>
      </c>
      <c r="H2463" t="s">
        <v>75</v>
      </c>
      <c r="I2463" t="s">
        <v>76</v>
      </c>
      <c r="J2463" t="s">
        <v>77</v>
      </c>
      <c r="K2463" t="s">
        <v>78</v>
      </c>
      <c r="L2463" t="s">
        <v>344</v>
      </c>
      <c r="M2463" t="s">
        <v>345</v>
      </c>
      <c r="N2463" t="s">
        <v>2379</v>
      </c>
      <c r="O2463" t="s">
        <v>82</v>
      </c>
      <c r="P2463" t="str">
        <f>"2170717507                    "</f>
        <v xml:space="preserve">2170717507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7.51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2.2999999999999998</v>
      </c>
      <c r="BJ2463">
        <v>1.6</v>
      </c>
      <c r="BK2463">
        <v>2.5</v>
      </c>
      <c r="BL2463" s="4">
        <v>44.14</v>
      </c>
      <c r="BM2463" s="4">
        <v>6.62</v>
      </c>
      <c r="BN2463" s="4">
        <v>50.76</v>
      </c>
      <c r="BO2463" s="4">
        <v>50.76</v>
      </c>
      <c r="BQ2463" t="s">
        <v>142</v>
      </c>
      <c r="BR2463" t="s">
        <v>84</v>
      </c>
      <c r="BS2463" s="3">
        <v>43791</v>
      </c>
      <c r="BT2463" s="5">
        <v>0.35972222222222222</v>
      </c>
      <c r="BU2463" t="s">
        <v>2655</v>
      </c>
      <c r="BV2463" t="s">
        <v>86</v>
      </c>
      <c r="BY2463">
        <v>8045.24</v>
      </c>
      <c r="CA2463" t="s">
        <v>348</v>
      </c>
      <c r="CC2463" t="s">
        <v>345</v>
      </c>
      <c r="CD2463">
        <v>2162</v>
      </c>
      <c r="CE2463" t="s">
        <v>88</v>
      </c>
      <c r="CF2463" s="3">
        <v>43795</v>
      </c>
      <c r="CI2463">
        <v>1</v>
      </c>
      <c r="CJ2463">
        <v>1</v>
      </c>
      <c r="CK2463">
        <v>22</v>
      </c>
      <c r="CL2463" t="s">
        <v>89</v>
      </c>
    </row>
    <row r="2464" spans="1:90">
      <c r="A2464" t="s">
        <v>72</v>
      </c>
      <c r="B2464" t="s">
        <v>73</v>
      </c>
      <c r="C2464" t="s">
        <v>74</v>
      </c>
      <c r="E2464" t="str">
        <f>"FES1162724322"</f>
        <v>FES1162724322</v>
      </c>
      <c r="F2464" s="3">
        <v>43790</v>
      </c>
      <c r="G2464">
        <v>202005</v>
      </c>
      <c r="H2464" t="s">
        <v>75</v>
      </c>
      <c r="I2464" t="s">
        <v>76</v>
      </c>
      <c r="J2464" t="s">
        <v>77</v>
      </c>
      <c r="K2464" t="s">
        <v>78</v>
      </c>
      <c r="L2464" t="s">
        <v>118</v>
      </c>
      <c r="M2464" t="s">
        <v>119</v>
      </c>
      <c r="N2464" t="s">
        <v>630</v>
      </c>
      <c r="O2464" t="s">
        <v>82</v>
      </c>
      <c r="P2464" t="str">
        <f>"2170718189                    "</f>
        <v xml:space="preserve">2170718189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8.58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0.2</v>
      </c>
      <c r="BJ2464">
        <v>0.9</v>
      </c>
      <c r="BK2464">
        <v>1</v>
      </c>
      <c r="BL2464" s="4">
        <v>50.45</v>
      </c>
      <c r="BM2464" s="4">
        <v>7.57</v>
      </c>
      <c r="BN2464" s="4">
        <v>58.02</v>
      </c>
      <c r="BO2464" s="4">
        <v>58.02</v>
      </c>
      <c r="BQ2464" t="s">
        <v>121</v>
      </c>
      <c r="BR2464" t="s">
        <v>84</v>
      </c>
      <c r="BS2464" s="3">
        <v>43791</v>
      </c>
      <c r="BT2464" s="5">
        <v>0.34375</v>
      </c>
      <c r="BU2464" t="s">
        <v>631</v>
      </c>
      <c r="BV2464" t="s">
        <v>86</v>
      </c>
      <c r="BY2464">
        <v>4482.59</v>
      </c>
      <c r="CA2464" t="s">
        <v>632</v>
      </c>
      <c r="CC2464" t="s">
        <v>119</v>
      </c>
      <c r="CD2464">
        <v>3201</v>
      </c>
      <c r="CE2464" t="s">
        <v>88</v>
      </c>
      <c r="CF2464" s="3">
        <v>43794</v>
      </c>
      <c r="CI2464">
        <v>1</v>
      </c>
      <c r="CJ2464">
        <v>1</v>
      </c>
      <c r="CK2464">
        <v>21</v>
      </c>
      <c r="CL2464" t="s">
        <v>89</v>
      </c>
    </row>
    <row r="2465" spans="1:90">
      <c r="A2465" t="s">
        <v>72</v>
      </c>
      <c r="B2465" t="s">
        <v>73</v>
      </c>
      <c r="C2465" t="s">
        <v>74</v>
      </c>
      <c r="E2465" t="str">
        <f>"FES1162724354"</f>
        <v>FES1162724354</v>
      </c>
      <c r="F2465" s="3">
        <v>43790</v>
      </c>
      <c r="G2465">
        <v>202005</v>
      </c>
      <c r="H2465" t="s">
        <v>75</v>
      </c>
      <c r="I2465" t="s">
        <v>76</v>
      </c>
      <c r="J2465" t="s">
        <v>77</v>
      </c>
      <c r="K2465" t="s">
        <v>78</v>
      </c>
      <c r="L2465" t="s">
        <v>106</v>
      </c>
      <c r="M2465" t="s">
        <v>107</v>
      </c>
      <c r="N2465" t="s">
        <v>108</v>
      </c>
      <c r="O2465" t="s">
        <v>82</v>
      </c>
      <c r="P2465" t="str">
        <f>"217071445                     "</f>
        <v xml:space="preserve">217071445 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8.58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0.2</v>
      </c>
      <c r="BJ2465">
        <v>0.9</v>
      </c>
      <c r="BK2465">
        <v>1</v>
      </c>
      <c r="BL2465" s="4">
        <v>50.45</v>
      </c>
      <c r="BM2465" s="4">
        <v>7.57</v>
      </c>
      <c r="BN2465" s="4">
        <v>58.02</v>
      </c>
      <c r="BO2465" s="4">
        <v>58.02</v>
      </c>
      <c r="BQ2465" t="s">
        <v>109</v>
      </c>
      <c r="BR2465" t="s">
        <v>84</v>
      </c>
      <c r="BS2465" s="3">
        <v>43791</v>
      </c>
      <c r="BT2465" s="5">
        <v>0.37152777777777773</v>
      </c>
      <c r="BU2465" t="s">
        <v>110</v>
      </c>
      <c r="BV2465" t="s">
        <v>86</v>
      </c>
      <c r="BY2465">
        <v>4322.6400000000003</v>
      </c>
      <c r="CA2465" t="s">
        <v>111</v>
      </c>
      <c r="CC2465" t="s">
        <v>107</v>
      </c>
      <c r="CD2465">
        <v>6001</v>
      </c>
      <c r="CE2465" t="s">
        <v>147</v>
      </c>
      <c r="CF2465" s="3">
        <v>43794</v>
      </c>
      <c r="CI2465">
        <v>1</v>
      </c>
      <c r="CJ2465">
        <v>1</v>
      </c>
      <c r="CK2465">
        <v>21</v>
      </c>
      <c r="CL2465" t="s">
        <v>89</v>
      </c>
    </row>
    <row r="2466" spans="1:90">
      <c r="A2466" t="s">
        <v>72</v>
      </c>
      <c r="B2466" t="s">
        <v>73</v>
      </c>
      <c r="C2466" t="s">
        <v>74</v>
      </c>
      <c r="E2466" t="str">
        <f>"FES1162724475"</f>
        <v>FES1162724475</v>
      </c>
      <c r="F2466" s="3">
        <v>43790</v>
      </c>
      <c r="G2466">
        <v>202005</v>
      </c>
      <c r="H2466" t="s">
        <v>75</v>
      </c>
      <c r="I2466" t="s">
        <v>76</v>
      </c>
      <c r="J2466" t="s">
        <v>77</v>
      </c>
      <c r="K2466" t="s">
        <v>78</v>
      </c>
      <c r="L2466" t="s">
        <v>106</v>
      </c>
      <c r="M2466" t="s">
        <v>107</v>
      </c>
      <c r="N2466" t="s">
        <v>150</v>
      </c>
      <c r="O2466" t="s">
        <v>82</v>
      </c>
      <c r="P2466" t="str">
        <f>"21707187216                   "</f>
        <v xml:space="preserve">21707187216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8.58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0.2</v>
      </c>
      <c r="BJ2466">
        <v>1.3</v>
      </c>
      <c r="BK2466">
        <v>1.5</v>
      </c>
      <c r="BL2466" s="4">
        <v>50.45</v>
      </c>
      <c r="BM2466" s="4">
        <v>7.57</v>
      </c>
      <c r="BN2466" s="4">
        <v>58.02</v>
      </c>
      <c r="BO2466" s="4">
        <v>58.02</v>
      </c>
      <c r="BQ2466" t="s">
        <v>109</v>
      </c>
      <c r="BR2466" t="s">
        <v>84</v>
      </c>
      <c r="BS2466" s="3">
        <v>43791</v>
      </c>
      <c r="BT2466" s="5">
        <v>0.3659722222222222</v>
      </c>
      <c r="BU2466" t="s">
        <v>151</v>
      </c>
      <c r="BV2466" t="s">
        <v>86</v>
      </c>
      <c r="BY2466">
        <v>6515.85</v>
      </c>
      <c r="CA2466" t="s">
        <v>111</v>
      </c>
      <c r="CC2466" t="s">
        <v>107</v>
      </c>
      <c r="CD2466">
        <v>6001</v>
      </c>
      <c r="CE2466" t="s">
        <v>147</v>
      </c>
      <c r="CF2466" s="3">
        <v>43794</v>
      </c>
      <c r="CI2466">
        <v>1</v>
      </c>
      <c r="CJ2466">
        <v>1</v>
      </c>
      <c r="CK2466">
        <v>21</v>
      </c>
      <c r="CL2466" t="s">
        <v>89</v>
      </c>
    </row>
    <row r="2467" spans="1:90">
      <c r="A2467" t="s">
        <v>72</v>
      </c>
      <c r="B2467" t="s">
        <v>73</v>
      </c>
      <c r="C2467" t="s">
        <v>74</v>
      </c>
      <c r="E2467" t="str">
        <f>"FES1162724304"</f>
        <v>FES1162724304</v>
      </c>
      <c r="F2467" s="3">
        <v>43790</v>
      </c>
      <c r="G2467">
        <v>202005</v>
      </c>
      <c r="H2467" t="s">
        <v>75</v>
      </c>
      <c r="I2467" t="s">
        <v>76</v>
      </c>
      <c r="J2467" t="s">
        <v>77</v>
      </c>
      <c r="K2467" t="s">
        <v>78</v>
      </c>
      <c r="L2467" t="s">
        <v>304</v>
      </c>
      <c r="M2467" t="s">
        <v>305</v>
      </c>
      <c r="N2467" t="s">
        <v>306</v>
      </c>
      <c r="O2467" t="s">
        <v>82</v>
      </c>
      <c r="P2467" t="str">
        <f>"2170718167                    "</f>
        <v xml:space="preserve">2170718167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16.63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0.2</v>
      </c>
      <c r="BJ2467">
        <v>1.5</v>
      </c>
      <c r="BK2467">
        <v>1.5</v>
      </c>
      <c r="BL2467" s="4">
        <v>97.75</v>
      </c>
      <c r="BM2467" s="4">
        <v>14.66</v>
      </c>
      <c r="BN2467" s="4">
        <v>112.41</v>
      </c>
      <c r="BO2467" s="4">
        <v>112.41</v>
      </c>
      <c r="BQ2467" t="s">
        <v>121</v>
      </c>
      <c r="BR2467" t="s">
        <v>84</v>
      </c>
      <c r="BS2467" s="3">
        <v>43791</v>
      </c>
      <c r="BT2467" s="5">
        <v>0.41666666666666669</v>
      </c>
      <c r="BU2467" t="s">
        <v>2656</v>
      </c>
      <c r="BV2467" t="s">
        <v>86</v>
      </c>
      <c r="BY2467">
        <v>7677.45</v>
      </c>
      <c r="CC2467" t="s">
        <v>305</v>
      </c>
      <c r="CD2467">
        <v>5605</v>
      </c>
      <c r="CE2467" t="s">
        <v>147</v>
      </c>
      <c r="CF2467" s="3">
        <v>43795</v>
      </c>
      <c r="CI2467">
        <v>4</v>
      </c>
      <c r="CJ2467">
        <v>1</v>
      </c>
      <c r="CK2467">
        <v>23</v>
      </c>
      <c r="CL2467" t="s">
        <v>89</v>
      </c>
    </row>
    <row r="2468" spans="1:90">
      <c r="A2468" t="s">
        <v>72</v>
      </c>
      <c r="B2468" t="s">
        <v>73</v>
      </c>
      <c r="C2468" t="s">
        <v>74</v>
      </c>
      <c r="E2468" t="str">
        <f>"FES1162724218"</f>
        <v>FES1162724218</v>
      </c>
      <c r="F2468" s="3">
        <v>43790</v>
      </c>
      <c r="G2468">
        <v>202005</v>
      </c>
      <c r="H2468" t="s">
        <v>75</v>
      </c>
      <c r="I2468" t="s">
        <v>76</v>
      </c>
      <c r="J2468" t="s">
        <v>77</v>
      </c>
      <c r="K2468" t="s">
        <v>78</v>
      </c>
      <c r="L2468" t="s">
        <v>118</v>
      </c>
      <c r="M2468" t="s">
        <v>119</v>
      </c>
      <c r="N2468" t="s">
        <v>897</v>
      </c>
      <c r="O2468" t="s">
        <v>82</v>
      </c>
      <c r="P2468" t="str">
        <f>"2170715545                    "</f>
        <v xml:space="preserve">2170715545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8.58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0.2</v>
      </c>
      <c r="BJ2468">
        <v>0.9</v>
      </c>
      <c r="BK2468">
        <v>1</v>
      </c>
      <c r="BL2468" s="4">
        <v>50.45</v>
      </c>
      <c r="BM2468" s="4">
        <v>7.57</v>
      </c>
      <c r="BN2468" s="4">
        <v>58.02</v>
      </c>
      <c r="BO2468" s="4">
        <v>58.02</v>
      </c>
      <c r="BQ2468" t="s">
        <v>121</v>
      </c>
      <c r="BR2468" t="s">
        <v>84</v>
      </c>
      <c r="BS2468" s="3">
        <v>43791</v>
      </c>
      <c r="BT2468" s="5">
        <v>0.41250000000000003</v>
      </c>
      <c r="BU2468" t="s">
        <v>2657</v>
      </c>
      <c r="BV2468" t="s">
        <v>86</v>
      </c>
      <c r="BY2468">
        <v>4438.72</v>
      </c>
      <c r="CA2468" t="s">
        <v>171</v>
      </c>
      <c r="CC2468" t="s">
        <v>119</v>
      </c>
      <c r="CD2468">
        <v>3201</v>
      </c>
      <c r="CE2468" t="s">
        <v>88</v>
      </c>
      <c r="CF2468" s="3">
        <v>43794</v>
      </c>
      <c r="CI2468">
        <v>1</v>
      </c>
      <c r="CJ2468">
        <v>1</v>
      </c>
      <c r="CK2468">
        <v>21</v>
      </c>
      <c r="CL2468" t="s">
        <v>89</v>
      </c>
    </row>
    <row r="2469" spans="1:90">
      <c r="A2469" t="s">
        <v>72</v>
      </c>
      <c r="B2469" t="s">
        <v>73</v>
      </c>
      <c r="C2469" t="s">
        <v>74</v>
      </c>
      <c r="E2469" t="str">
        <f>"FES1162724170"</f>
        <v>FES1162724170</v>
      </c>
      <c r="F2469" s="3">
        <v>43790</v>
      </c>
      <c r="G2469">
        <v>202005</v>
      </c>
      <c r="H2469" t="s">
        <v>75</v>
      </c>
      <c r="I2469" t="s">
        <v>76</v>
      </c>
      <c r="J2469" t="s">
        <v>77</v>
      </c>
      <c r="K2469" t="s">
        <v>78</v>
      </c>
      <c r="L2469" t="s">
        <v>296</v>
      </c>
      <c r="M2469" t="s">
        <v>297</v>
      </c>
      <c r="N2469" t="s">
        <v>298</v>
      </c>
      <c r="O2469" t="s">
        <v>82</v>
      </c>
      <c r="P2469" t="str">
        <f>"2170717971                    "</f>
        <v xml:space="preserve">2170717971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16.63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0.2</v>
      </c>
      <c r="BJ2469">
        <v>0.9</v>
      </c>
      <c r="BK2469">
        <v>1</v>
      </c>
      <c r="BL2469" s="4">
        <v>97.75</v>
      </c>
      <c r="BM2469" s="4">
        <v>14.66</v>
      </c>
      <c r="BN2469" s="4">
        <v>112.41</v>
      </c>
      <c r="BO2469" s="4">
        <v>112.41</v>
      </c>
      <c r="BQ2469" t="s">
        <v>121</v>
      </c>
      <c r="BR2469" t="s">
        <v>84</v>
      </c>
      <c r="BS2469" s="3">
        <v>43794</v>
      </c>
      <c r="BT2469" s="5">
        <v>0.54722222222222217</v>
      </c>
      <c r="BU2469" t="s">
        <v>2658</v>
      </c>
      <c r="BV2469" t="s">
        <v>86</v>
      </c>
      <c r="BY2469">
        <v>4382.46</v>
      </c>
      <c r="CA2469" t="s">
        <v>300</v>
      </c>
      <c r="CC2469" t="s">
        <v>297</v>
      </c>
      <c r="CD2469">
        <v>6849</v>
      </c>
      <c r="CE2469" t="s">
        <v>88</v>
      </c>
      <c r="CF2469" s="3">
        <v>43795</v>
      </c>
      <c r="CI2469">
        <v>3</v>
      </c>
      <c r="CJ2469">
        <v>2</v>
      </c>
      <c r="CK2469">
        <v>23</v>
      </c>
      <c r="CL2469" t="s">
        <v>89</v>
      </c>
    </row>
    <row r="2470" spans="1:90">
      <c r="A2470" t="s">
        <v>72</v>
      </c>
      <c r="B2470" t="s">
        <v>73</v>
      </c>
      <c r="C2470" t="s">
        <v>74</v>
      </c>
      <c r="E2470" t="str">
        <f>"FES1162724298"</f>
        <v>FES1162724298</v>
      </c>
      <c r="F2470" s="3">
        <v>43790</v>
      </c>
      <c r="G2470">
        <v>202005</v>
      </c>
      <c r="H2470" t="s">
        <v>75</v>
      </c>
      <c r="I2470" t="s">
        <v>76</v>
      </c>
      <c r="J2470" t="s">
        <v>77</v>
      </c>
      <c r="K2470" t="s">
        <v>78</v>
      </c>
      <c r="L2470" t="s">
        <v>133</v>
      </c>
      <c r="M2470" t="s">
        <v>134</v>
      </c>
      <c r="N2470" t="s">
        <v>135</v>
      </c>
      <c r="O2470" t="s">
        <v>82</v>
      </c>
      <c r="P2470" t="str">
        <f>"2170718021                    "</f>
        <v xml:space="preserve">2170718021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8.58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0.2</v>
      </c>
      <c r="BJ2470">
        <v>1.4</v>
      </c>
      <c r="BK2470">
        <v>1.5</v>
      </c>
      <c r="BL2470" s="4">
        <v>50.45</v>
      </c>
      <c r="BM2470" s="4">
        <v>7.57</v>
      </c>
      <c r="BN2470" s="4">
        <v>58.02</v>
      </c>
      <c r="BO2470" s="4">
        <v>58.02</v>
      </c>
      <c r="BQ2470" t="s">
        <v>109</v>
      </c>
      <c r="BR2470" t="s">
        <v>84</v>
      </c>
      <c r="BS2470" s="3">
        <v>43791</v>
      </c>
      <c r="BT2470" s="5">
        <v>0.38958333333333334</v>
      </c>
      <c r="BU2470" t="s">
        <v>2078</v>
      </c>
      <c r="BV2470" t="s">
        <v>86</v>
      </c>
      <c r="BY2470">
        <v>6808.05</v>
      </c>
      <c r="CA2470" t="s">
        <v>912</v>
      </c>
      <c r="CC2470" t="s">
        <v>134</v>
      </c>
      <c r="CD2470">
        <v>5201</v>
      </c>
      <c r="CE2470" t="s">
        <v>147</v>
      </c>
      <c r="CF2470" s="3">
        <v>43794</v>
      </c>
      <c r="CI2470">
        <v>1</v>
      </c>
      <c r="CJ2470">
        <v>1</v>
      </c>
      <c r="CK2470">
        <v>21</v>
      </c>
      <c r="CL2470" t="s">
        <v>89</v>
      </c>
    </row>
    <row r="2471" spans="1:90">
      <c r="A2471" t="s">
        <v>72</v>
      </c>
      <c r="B2471" t="s">
        <v>73</v>
      </c>
      <c r="C2471" t="s">
        <v>74</v>
      </c>
      <c r="E2471" t="str">
        <f>"FES1162724196"</f>
        <v>FES1162724196</v>
      </c>
      <c r="F2471" s="3">
        <v>43790</v>
      </c>
      <c r="G2471">
        <v>202005</v>
      </c>
      <c r="H2471" t="s">
        <v>75</v>
      </c>
      <c r="I2471" t="s">
        <v>76</v>
      </c>
      <c r="J2471" t="s">
        <v>77</v>
      </c>
      <c r="K2471" t="s">
        <v>78</v>
      </c>
      <c r="L2471" t="s">
        <v>2659</v>
      </c>
      <c r="M2471" t="s">
        <v>2660</v>
      </c>
      <c r="N2471" t="s">
        <v>2661</v>
      </c>
      <c r="O2471" t="s">
        <v>82</v>
      </c>
      <c r="P2471" t="str">
        <f>"2170171849                    "</f>
        <v xml:space="preserve">2170171849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24.14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2.7</v>
      </c>
      <c r="BK2471">
        <v>3</v>
      </c>
      <c r="BL2471" s="4">
        <v>141.9</v>
      </c>
      <c r="BM2471" s="4">
        <v>21.29</v>
      </c>
      <c r="BN2471" s="4">
        <v>163.19</v>
      </c>
      <c r="BO2471" s="4">
        <v>163.19</v>
      </c>
      <c r="BR2471" t="s">
        <v>84</v>
      </c>
      <c r="BS2471" s="3">
        <v>43794</v>
      </c>
      <c r="BT2471" s="5">
        <v>0.49722222222222223</v>
      </c>
      <c r="BU2471" t="s">
        <v>2662</v>
      </c>
      <c r="BV2471" t="s">
        <v>86</v>
      </c>
      <c r="BY2471">
        <v>13354.73</v>
      </c>
      <c r="CC2471" t="s">
        <v>2660</v>
      </c>
      <c r="CD2471">
        <v>6335</v>
      </c>
      <c r="CE2471" t="s">
        <v>147</v>
      </c>
      <c r="CI2471">
        <v>3</v>
      </c>
      <c r="CJ2471">
        <v>2</v>
      </c>
      <c r="CK2471">
        <v>23</v>
      </c>
      <c r="CL2471" t="s">
        <v>89</v>
      </c>
    </row>
    <row r="2472" spans="1:90">
      <c r="A2472" t="s">
        <v>72</v>
      </c>
      <c r="B2472" t="s">
        <v>73</v>
      </c>
      <c r="C2472" t="s">
        <v>74</v>
      </c>
      <c r="E2472" t="str">
        <f>"FES1162724407"</f>
        <v>FES1162724407</v>
      </c>
      <c r="F2472" s="3">
        <v>43790</v>
      </c>
      <c r="G2472">
        <v>202005</v>
      </c>
      <c r="H2472" t="s">
        <v>75</v>
      </c>
      <c r="I2472" t="s">
        <v>76</v>
      </c>
      <c r="J2472" t="s">
        <v>77</v>
      </c>
      <c r="K2472" t="s">
        <v>78</v>
      </c>
      <c r="L2472" t="s">
        <v>133</v>
      </c>
      <c r="M2472" t="s">
        <v>134</v>
      </c>
      <c r="N2472" t="s">
        <v>310</v>
      </c>
      <c r="O2472" t="s">
        <v>82</v>
      </c>
      <c r="P2472" t="str">
        <f>"2170716333                    "</f>
        <v xml:space="preserve">2170716333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8.58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0.2</v>
      </c>
      <c r="BJ2472">
        <v>1.1000000000000001</v>
      </c>
      <c r="BK2472">
        <v>1.5</v>
      </c>
      <c r="BL2472" s="4">
        <v>50.45</v>
      </c>
      <c r="BM2472" s="4">
        <v>7.57</v>
      </c>
      <c r="BN2472" s="4">
        <v>58.02</v>
      </c>
      <c r="BO2472" s="4">
        <v>58.02</v>
      </c>
      <c r="BQ2472" t="s">
        <v>121</v>
      </c>
      <c r="BR2472" t="s">
        <v>84</v>
      </c>
      <c r="BS2472" s="3">
        <v>43791</v>
      </c>
      <c r="BT2472" s="5">
        <v>0.38472222222222219</v>
      </c>
      <c r="BU2472" t="s">
        <v>1108</v>
      </c>
      <c r="BV2472" t="s">
        <v>86</v>
      </c>
      <c r="BY2472">
        <v>5380.2</v>
      </c>
      <c r="CA2472" t="s">
        <v>912</v>
      </c>
      <c r="CC2472" t="s">
        <v>134</v>
      </c>
      <c r="CD2472">
        <v>5201</v>
      </c>
      <c r="CE2472" t="s">
        <v>147</v>
      </c>
      <c r="CF2472" s="3">
        <v>43794</v>
      </c>
      <c r="CI2472">
        <v>1</v>
      </c>
      <c r="CJ2472">
        <v>1</v>
      </c>
      <c r="CK2472">
        <v>21</v>
      </c>
      <c r="CL2472" t="s">
        <v>89</v>
      </c>
    </row>
    <row r="2473" spans="1:90">
      <c r="A2473" t="s">
        <v>72</v>
      </c>
      <c r="B2473" t="s">
        <v>73</v>
      </c>
      <c r="C2473" t="s">
        <v>74</v>
      </c>
      <c r="E2473" t="str">
        <f>"FES1162724207"</f>
        <v>FES1162724207</v>
      </c>
      <c r="F2473" s="3">
        <v>43790</v>
      </c>
      <c r="G2473">
        <v>202005</v>
      </c>
      <c r="H2473" t="s">
        <v>75</v>
      </c>
      <c r="I2473" t="s">
        <v>76</v>
      </c>
      <c r="J2473" t="s">
        <v>77</v>
      </c>
      <c r="K2473" t="s">
        <v>78</v>
      </c>
      <c r="L2473" t="s">
        <v>133</v>
      </c>
      <c r="M2473" t="s">
        <v>134</v>
      </c>
      <c r="N2473" t="s">
        <v>1915</v>
      </c>
      <c r="O2473" t="s">
        <v>82</v>
      </c>
      <c r="P2473" t="str">
        <f>"2170718164                    "</f>
        <v xml:space="preserve">2170718164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8.58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0.2</v>
      </c>
      <c r="BJ2473">
        <v>1.5</v>
      </c>
      <c r="BK2473">
        <v>1.5</v>
      </c>
      <c r="BL2473" s="4">
        <v>50.45</v>
      </c>
      <c r="BM2473" s="4">
        <v>7.57</v>
      </c>
      <c r="BN2473" s="4">
        <v>58.02</v>
      </c>
      <c r="BO2473" s="4">
        <v>58.02</v>
      </c>
      <c r="BR2473" t="s">
        <v>84</v>
      </c>
      <c r="BS2473" s="3">
        <v>43791</v>
      </c>
      <c r="BT2473" s="5">
        <v>0.4055555555555555</v>
      </c>
      <c r="BU2473" t="s">
        <v>2663</v>
      </c>
      <c r="BV2473" t="s">
        <v>86</v>
      </c>
      <c r="BY2473">
        <v>7449.05</v>
      </c>
      <c r="CA2473" t="s">
        <v>2485</v>
      </c>
      <c r="CC2473" t="s">
        <v>134</v>
      </c>
      <c r="CD2473">
        <v>5201</v>
      </c>
      <c r="CE2473" t="s">
        <v>147</v>
      </c>
      <c r="CF2473" s="3">
        <v>43794</v>
      </c>
      <c r="CI2473">
        <v>1</v>
      </c>
      <c r="CJ2473">
        <v>1</v>
      </c>
      <c r="CK2473">
        <v>21</v>
      </c>
      <c r="CL2473" t="s">
        <v>89</v>
      </c>
    </row>
    <row r="2474" spans="1:90">
      <c r="A2474" t="s">
        <v>72</v>
      </c>
      <c r="B2474" t="s">
        <v>73</v>
      </c>
      <c r="C2474" t="s">
        <v>74</v>
      </c>
      <c r="E2474" t="str">
        <f>"FES1162724505"</f>
        <v>FES1162724505</v>
      </c>
      <c r="F2474" s="3">
        <v>43790</v>
      </c>
      <c r="G2474">
        <v>202005</v>
      </c>
      <c r="H2474" t="s">
        <v>75</v>
      </c>
      <c r="I2474" t="s">
        <v>76</v>
      </c>
      <c r="J2474" t="s">
        <v>77</v>
      </c>
      <c r="K2474" t="s">
        <v>78</v>
      </c>
      <c r="L2474" t="s">
        <v>133</v>
      </c>
      <c r="M2474" t="s">
        <v>134</v>
      </c>
      <c r="N2474" t="s">
        <v>135</v>
      </c>
      <c r="O2474" t="s">
        <v>82</v>
      </c>
      <c r="P2474" t="str">
        <f>"2170718276                    "</f>
        <v xml:space="preserve">2170718276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10.73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0.6</v>
      </c>
      <c r="BJ2474">
        <v>2.1</v>
      </c>
      <c r="BK2474">
        <v>2.5</v>
      </c>
      <c r="BL2474" s="4">
        <v>63.06</v>
      </c>
      <c r="BM2474" s="4">
        <v>9.4600000000000009</v>
      </c>
      <c r="BN2474" s="4">
        <v>72.52</v>
      </c>
      <c r="BO2474" s="4">
        <v>72.52</v>
      </c>
      <c r="BQ2474" t="s">
        <v>109</v>
      </c>
      <c r="BR2474" t="s">
        <v>84</v>
      </c>
      <c r="BS2474" s="3">
        <v>43791</v>
      </c>
      <c r="BT2474" s="5">
        <v>0.38958333333333334</v>
      </c>
      <c r="BU2474" t="s">
        <v>2078</v>
      </c>
      <c r="BV2474" t="s">
        <v>86</v>
      </c>
      <c r="BY2474">
        <v>10632.74</v>
      </c>
      <c r="CA2474" t="s">
        <v>912</v>
      </c>
      <c r="CC2474" t="s">
        <v>134</v>
      </c>
      <c r="CD2474">
        <v>5201</v>
      </c>
      <c r="CE2474" t="s">
        <v>147</v>
      </c>
      <c r="CF2474" s="3">
        <v>43794</v>
      </c>
      <c r="CI2474">
        <v>1</v>
      </c>
      <c r="CJ2474">
        <v>1</v>
      </c>
      <c r="CK2474">
        <v>21</v>
      </c>
      <c r="CL2474" t="s">
        <v>89</v>
      </c>
    </row>
    <row r="2475" spans="1:90">
      <c r="A2475" t="s">
        <v>72</v>
      </c>
      <c r="B2475" t="s">
        <v>73</v>
      </c>
      <c r="C2475" t="s">
        <v>74</v>
      </c>
      <c r="E2475" t="str">
        <f>"FES1162724254"</f>
        <v>FES1162724254</v>
      </c>
      <c r="F2475" s="3">
        <v>43790</v>
      </c>
      <c r="G2475">
        <v>202005</v>
      </c>
      <c r="H2475" t="s">
        <v>75</v>
      </c>
      <c r="I2475" t="s">
        <v>76</v>
      </c>
      <c r="J2475" t="s">
        <v>77</v>
      </c>
      <c r="K2475" t="s">
        <v>78</v>
      </c>
      <c r="L2475" t="s">
        <v>133</v>
      </c>
      <c r="M2475" t="s">
        <v>134</v>
      </c>
      <c r="N2475" t="s">
        <v>1392</v>
      </c>
      <c r="O2475" t="s">
        <v>82</v>
      </c>
      <c r="P2475" t="str">
        <f>"2170716106                    "</f>
        <v xml:space="preserve">2170716106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8.58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0.2</v>
      </c>
      <c r="BJ2475">
        <v>1.6</v>
      </c>
      <c r="BK2475">
        <v>2</v>
      </c>
      <c r="BL2475" s="4">
        <v>50.45</v>
      </c>
      <c r="BM2475" s="4">
        <v>7.57</v>
      </c>
      <c r="BN2475" s="4">
        <v>58.02</v>
      </c>
      <c r="BO2475" s="4">
        <v>58.02</v>
      </c>
      <c r="BQ2475" t="s">
        <v>109</v>
      </c>
      <c r="BR2475" t="s">
        <v>84</v>
      </c>
      <c r="BS2475" s="3">
        <v>43791</v>
      </c>
      <c r="BT2475" s="5">
        <v>0.37847222222222227</v>
      </c>
      <c r="BU2475" t="s">
        <v>2664</v>
      </c>
      <c r="BV2475" t="s">
        <v>86</v>
      </c>
      <c r="BY2475">
        <v>8019.9</v>
      </c>
      <c r="CA2475" t="s">
        <v>698</v>
      </c>
      <c r="CC2475" t="s">
        <v>134</v>
      </c>
      <c r="CD2475">
        <v>5201</v>
      </c>
      <c r="CE2475" t="s">
        <v>147</v>
      </c>
      <c r="CF2475" s="3">
        <v>43794</v>
      </c>
      <c r="CI2475">
        <v>1</v>
      </c>
      <c r="CJ2475">
        <v>1</v>
      </c>
      <c r="CK2475">
        <v>21</v>
      </c>
      <c r="CL2475" t="s">
        <v>89</v>
      </c>
    </row>
    <row r="2476" spans="1:90">
      <c r="A2476" t="s">
        <v>72</v>
      </c>
      <c r="B2476" t="s">
        <v>73</v>
      </c>
      <c r="C2476" t="s">
        <v>74</v>
      </c>
      <c r="E2476" t="str">
        <f>"FES1162724189"</f>
        <v>FES1162724189</v>
      </c>
      <c r="F2476" s="3">
        <v>43790</v>
      </c>
      <c r="G2476">
        <v>202005</v>
      </c>
      <c r="H2476" t="s">
        <v>75</v>
      </c>
      <c r="I2476" t="s">
        <v>76</v>
      </c>
      <c r="J2476" t="s">
        <v>77</v>
      </c>
      <c r="K2476" t="s">
        <v>78</v>
      </c>
      <c r="L2476" t="s">
        <v>133</v>
      </c>
      <c r="M2476" t="s">
        <v>134</v>
      </c>
      <c r="N2476" t="s">
        <v>1751</v>
      </c>
      <c r="O2476" t="s">
        <v>82</v>
      </c>
      <c r="P2476" t="str">
        <f>"2170718136                    "</f>
        <v xml:space="preserve">2170718136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8.58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0.5</v>
      </c>
      <c r="BJ2476">
        <v>1.5</v>
      </c>
      <c r="BK2476">
        <v>1.5</v>
      </c>
      <c r="BL2476" s="4">
        <v>50.45</v>
      </c>
      <c r="BM2476" s="4">
        <v>7.57</v>
      </c>
      <c r="BN2476" s="4">
        <v>58.02</v>
      </c>
      <c r="BO2476" s="4">
        <v>58.02</v>
      </c>
      <c r="BQ2476" t="s">
        <v>121</v>
      </c>
      <c r="BR2476" t="s">
        <v>84</v>
      </c>
      <c r="BS2476" s="3">
        <v>43791</v>
      </c>
      <c r="BT2476" s="5">
        <v>0.35486111111111113</v>
      </c>
      <c r="BU2476" t="s">
        <v>2665</v>
      </c>
      <c r="BV2476" t="s">
        <v>86</v>
      </c>
      <c r="BY2476">
        <v>7624.5</v>
      </c>
      <c r="CA2476" t="s">
        <v>698</v>
      </c>
      <c r="CC2476" t="s">
        <v>134</v>
      </c>
      <c r="CD2476">
        <v>5201</v>
      </c>
      <c r="CE2476" t="s">
        <v>147</v>
      </c>
      <c r="CF2476" s="3">
        <v>43794</v>
      </c>
      <c r="CI2476">
        <v>1</v>
      </c>
      <c r="CJ2476">
        <v>1</v>
      </c>
      <c r="CK2476">
        <v>21</v>
      </c>
      <c r="CL2476" t="s">
        <v>89</v>
      </c>
    </row>
    <row r="2477" spans="1:90">
      <c r="A2477" t="s">
        <v>72</v>
      </c>
      <c r="B2477" t="s">
        <v>73</v>
      </c>
      <c r="C2477" t="s">
        <v>74</v>
      </c>
      <c r="E2477" t="str">
        <f>"FES1162724326"</f>
        <v>FES1162724326</v>
      </c>
      <c r="F2477" s="3">
        <v>43790</v>
      </c>
      <c r="G2477">
        <v>202005</v>
      </c>
      <c r="H2477" t="s">
        <v>75</v>
      </c>
      <c r="I2477" t="s">
        <v>76</v>
      </c>
      <c r="J2477" t="s">
        <v>77</v>
      </c>
      <c r="K2477" t="s">
        <v>78</v>
      </c>
      <c r="L2477" t="s">
        <v>133</v>
      </c>
      <c r="M2477" t="s">
        <v>134</v>
      </c>
      <c r="N2477" t="s">
        <v>1635</v>
      </c>
      <c r="O2477" t="s">
        <v>82</v>
      </c>
      <c r="P2477" t="str">
        <f>"2170711562                    "</f>
        <v xml:space="preserve">2170711562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8.58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0.2</v>
      </c>
      <c r="BJ2477">
        <v>1.4</v>
      </c>
      <c r="BK2477">
        <v>1.5</v>
      </c>
      <c r="BL2477" s="4">
        <v>50.45</v>
      </c>
      <c r="BM2477" s="4">
        <v>7.57</v>
      </c>
      <c r="BN2477" s="4">
        <v>58.02</v>
      </c>
      <c r="BO2477" s="4">
        <v>58.02</v>
      </c>
      <c r="BQ2477" t="s">
        <v>121</v>
      </c>
      <c r="BR2477" t="s">
        <v>84</v>
      </c>
      <c r="BS2477" s="3">
        <v>43791</v>
      </c>
      <c r="BT2477" s="5">
        <v>0.3666666666666667</v>
      </c>
      <c r="BU2477" t="s">
        <v>1192</v>
      </c>
      <c r="BV2477" t="s">
        <v>86</v>
      </c>
      <c r="BY2477">
        <v>6768.23</v>
      </c>
      <c r="CA2477" t="s">
        <v>698</v>
      </c>
      <c r="CC2477" t="s">
        <v>134</v>
      </c>
      <c r="CD2477">
        <v>5201</v>
      </c>
      <c r="CE2477" t="s">
        <v>147</v>
      </c>
      <c r="CF2477" s="3">
        <v>43794</v>
      </c>
      <c r="CI2477">
        <v>1</v>
      </c>
      <c r="CJ2477">
        <v>1</v>
      </c>
      <c r="CK2477">
        <v>21</v>
      </c>
      <c r="CL2477" t="s">
        <v>89</v>
      </c>
    </row>
    <row r="2478" spans="1:90">
      <c r="A2478" t="s">
        <v>72</v>
      </c>
      <c r="B2478" t="s">
        <v>73</v>
      </c>
      <c r="C2478" t="s">
        <v>74</v>
      </c>
      <c r="E2478" t="str">
        <f>"FES1162724506"</f>
        <v>FES1162724506</v>
      </c>
      <c r="F2478" s="3">
        <v>43790</v>
      </c>
      <c r="G2478">
        <v>202005</v>
      </c>
      <c r="H2478" t="s">
        <v>75</v>
      </c>
      <c r="I2478" t="s">
        <v>76</v>
      </c>
      <c r="J2478" t="s">
        <v>77</v>
      </c>
      <c r="K2478" t="s">
        <v>78</v>
      </c>
      <c r="L2478" t="s">
        <v>106</v>
      </c>
      <c r="M2478" t="s">
        <v>107</v>
      </c>
      <c r="N2478" t="s">
        <v>108</v>
      </c>
      <c r="O2478" t="s">
        <v>82</v>
      </c>
      <c r="P2478" t="str">
        <f>"21707182798                   "</f>
        <v xml:space="preserve">21707182798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8.58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0.2</v>
      </c>
      <c r="BJ2478">
        <v>1.6</v>
      </c>
      <c r="BK2478">
        <v>2</v>
      </c>
      <c r="BL2478" s="4">
        <v>50.45</v>
      </c>
      <c r="BM2478" s="4">
        <v>7.57</v>
      </c>
      <c r="BN2478" s="4">
        <v>58.02</v>
      </c>
      <c r="BO2478" s="4">
        <v>58.02</v>
      </c>
      <c r="BQ2478" t="s">
        <v>109</v>
      </c>
      <c r="BR2478" t="s">
        <v>84</v>
      </c>
      <c r="BS2478" s="3">
        <v>43791</v>
      </c>
      <c r="BT2478" s="5">
        <v>0.37152777777777773</v>
      </c>
      <c r="BU2478" t="s">
        <v>110</v>
      </c>
      <c r="BV2478" t="s">
        <v>86</v>
      </c>
      <c r="BY2478">
        <v>8036.82</v>
      </c>
      <c r="CA2478" t="s">
        <v>111</v>
      </c>
      <c r="CC2478" t="s">
        <v>107</v>
      </c>
      <c r="CD2478">
        <v>6001</v>
      </c>
      <c r="CE2478" t="s">
        <v>147</v>
      </c>
      <c r="CF2478" s="3">
        <v>43794</v>
      </c>
      <c r="CI2478">
        <v>1</v>
      </c>
      <c r="CJ2478">
        <v>1</v>
      </c>
      <c r="CK2478">
        <v>21</v>
      </c>
      <c r="CL2478" t="s">
        <v>89</v>
      </c>
    </row>
    <row r="2479" spans="1:90">
      <c r="A2479" t="s">
        <v>72</v>
      </c>
      <c r="B2479" t="s">
        <v>73</v>
      </c>
      <c r="C2479" t="s">
        <v>74</v>
      </c>
      <c r="E2479" t="str">
        <f>"FES1162724330"</f>
        <v>FES1162724330</v>
      </c>
      <c r="F2479" s="3">
        <v>43790</v>
      </c>
      <c r="G2479">
        <v>202005</v>
      </c>
      <c r="H2479" t="s">
        <v>75</v>
      </c>
      <c r="I2479" t="s">
        <v>76</v>
      </c>
      <c r="J2479" t="s">
        <v>77</v>
      </c>
      <c r="K2479" t="s">
        <v>78</v>
      </c>
      <c r="L2479" t="s">
        <v>79</v>
      </c>
      <c r="M2479" t="s">
        <v>80</v>
      </c>
      <c r="N2479" t="s">
        <v>456</v>
      </c>
      <c r="O2479" t="s">
        <v>82</v>
      </c>
      <c r="P2479" t="str">
        <f>"2170713809                    "</f>
        <v xml:space="preserve">2170713809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12.87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1.5</v>
      </c>
      <c r="BJ2479">
        <v>2.8</v>
      </c>
      <c r="BK2479">
        <v>3</v>
      </c>
      <c r="BL2479" s="4">
        <v>75.66</v>
      </c>
      <c r="BM2479" s="4">
        <v>11.35</v>
      </c>
      <c r="BN2479" s="4">
        <v>87.01</v>
      </c>
      <c r="BO2479" s="4">
        <v>87.01</v>
      </c>
      <c r="BQ2479" t="s">
        <v>109</v>
      </c>
      <c r="BR2479" t="s">
        <v>84</v>
      </c>
      <c r="BS2479" s="3">
        <v>43791</v>
      </c>
      <c r="BT2479" s="5">
        <v>0.32291666666666669</v>
      </c>
      <c r="BU2479" t="s">
        <v>2666</v>
      </c>
      <c r="BV2479" t="s">
        <v>86</v>
      </c>
      <c r="BY2479">
        <v>13901.58</v>
      </c>
      <c r="CA2479" t="s">
        <v>87</v>
      </c>
      <c r="CC2479" t="s">
        <v>80</v>
      </c>
      <c r="CD2479">
        <v>6229</v>
      </c>
      <c r="CE2479" t="s">
        <v>147</v>
      </c>
      <c r="CF2479" s="3">
        <v>43794</v>
      </c>
      <c r="CI2479">
        <v>1</v>
      </c>
      <c r="CJ2479">
        <v>1</v>
      </c>
      <c r="CK2479">
        <v>21</v>
      </c>
      <c r="CL2479" t="s">
        <v>89</v>
      </c>
    </row>
    <row r="2480" spans="1:90">
      <c r="A2480" t="s">
        <v>72</v>
      </c>
      <c r="B2480" t="s">
        <v>73</v>
      </c>
      <c r="C2480" t="s">
        <v>74</v>
      </c>
      <c r="E2480" t="str">
        <f>"FES1162724300"</f>
        <v>FES1162724300</v>
      </c>
      <c r="F2480" s="3">
        <v>43790</v>
      </c>
      <c r="G2480">
        <v>202005</v>
      </c>
      <c r="H2480" t="s">
        <v>75</v>
      </c>
      <c r="I2480" t="s">
        <v>76</v>
      </c>
      <c r="J2480" t="s">
        <v>77</v>
      </c>
      <c r="K2480" t="s">
        <v>78</v>
      </c>
      <c r="L2480" t="s">
        <v>79</v>
      </c>
      <c r="M2480" t="s">
        <v>80</v>
      </c>
      <c r="N2480" t="s">
        <v>2520</v>
      </c>
      <c r="O2480" t="s">
        <v>82</v>
      </c>
      <c r="P2480" t="str">
        <f>"2170718059                    "</f>
        <v xml:space="preserve">2170718059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8.58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0.2</v>
      </c>
      <c r="BJ2480">
        <v>0.8</v>
      </c>
      <c r="BK2480">
        <v>1</v>
      </c>
      <c r="BL2480" s="4">
        <v>50.45</v>
      </c>
      <c r="BM2480" s="4">
        <v>7.57</v>
      </c>
      <c r="BN2480" s="4">
        <v>58.02</v>
      </c>
      <c r="BO2480" s="4">
        <v>58.02</v>
      </c>
      <c r="BQ2480" t="s">
        <v>121</v>
      </c>
      <c r="BR2480" t="s">
        <v>84</v>
      </c>
      <c r="BS2480" s="3">
        <v>43791</v>
      </c>
      <c r="BT2480" s="5">
        <v>0.3263888888888889</v>
      </c>
      <c r="BU2480" t="s">
        <v>2667</v>
      </c>
      <c r="BV2480" t="s">
        <v>86</v>
      </c>
      <c r="BY2480">
        <v>4237.3500000000004</v>
      </c>
      <c r="CA2480" t="s">
        <v>87</v>
      </c>
      <c r="CC2480" t="s">
        <v>80</v>
      </c>
      <c r="CD2480">
        <v>6229</v>
      </c>
      <c r="CE2480" t="s">
        <v>88</v>
      </c>
      <c r="CF2480" s="3">
        <v>43794</v>
      </c>
      <c r="CI2480">
        <v>1</v>
      </c>
      <c r="CJ2480">
        <v>1</v>
      </c>
      <c r="CK2480">
        <v>21</v>
      </c>
      <c r="CL2480" t="s">
        <v>89</v>
      </c>
    </row>
    <row r="2481" spans="1:90">
      <c r="A2481" t="s">
        <v>72</v>
      </c>
      <c r="B2481" t="s">
        <v>73</v>
      </c>
      <c r="C2481" t="s">
        <v>74</v>
      </c>
      <c r="E2481" t="str">
        <f>"FES1162724278"</f>
        <v>FES1162724278</v>
      </c>
      <c r="F2481" s="3">
        <v>43790</v>
      </c>
      <c r="G2481">
        <v>202005</v>
      </c>
      <c r="H2481" t="s">
        <v>75</v>
      </c>
      <c r="I2481" t="s">
        <v>76</v>
      </c>
      <c r="J2481" t="s">
        <v>77</v>
      </c>
      <c r="K2481" t="s">
        <v>78</v>
      </c>
      <c r="L2481" t="s">
        <v>106</v>
      </c>
      <c r="M2481" t="s">
        <v>107</v>
      </c>
      <c r="N2481" t="s">
        <v>150</v>
      </c>
      <c r="O2481" t="s">
        <v>82</v>
      </c>
      <c r="P2481" t="str">
        <f>"2170716803                    "</f>
        <v xml:space="preserve">2170716803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8.58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0.2</v>
      </c>
      <c r="BJ2481">
        <v>1.6</v>
      </c>
      <c r="BK2481">
        <v>2</v>
      </c>
      <c r="BL2481" s="4">
        <v>50.45</v>
      </c>
      <c r="BM2481" s="4">
        <v>7.57</v>
      </c>
      <c r="BN2481" s="4">
        <v>58.02</v>
      </c>
      <c r="BO2481" s="4">
        <v>58.02</v>
      </c>
      <c r="BQ2481" t="s">
        <v>109</v>
      </c>
      <c r="BR2481" t="s">
        <v>84</v>
      </c>
      <c r="BS2481" s="3">
        <v>43791</v>
      </c>
      <c r="BT2481" s="5">
        <v>0.3659722222222222</v>
      </c>
      <c r="BU2481" t="s">
        <v>151</v>
      </c>
      <c r="BV2481" t="s">
        <v>86</v>
      </c>
      <c r="BY2481">
        <v>8004.96</v>
      </c>
      <c r="CA2481" t="s">
        <v>111</v>
      </c>
      <c r="CC2481" t="s">
        <v>107</v>
      </c>
      <c r="CD2481">
        <v>6001</v>
      </c>
      <c r="CE2481" t="s">
        <v>147</v>
      </c>
      <c r="CF2481" s="3">
        <v>43794</v>
      </c>
      <c r="CI2481">
        <v>1</v>
      </c>
      <c r="CJ2481">
        <v>1</v>
      </c>
      <c r="CK2481">
        <v>21</v>
      </c>
      <c r="CL2481" t="s">
        <v>89</v>
      </c>
    </row>
    <row r="2482" spans="1:90">
      <c r="A2482" t="s">
        <v>72</v>
      </c>
      <c r="B2482" t="s">
        <v>73</v>
      </c>
      <c r="C2482" t="s">
        <v>74</v>
      </c>
      <c r="E2482" t="str">
        <f>"FES1162721100"</f>
        <v>FES1162721100</v>
      </c>
      <c r="F2482" s="3">
        <v>43790</v>
      </c>
      <c r="G2482">
        <v>202005</v>
      </c>
      <c r="H2482" t="s">
        <v>75</v>
      </c>
      <c r="I2482" t="s">
        <v>76</v>
      </c>
      <c r="J2482" t="s">
        <v>77</v>
      </c>
      <c r="K2482" t="s">
        <v>78</v>
      </c>
      <c r="L2482" t="s">
        <v>202</v>
      </c>
      <c r="M2482" t="s">
        <v>203</v>
      </c>
      <c r="N2482" t="s">
        <v>1870</v>
      </c>
      <c r="O2482" t="s">
        <v>82</v>
      </c>
      <c r="P2482" t="str">
        <f>"2170715371                    "</f>
        <v xml:space="preserve">2170715371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6.71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 s="4">
        <v>39.42</v>
      </c>
      <c r="BM2482" s="4">
        <v>5.91</v>
      </c>
      <c r="BN2482" s="4">
        <v>45.33</v>
      </c>
      <c r="BO2482" s="4">
        <v>45.33</v>
      </c>
      <c r="BQ2482" t="s">
        <v>1871</v>
      </c>
      <c r="BR2482" t="s">
        <v>84</v>
      </c>
      <c r="BS2482" s="3">
        <v>43791</v>
      </c>
      <c r="BT2482" s="5">
        <v>0.33333333333333331</v>
      </c>
      <c r="BU2482" t="s">
        <v>231</v>
      </c>
      <c r="BV2482" t="s">
        <v>86</v>
      </c>
      <c r="BY2482">
        <v>1200</v>
      </c>
      <c r="CC2482" t="s">
        <v>203</v>
      </c>
      <c r="CD2482">
        <v>1406</v>
      </c>
      <c r="CE2482" t="s">
        <v>147</v>
      </c>
      <c r="CF2482" s="3">
        <v>43794</v>
      </c>
      <c r="CI2482">
        <v>1</v>
      </c>
      <c r="CJ2482">
        <v>1</v>
      </c>
      <c r="CK2482">
        <v>22</v>
      </c>
      <c r="CL2482" t="s">
        <v>89</v>
      </c>
    </row>
    <row r="2483" spans="1:90">
      <c r="A2483" t="s">
        <v>72</v>
      </c>
      <c r="B2483" t="s">
        <v>73</v>
      </c>
      <c r="C2483" t="s">
        <v>74</v>
      </c>
      <c r="E2483" t="str">
        <f>"FES1162724381"</f>
        <v>FES1162724381</v>
      </c>
      <c r="F2483" s="3">
        <v>43790</v>
      </c>
      <c r="G2483">
        <v>202005</v>
      </c>
      <c r="H2483" t="s">
        <v>75</v>
      </c>
      <c r="I2483" t="s">
        <v>76</v>
      </c>
      <c r="J2483" t="s">
        <v>77</v>
      </c>
      <c r="K2483" t="s">
        <v>78</v>
      </c>
      <c r="L2483" t="s">
        <v>124</v>
      </c>
      <c r="M2483" t="s">
        <v>125</v>
      </c>
      <c r="N2483" t="s">
        <v>218</v>
      </c>
      <c r="O2483" t="s">
        <v>82</v>
      </c>
      <c r="P2483" t="str">
        <f>"2170715838                    "</f>
        <v xml:space="preserve">2170715838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6.71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0.2</v>
      </c>
      <c r="BJ2483">
        <v>0.8</v>
      </c>
      <c r="BK2483">
        <v>1</v>
      </c>
      <c r="BL2483" s="4">
        <v>39.42</v>
      </c>
      <c r="BM2483" s="4">
        <v>5.91</v>
      </c>
      <c r="BN2483" s="4">
        <v>45.33</v>
      </c>
      <c r="BO2483" s="4">
        <v>45.33</v>
      </c>
      <c r="BQ2483" t="s">
        <v>121</v>
      </c>
      <c r="BR2483" t="s">
        <v>84</v>
      </c>
      <c r="BS2483" s="3">
        <v>43791</v>
      </c>
      <c r="BT2483" s="5">
        <v>0.35555555555555557</v>
      </c>
      <c r="BU2483" t="s">
        <v>2668</v>
      </c>
      <c r="BV2483" t="s">
        <v>86</v>
      </c>
      <c r="BY2483">
        <v>4218.1499999999996</v>
      </c>
      <c r="CA2483" t="s">
        <v>123</v>
      </c>
      <c r="CC2483" t="s">
        <v>125</v>
      </c>
      <c r="CD2483">
        <v>2094</v>
      </c>
      <c r="CE2483" t="s">
        <v>147</v>
      </c>
      <c r="CF2483" s="3">
        <v>43794</v>
      </c>
      <c r="CI2483">
        <v>1</v>
      </c>
      <c r="CJ2483">
        <v>1</v>
      </c>
      <c r="CK2483">
        <v>22</v>
      </c>
      <c r="CL2483" t="s">
        <v>89</v>
      </c>
    </row>
    <row r="2484" spans="1:90">
      <c r="A2484" t="s">
        <v>72</v>
      </c>
      <c r="B2484" t="s">
        <v>73</v>
      </c>
      <c r="C2484" t="s">
        <v>74</v>
      </c>
      <c r="E2484" t="str">
        <f>"FES1162724235"</f>
        <v>FES1162724235</v>
      </c>
      <c r="F2484" s="3">
        <v>43790</v>
      </c>
      <c r="G2484">
        <v>202005</v>
      </c>
      <c r="H2484" t="s">
        <v>75</v>
      </c>
      <c r="I2484" t="s">
        <v>76</v>
      </c>
      <c r="J2484" t="s">
        <v>77</v>
      </c>
      <c r="K2484" t="s">
        <v>78</v>
      </c>
      <c r="L2484" t="s">
        <v>482</v>
      </c>
      <c r="M2484" t="s">
        <v>483</v>
      </c>
      <c r="N2484" t="s">
        <v>594</v>
      </c>
      <c r="O2484" t="s">
        <v>82</v>
      </c>
      <c r="P2484" t="str">
        <f>"2170715861                    "</f>
        <v xml:space="preserve">2170715861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6.71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0.2</v>
      </c>
      <c r="BJ2484">
        <v>0.8</v>
      </c>
      <c r="BK2484">
        <v>1</v>
      </c>
      <c r="BL2484" s="4">
        <v>39.42</v>
      </c>
      <c r="BM2484" s="4">
        <v>5.91</v>
      </c>
      <c r="BN2484" s="4">
        <v>45.33</v>
      </c>
      <c r="BO2484" s="4">
        <v>45.33</v>
      </c>
      <c r="BQ2484" t="s">
        <v>109</v>
      </c>
      <c r="BR2484" t="s">
        <v>84</v>
      </c>
      <c r="BS2484" s="3">
        <v>43791</v>
      </c>
      <c r="BT2484" s="5">
        <v>0.4375</v>
      </c>
      <c r="BU2484" t="s">
        <v>2452</v>
      </c>
      <c r="BV2484" t="s">
        <v>86</v>
      </c>
      <c r="BY2484">
        <v>4092.95</v>
      </c>
      <c r="CC2484" t="s">
        <v>483</v>
      </c>
      <c r="CD2484">
        <v>1459</v>
      </c>
      <c r="CE2484" t="s">
        <v>88</v>
      </c>
      <c r="CF2484" s="3">
        <v>43796</v>
      </c>
      <c r="CI2484">
        <v>1</v>
      </c>
      <c r="CJ2484">
        <v>1</v>
      </c>
      <c r="CK2484">
        <v>22</v>
      </c>
      <c r="CL2484" t="s">
        <v>89</v>
      </c>
    </row>
    <row r="2485" spans="1:90">
      <c r="A2485" t="s">
        <v>72</v>
      </c>
      <c r="B2485" t="s">
        <v>73</v>
      </c>
      <c r="C2485" t="s">
        <v>74</v>
      </c>
      <c r="E2485" t="str">
        <f>"FES1162724250"</f>
        <v>FES1162724250</v>
      </c>
      <c r="F2485" s="3">
        <v>43790</v>
      </c>
      <c r="G2485">
        <v>202005</v>
      </c>
      <c r="H2485" t="s">
        <v>75</v>
      </c>
      <c r="I2485" t="s">
        <v>76</v>
      </c>
      <c r="J2485" t="s">
        <v>77</v>
      </c>
      <c r="K2485" t="s">
        <v>78</v>
      </c>
      <c r="L2485" t="s">
        <v>482</v>
      </c>
      <c r="M2485" t="s">
        <v>483</v>
      </c>
      <c r="N2485" t="s">
        <v>1054</v>
      </c>
      <c r="O2485" t="s">
        <v>82</v>
      </c>
      <c r="P2485" t="str">
        <f>"2170716014                    "</f>
        <v xml:space="preserve">2170716014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6.71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0.2</v>
      </c>
      <c r="BJ2485">
        <v>1.1000000000000001</v>
      </c>
      <c r="BK2485">
        <v>1.5</v>
      </c>
      <c r="BL2485" s="4">
        <v>39.42</v>
      </c>
      <c r="BM2485" s="4">
        <v>5.91</v>
      </c>
      <c r="BN2485" s="4">
        <v>45.33</v>
      </c>
      <c r="BO2485" s="4">
        <v>45.33</v>
      </c>
      <c r="BQ2485" t="s">
        <v>109</v>
      </c>
      <c r="BR2485" t="s">
        <v>84</v>
      </c>
      <c r="BS2485" s="3">
        <v>43791</v>
      </c>
      <c r="BT2485" s="5">
        <v>0.33888888888888885</v>
      </c>
      <c r="BU2485" t="s">
        <v>877</v>
      </c>
      <c r="BV2485" t="s">
        <v>86</v>
      </c>
      <c r="BY2485">
        <v>5667.84</v>
      </c>
      <c r="CA2485" t="s">
        <v>486</v>
      </c>
      <c r="CC2485" t="s">
        <v>483</v>
      </c>
      <c r="CD2485">
        <v>1459</v>
      </c>
      <c r="CE2485" t="s">
        <v>147</v>
      </c>
      <c r="CF2485" s="3">
        <v>43794</v>
      </c>
      <c r="CI2485">
        <v>1</v>
      </c>
      <c r="CJ2485">
        <v>1</v>
      </c>
      <c r="CK2485">
        <v>22</v>
      </c>
      <c r="CL2485" t="s">
        <v>89</v>
      </c>
    </row>
    <row r="2486" spans="1:90">
      <c r="A2486" t="s">
        <v>72</v>
      </c>
      <c r="B2486" t="s">
        <v>73</v>
      </c>
      <c r="C2486" t="s">
        <v>74</v>
      </c>
      <c r="E2486" t="str">
        <f>"FES1162724375"</f>
        <v>FES1162724375</v>
      </c>
      <c r="F2486" s="3">
        <v>43790</v>
      </c>
      <c r="G2486">
        <v>202005</v>
      </c>
      <c r="H2486" t="s">
        <v>75</v>
      </c>
      <c r="I2486" t="s">
        <v>76</v>
      </c>
      <c r="J2486" t="s">
        <v>77</v>
      </c>
      <c r="K2486" t="s">
        <v>78</v>
      </c>
      <c r="L2486" t="s">
        <v>681</v>
      </c>
      <c r="M2486" t="s">
        <v>682</v>
      </c>
      <c r="N2486" t="s">
        <v>1222</v>
      </c>
      <c r="O2486" t="s">
        <v>82</v>
      </c>
      <c r="P2486" t="str">
        <f>"2170715694                    "</f>
        <v xml:space="preserve">2170715694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12.07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0.6</v>
      </c>
      <c r="BJ2486">
        <v>1.9</v>
      </c>
      <c r="BK2486">
        <v>2</v>
      </c>
      <c r="BL2486" s="4">
        <v>70.95</v>
      </c>
      <c r="BM2486" s="4">
        <v>10.64</v>
      </c>
      <c r="BN2486" s="4">
        <v>81.59</v>
      </c>
      <c r="BO2486" s="4">
        <v>81.59</v>
      </c>
      <c r="BQ2486" t="s">
        <v>121</v>
      </c>
      <c r="BR2486" t="s">
        <v>84</v>
      </c>
      <c r="BS2486" s="3">
        <v>43791</v>
      </c>
      <c r="BT2486" s="5">
        <v>0.41666666666666669</v>
      </c>
      <c r="BU2486" t="s">
        <v>2669</v>
      </c>
      <c r="BV2486" t="s">
        <v>86</v>
      </c>
      <c r="BY2486">
        <v>9682.4</v>
      </c>
      <c r="CA2486" t="s">
        <v>1224</v>
      </c>
      <c r="CC2486" t="s">
        <v>682</v>
      </c>
      <c r="CD2486">
        <v>1930</v>
      </c>
      <c r="CE2486" t="s">
        <v>147</v>
      </c>
      <c r="CF2486" s="3">
        <v>43794</v>
      </c>
      <c r="CI2486">
        <v>1</v>
      </c>
      <c r="CJ2486">
        <v>1</v>
      </c>
      <c r="CK2486">
        <v>24</v>
      </c>
      <c r="CL2486" t="s">
        <v>89</v>
      </c>
    </row>
    <row r="2487" spans="1:90">
      <c r="A2487" t="s">
        <v>72</v>
      </c>
      <c r="B2487" t="s">
        <v>73</v>
      </c>
      <c r="C2487" t="s">
        <v>74</v>
      </c>
      <c r="E2487" t="str">
        <f>"FES1162724234"</f>
        <v>FES1162724234</v>
      </c>
      <c r="F2487" s="3">
        <v>43790</v>
      </c>
      <c r="G2487">
        <v>202005</v>
      </c>
      <c r="H2487" t="s">
        <v>75</v>
      </c>
      <c r="I2487" t="s">
        <v>76</v>
      </c>
      <c r="J2487" t="s">
        <v>77</v>
      </c>
      <c r="K2487" t="s">
        <v>78</v>
      </c>
      <c r="L2487" t="s">
        <v>124</v>
      </c>
      <c r="M2487" t="s">
        <v>125</v>
      </c>
      <c r="N2487" t="s">
        <v>218</v>
      </c>
      <c r="O2487" t="s">
        <v>82</v>
      </c>
      <c r="P2487" t="str">
        <f>"2170715832                    "</f>
        <v xml:space="preserve">2170715832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6.71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1.3</v>
      </c>
      <c r="BJ2487">
        <v>2</v>
      </c>
      <c r="BK2487">
        <v>2</v>
      </c>
      <c r="BL2487" s="4">
        <v>39.42</v>
      </c>
      <c r="BM2487" s="4">
        <v>5.91</v>
      </c>
      <c r="BN2487" s="4">
        <v>45.33</v>
      </c>
      <c r="BO2487" s="4">
        <v>45.33</v>
      </c>
      <c r="BQ2487" t="s">
        <v>121</v>
      </c>
      <c r="BR2487" t="s">
        <v>84</v>
      </c>
      <c r="BS2487" s="3">
        <v>43791</v>
      </c>
      <c r="BT2487" s="5">
        <v>0.35416666666666669</v>
      </c>
      <c r="BU2487" t="s">
        <v>2668</v>
      </c>
      <c r="BV2487" t="s">
        <v>86</v>
      </c>
      <c r="BY2487">
        <v>9951.06</v>
      </c>
      <c r="CA2487" t="s">
        <v>123</v>
      </c>
      <c r="CC2487" t="s">
        <v>125</v>
      </c>
      <c r="CD2487">
        <v>2094</v>
      </c>
      <c r="CE2487" t="s">
        <v>147</v>
      </c>
      <c r="CF2487" s="3">
        <v>43794</v>
      </c>
      <c r="CI2487">
        <v>1</v>
      </c>
      <c r="CJ2487">
        <v>1</v>
      </c>
      <c r="CK2487">
        <v>22</v>
      </c>
      <c r="CL2487" t="s">
        <v>89</v>
      </c>
    </row>
    <row r="2488" spans="1:90">
      <c r="A2488" t="s">
        <v>72</v>
      </c>
      <c r="B2488" t="s">
        <v>73</v>
      </c>
      <c r="C2488" t="s">
        <v>74</v>
      </c>
      <c r="E2488" t="str">
        <f>"FES1162724132"</f>
        <v>FES1162724132</v>
      </c>
      <c r="F2488" s="3">
        <v>43790</v>
      </c>
      <c r="G2488">
        <v>202005</v>
      </c>
      <c r="H2488" t="s">
        <v>75</v>
      </c>
      <c r="I2488" t="s">
        <v>76</v>
      </c>
      <c r="J2488" t="s">
        <v>77</v>
      </c>
      <c r="K2488" t="s">
        <v>78</v>
      </c>
      <c r="L2488" t="s">
        <v>75</v>
      </c>
      <c r="M2488" t="s">
        <v>76</v>
      </c>
      <c r="N2488" t="s">
        <v>360</v>
      </c>
      <c r="O2488" t="s">
        <v>82</v>
      </c>
      <c r="P2488" t="str">
        <f>"2170718097                    "</f>
        <v xml:space="preserve">2170718097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6.71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0.9</v>
      </c>
      <c r="BJ2488">
        <v>1.6</v>
      </c>
      <c r="BK2488">
        <v>2</v>
      </c>
      <c r="BL2488" s="4">
        <v>39.42</v>
      </c>
      <c r="BM2488" s="4">
        <v>5.91</v>
      </c>
      <c r="BN2488" s="4">
        <v>45.33</v>
      </c>
      <c r="BO2488" s="4">
        <v>45.33</v>
      </c>
      <c r="BQ2488" t="s">
        <v>109</v>
      </c>
      <c r="BR2488" t="s">
        <v>84</v>
      </c>
      <c r="BS2488" s="3">
        <v>43791</v>
      </c>
      <c r="BT2488" s="5">
        <v>0.4375</v>
      </c>
      <c r="BU2488" t="s">
        <v>1075</v>
      </c>
      <c r="BV2488" t="s">
        <v>86</v>
      </c>
      <c r="BY2488">
        <v>7906.08</v>
      </c>
      <c r="CA2488" t="s">
        <v>797</v>
      </c>
      <c r="CC2488" t="s">
        <v>76</v>
      </c>
      <c r="CD2488">
        <v>1645</v>
      </c>
      <c r="CE2488" t="s">
        <v>147</v>
      </c>
      <c r="CF2488" s="3">
        <v>43795</v>
      </c>
      <c r="CI2488">
        <v>1</v>
      </c>
      <c r="CJ2488">
        <v>1</v>
      </c>
      <c r="CK2488">
        <v>22</v>
      </c>
      <c r="CL2488" t="s">
        <v>89</v>
      </c>
    </row>
    <row r="2489" spans="1:90">
      <c r="A2489" t="s">
        <v>72</v>
      </c>
      <c r="B2489" t="s">
        <v>73</v>
      </c>
      <c r="C2489" t="s">
        <v>74</v>
      </c>
      <c r="E2489" t="str">
        <f>"FES1162724446"</f>
        <v>FES1162724446</v>
      </c>
      <c r="F2489" s="3">
        <v>43790</v>
      </c>
      <c r="G2489">
        <v>202005</v>
      </c>
      <c r="H2489" t="s">
        <v>75</v>
      </c>
      <c r="I2489" t="s">
        <v>76</v>
      </c>
      <c r="J2489" t="s">
        <v>77</v>
      </c>
      <c r="K2489" t="s">
        <v>78</v>
      </c>
      <c r="L2489" t="s">
        <v>124</v>
      </c>
      <c r="M2489" t="s">
        <v>125</v>
      </c>
      <c r="N2489" t="s">
        <v>218</v>
      </c>
      <c r="O2489" t="s">
        <v>82</v>
      </c>
      <c r="P2489" t="str">
        <f>"2170718196                    "</f>
        <v xml:space="preserve">2170718196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7.51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2.2000000000000002</v>
      </c>
      <c r="BK2489">
        <v>2.5</v>
      </c>
      <c r="BL2489" s="4">
        <v>44.14</v>
      </c>
      <c r="BM2489" s="4">
        <v>6.62</v>
      </c>
      <c r="BN2489" s="4">
        <v>50.76</v>
      </c>
      <c r="BO2489" s="4">
        <v>50.76</v>
      </c>
      <c r="BQ2489" t="s">
        <v>121</v>
      </c>
      <c r="BR2489" t="s">
        <v>84</v>
      </c>
      <c r="BS2489" s="3">
        <v>43791</v>
      </c>
      <c r="BT2489" s="5">
        <v>0.35347222222222219</v>
      </c>
      <c r="BU2489" t="s">
        <v>1039</v>
      </c>
      <c r="BV2489" t="s">
        <v>86</v>
      </c>
      <c r="BY2489">
        <v>11168.49</v>
      </c>
      <c r="CA2489" t="s">
        <v>123</v>
      </c>
      <c r="CC2489" t="s">
        <v>125</v>
      </c>
      <c r="CD2489">
        <v>2094</v>
      </c>
      <c r="CE2489" t="s">
        <v>147</v>
      </c>
      <c r="CF2489" s="3">
        <v>43794</v>
      </c>
      <c r="CI2489">
        <v>1</v>
      </c>
      <c r="CJ2489">
        <v>1</v>
      </c>
      <c r="CK2489">
        <v>22</v>
      </c>
      <c r="CL2489" t="s">
        <v>89</v>
      </c>
    </row>
    <row r="2490" spans="1:90">
      <c r="A2490" t="s">
        <v>72</v>
      </c>
      <c r="B2490" t="s">
        <v>73</v>
      </c>
      <c r="C2490" t="s">
        <v>74</v>
      </c>
      <c r="E2490" t="str">
        <f>"FES1162724133"</f>
        <v>FES1162724133</v>
      </c>
      <c r="F2490" s="3">
        <v>43790</v>
      </c>
      <c r="G2490">
        <v>202005</v>
      </c>
      <c r="H2490" t="s">
        <v>75</v>
      </c>
      <c r="I2490" t="s">
        <v>76</v>
      </c>
      <c r="J2490" t="s">
        <v>77</v>
      </c>
      <c r="K2490" t="s">
        <v>78</v>
      </c>
      <c r="L2490" t="s">
        <v>75</v>
      </c>
      <c r="M2490" t="s">
        <v>76</v>
      </c>
      <c r="N2490" t="s">
        <v>360</v>
      </c>
      <c r="O2490" t="s">
        <v>82</v>
      </c>
      <c r="P2490" t="str">
        <f>"217071721099                  "</f>
        <v xml:space="preserve">217071721099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6.71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0.2</v>
      </c>
      <c r="BJ2490">
        <v>1.7</v>
      </c>
      <c r="BK2490">
        <v>2</v>
      </c>
      <c r="BL2490" s="4">
        <v>39.42</v>
      </c>
      <c r="BM2490" s="4">
        <v>5.91</v>
      </c>
      <c r="BN2490" s="4">
        <v>45.33</v>
      </c>
      <c r="BO2490" s="4">
        <v>45.33</v>
      </c>
      <c r="BQ2490" t="s">
        <v>109</v>
      </c>
      <c r="BR2490" t="s">
        <v>84</v>
      </c>
      <c r="BS2490" s="3">
        <v>43791</v>
      </c>
      <c r="BT2490" s="5">
        <v>0.4375</v>
      </c>
      <c r="BU2490" t="s">
        <v>1075</v>
      </c>
      <c r="BV2490" t="s">
        <v>86</v>
      </c>
      <c r="BY2490">
        <v>8409.6</v>
      </c>
      <c r="CA2490" t="s">
        <v>797</v>
      </c>
      <c r="CC2490" t="s">
        <v>76</v>
      </c>
      <c r="CD2490">
        <v>1645</v>
      </c>
      <c r="CE2490" t="s">
        <v>147</v>
      </c>
      <c r="CF2490" s="3">
        <v>43795</v>
      </c>
      <c r="CI2490">
        <v>1</v>
      </c>
      <c r="CJ2490">
        <v>1</v>
      </c>
      <c r="CK2490">
        <v>22</v>
      </c>
      <c r="CL2490" t="s">
        <v>89</v>
      </c>
    </row>
    <row r="2491" spans="1:90">
      <c r="A2491" t="s">
        <v>72</v>
      </c>
      <c r="B2491" t="s">
        <v>73</v>
      </c>
      <c r="C2491" t="s">
        <v>74</v>
      </c>
      <c r="E2491" t="str">
        <f>"FES1162724198"</f>
        <v>FES1162724198</v>
      </c>
      <c r="F2491" s="3">
        <v>43790</v>
      </c>
      <c r="G2491">
        <v>202005</v>
      </c>
      <c r="H2491" t="s">
        <v>75</v>
      </c>
      <c r="I2491" t="s">
        <v>76</v>
      </c>
      <c r="J2491" t="s">
        <v>77</v>
      </c>
      <c r="K2491" t="s">
        <v>78</v>
      </c>
      <c r="L2491" t="s">
        <v>106</v>
      </c>
      <c r="M2491" t="s">
        <v>107</v>
      </c>
      <c r="N2491" t="s">
        <v>260</v>
      </c>
      <c r="O2491" t="s">
        <v>82</v>
      </c>
      <c r="P2491" t="str">
        <f>"2170718152                    "</f>
        <v xml:space="preserve">2170718152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8.58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0.2</v>
      </c>
      <c r="BJ2491">
        <v>1.3</v>
      </c>
      <c r="BK2491">
        <v>1.5</v>
      </c>
      <c r="BL2491" s="4">
        <v>50.45</v>
      </c>
      <c r="BM2491" s="4">
        <v>7.57</v>
      </c>
      <c r="BN2491" s="4">
        <v>58.02</v>
      </c>
      <c r="BO2491" s="4">
        <v>58.02</v>
      </c>
      <c r="BQ2491" t="s">
        <v>121</v>
      </c>
      <c r="BR2491" t="s">
        <v>84</v>
      </c>
      <c r="BS2491" s="3">
        <v>43791</v>
      </c>
      <c r="BT2491" s="5">
        <v>0.34652777777777777</v>
      </c>
      <c r="BU2491" t="s">
        <v>2670</v>
      </c>
      <c r="BV2491" t="s">
        <v>86</v>
      </c>
      <c r="BY2491">
        <v>6422.43</v>
      </c>
      <c r="CA2491" t="s">
        <v>111</v>
      </c>
      <c r="CC2491" t="s">
        <v>107</v>
      </c>
      <c r="CD2491">
        <v>6001</v>
      </c>
      <c r="CE2491" t="s">
        <v>88</v>
      </c>
      <c r="CF2491" s="3">
        <v>43794</v>
      </c>
      <c r="CI2491">
        <v>1</v>
      </c>
      <c r="CJ2491">
        <v>1</v>
      </c>
      <c r="CK2491">
        <v>21</v>
      </c>
      <c r="CL2491" t="s">
        <v>89</v>
      </c>
    </row>
    <row r="2492" spans="1:90">
      <c r="A2492" t="s">
        <v>72</v>
      </c>
      <c r="B2492" t="s">
        <v>73</v>
      </c>
      <c r="C2492" t="s">
        <v>74</v>
      </c>
      <c r="E2492" t="str">
        <f>"FES1162724428"</f>
        <v>FES1162724428</v>
      </c>
      <c r="F2492" s="3">
        <v>43790</v>
      </c>
      <c r="G2492">
        <v>202005</v>
      </c>
      <c r="H2492" t="s">
        <v>75</v>
      </c>
      <c r="I2492" t="s">
        <v>76</v>
      </c>
      <c r="J2492" t="s">
        <v>77</v>
      </c>
      <c r="K2492" t="s">
        <v>78</v>
      </c>
      <c r="L2492" t="s">
        <v>90</v>
      </c>
      <c r="M2492" t="s">
        <v>91</v>
      </c>
      <c r="N2492" t="s">
        <v>505</v>
      </c>
      <c r="O2492" t="s">
        <v>82</v>
      </c>
      <c r="P2492" t="str">
        <f>"2170717342                    "</f>
        <v xml:space="preserve">2170717342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8.58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0.2</v>
      </c>
      <c r="BJ2492">
        <v>1</v>
      </c>
      <c r="BK2492">
        <v>1</v>
      </c>
      <c r="BL2492" s="4">
        <v>50.45</v>
      </c>
      <c r="BM2492" s="4">
        <v>7.57</v>
      </c>
      <c r="BN2492" s="4">
        <v>58.02</v>
      </c>
      <c r="BO2492" s="4">
        <v>58.02</v>
      </c>
      <c r="BQ2492" t="s">
        <v>121</v>
      </c>
      <c r="BR2492" t="s">
        <v>84</v>
      </c>
      <c r="BS2492" s="3">
        <v>43791</v>
      </c>
      <c r="BT2492" s="5">
        <v>0.35555555555555557</v>
      </c>
      <c r="BU2492" t="s">
        <v>1686</v>
      </c>
      <c r="BV2492" t="s">
        <v>86</v>
      </c>
      <c r="BY2492">
        <v>4853.88</v>
      </c>
      <c r="CA2492" t="s">
        <v>1121</v>
      </c>
      <c r="CC2492" t="s">
        <v>91</v>
      </c>
      <c r="CD2492">
        <v>7764</v>
      </c>
      <c r="CE2492" t="s">
        <v>147</v>
      </c>
      <c r="CF2492" s="3">
        <v>43794</v>
      </c>
      <c r="CI2492">
        <v>1</v>
      </c>
      <c r="CJ2492">
        <v>1</v>
      </c>
      <c r="CK2492">
        <v>21</v>
      </c>
      <c r="CL2492" t="s">
        <v>89</v>
      </c>
    </row>
    <row r="2493" spans="1:90">
      <c r="A2493" t="s">
        <v>72</v>
      </c>
      <c r="B2493" t="s">
        <v>73</v>
      </c>
      <c r="C2493" t="s">
        <v>74</v>
      </c>
      <c r="E2493" t="str">
        <f>"FES1162724240"</f>
        <v>FES1162724240</v>
      </c>
      <c r="F2493" s="3">
        <v>43790</v>
      </c>
      <c r="G2493">
        <v>202005</v>
      </c>
      <c r="H2493" t="s">
        <v>75</v>
      </c>
      <c r="I2493" t="s">
        <v>76</v>
      </c>
      <c r="J2493" t="s">
        <v>77</v>
      </c>
      <c r="K2493" t="s">
        <v>78</v>
      </c>
      <c r="L2493" t="s">
        <v>90</v>
      </c>
      <c r="M2493" t="s">
        <v>91</v>
      </c>
      <c r="N2493" t="s">
        <v>230</v>
      </c>
      <c r="O2493" t="s">
        <v>82</v>
      </c>
      <c r="P2493" t="str">
        <f>"2170715919                    "</f>
        <v xml:space="preserve">2170715919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8.58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0.2</v>
      </c>
      <c r="BJ2493">
        <v>1.8</v>
      </c>
      <c r="BK2493">
        <v>2</v>
      </c>
      <c r="BL2493" s="4">
        <v>50.45</v>
      </c>
      <c r="BM2493" s="4">
        <v>7.57</v>
      </c>
      <c r="BN2493" s="4">
        <v>58.02</v>
      </c>
      <c r="BO2493" s="4">
        <v>58.02</v>
      </c>
      <c r="BQ2493" t="s">
        <v>121</v>
      </c>
      <c r="BR2493" t="s">
        <v>84</v>
      </c>
      <c r="BS2493" s="3">
        <v>43791</v>
      </c>
      <c r="BT2493" s="5">
        <v>0.3833333333333333</v>
      </c>
      <c r="BU2493" t="s">
        <v>2671</v>
      </c>
      <c r="BV2493" t="s">
        <v>86</v>
      </c>
      <c r="BY2493">
        <v>9219.7800000000007</v>
      </c>
      <c r="CA2493" t="s">
        <v>680</v>
      </c>
      <c r="CC2493" t="s">
        <v>91</v>
      </c>
      <c r="CD2493">
        <v>7490</v>
      </c>
      <c r="CE2493" t="s">
        <v>147</v>
      </c>
      <c r="CF2493" s="3">
        <v>43794</v>
      </c>
      <c r="CI2493">
        <v>1</v>
      </c>
      <c r="CJ2493">
        <v>1</v>
      </c>
      <c r="CK2493">
        <v>21</v>
      </c>
      <c r="CL2493" t="s">
        <v>89</v>
      </c>
    </row>
    <row r="2494" spans="1:90">
      <c r="A2494" t="s">
        <v>72</v>
      </c>
      <c r="B2494" t="s">
        <v>73</v>
      </c>
      <c r="C2494" t="s">
        <v>74</v>
      </c>
      <c r="E2494" t="str">
        <f>"FES1162724248"</f>
        <v>FES1162724248</v>
      </c>
      <c r="F2494" s="3">
        <v>43790</v>
      </c>
      <c r="G2494">
        <v>202005</v>
      </c>
      <c r="H2494" t="s">
        <v>75</v>
      </c>
      <c r="I2494" t="s">
        <v>76</v>
      </c>
      <c r="J2494" t="s">
        <v>77</v>
      </c>
      <c r="K2494" t="s">
        <v>78</v>
      </c>
      <c r="L2494" t="s">
        <v>90</v>
      </c>
      <c r="M2494" t="s">
        <v>91</v>
      </c>
      <c r="N2494" t="s">
        <v>1610</v>
      </c>
      <c r="O2494" t="s">
        <v>82</v>
      </c>
      <c r="P2494" t="str">
        <f>"2170716004                    "</f>
        <v xml:space="preserve">2170716004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8.58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0.2</v>
      </c>
      <c r="BJ2494">
        <v>0.9</v>
      </c>
      <c r="BK2494">
        <v>1</v>
      </c>
      <c r="BL2494" s="4">
        <v>50.45</v>
      </c>
      <c r="BM2494" s="4">
        <v>7.57</v>
      </c>
      <c r="BN2494" s="4">
        <v>58.02</v>
      </c>
      <c r="BO2494" s="4">
        <v>58.02</v>
      </c>
      <c r="BQ2494" t="s">
        <v>121</v>
      </c>
      <c r="BR2494" t="s">
        <v>84</v>
      </c>
      <c r="BS2494" s="3">
        <v>43791</v>
      </c>
      <c r="BT2494" s="5">
        <v>0.46111111111111108</v>
      </c>
      <c r="BU2494" t="s">
        <v>2540</v>
      </c>
      <c r="BV2494" t="s">
        <v>86</v>
      </c>
      <c r="BY2494">
        <v>4527.63</v>
      </c>
      <c r="CA2494" t="s">
        <v>2541</v>
      </c>
      <c r="CC2494" t="s">
        <v>91</v>
      </c>
      <c r="CD2494">
        <v>7975</v>
      </c>
      <c r="CE2494" t="s">
        <v>147</v>
      </c>
      <c r="CF2494" s="3">
        <v>43794</v>
      </c>
      <c r="CI2494">
        <v>1</v>
      </c>
      <c r="CJ2494">
        <v>1</v>
      </c>
      <c r="CK2494">
        <v>21</v>
      </c>
      <c r="CL2494" t="s">
        <v>89</v>
      </c>
    </row>
    <row r="2495" spans="1:90">
      <c r="A2495" t="s">
        <v>72</v>
      </c>
      <c r="B2495" t="s">
        <v>73</v>
      </c>
      <c r="C2495" t="s">
        <v>74</v>
      </c>
      <c r="E2495" t="str">
        <f>"FES1162724345"</f>
        <v>FES1162724345</v>
      </c>
      <c r="F2495" s="3">
        <v>43790</v>
      </c>
      <c r="G2495">
        <v>202005</v>
      </c>
      <c r="H2495" t="s">
        <v>75</v>
      </c>
      <c r="I2495" t="s">
        <v>76</v>
      </c>
      <c r="J2495" t="s">
        <v>77</v>
      </c>
      <c r="K2495" t="s">
        <v>78</v>
      </c>
      <c r="L2495" t="s">
        <v>95</v>
      </c>
      <c r="M2495" t="s">
        <v>96</v>
      </c>
      <c r="N2495" t="s">
        <v>97</v>
      </c>
      <c r="O2495" t="s">
        <v>82</v>
      </c>
      <c r="P2495" t="str">
        <f>"2170715239                    "</f>
        <v xml:space="preserve">2170715239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6.71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0.2</v>
      </c>
      <c r="BJ2495">
        <v>1.3</v>
      </c>
      <c r="BK2495">
        <v>1.5</v>
      </c>
      <c r="BL2495" s="4">
        <v>39.42</v>
      </c>
      <c r="BM2495" s="4">
        <v>5.91</v>
      </c>
      <c r="BN2495" s="4">
        <v>45.33</v>
      </c>
      <c r="BO2495" s="4">
        <v>45.33</v>
      </c>
      <c r="BQ2495" t="s">
        <v>98</v>
      </c>
      <c r="BR2495" t="s">
        <v>84</v>
      </c>
      <c r="BS2495" s="3">
        <v>43791</v>
      </c>
      <c r="BT2495" s="5">
        <v>0.33333333333333331</v>
      </c>
      <c r="BU2495" t="s">
        <v>2672</v>
      </c>
      <c r="BV2495" t="s">
        <v>86</v>
      </c>
      <c r="BY2495">
        <v>6646.77</v>
      </c>
      <c r="CA2495" t="s">
        <v>100</v>
      </c>
      <c r="CC2495" t="s">
        <v>96</v>
      </c>
      <c r="CD2495">
        <v>1449</v>
      </c>
      <c r="CE2495" t="s">
        <v>147</v>
      </c>
      <c r="CF2495" s="3">
        <v>43794</v>
      </c>
      <c r="CI2495">
        <v>1</v>
      </c>
      <c r="CJ2495">
        <v>1</v>
      </c>
      <c r="CK2495">
        <v>22</v>
      </c>
      <c r="CL2495" t="s">
        <v>89</v>
      </c>
    </row>
    <row r="2496" spans="1:90">
      <c r="A2496" t="s">
        <v>72</v>
      </c>
      <c r="B2496" t="s">
        <v>73</v>
      </c>
      <c r="C2496" t="s">
        <v>74</v>
      </c>
      <c r="E2496" t="str">
        <f>"FES1162724258"</f>
        <v>FES1162724258</v>
      </c>
      <c r="F2496" s="3">
        <v>43790</v>
      </c>
      <c r="G2496">
        <v>202005</v>
      </c>
      <c r="H2496" t="s">
        <v>75</v>
      </c>
      <c r="I2496" t="s">
        <v>76</v>
      </c>
      <c r="J2496" t="s">
        <v>77</v>
      </c>
      <c r="K2496" t="s">
        <v>78</v>
      </c>
      <c r="L2496" t="s">
        <v>95</v>
      </c>
      <c r="M2496" t="s">
        <v>96</v>
      </c>
      <c r="N2496" t="s">
        <v>97</v>
      </c>
      <c r="O2496" t="s">
        <v>82</v>
      </c>
      <c r="P2496" t="str">
        <f>"2170716141                    "</f>
        <v xml:space="preserve">2170716141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6.71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0.6</v>
      </c>
      <c r="BJ2496">
        <v>1.3</v>
      </c>
      <c r="BK2496">
        <v>1.5</v>
      </c>
      <c r="BL2496" s="4">
        <v>39.42</v>
      </c>
      <c r="BM2496" s="4">
        <v>5.91</v>
      </c>
      <c r="BN2496" s="4">
        <v>45.33</v>
      </c>
      <c r="BO2496" s="4">
        <v>45.33</v>
      </c>
      <c r="BQ2496" t="s">
        <v>98</v>
      </c>
      <c r="BR2496" t="s">
        <v>84</v>
      </c>
      <c r="BS2496" s="3">
        <v>43791</v>
      </c>
      <c r="BT2496" s="5">
        <v>0.33333333333333331</v>
      </c>
      <c r="BU2496" t="s">
        <v>2672</v>
      </c>
      <c r="BV2496" t="s">
        <v>86</v>
      </c>
      <c r="BY2496">
        <v>6545.88</v>
      </c>
      <c r="CA2496" t="s">
        <v>100</v>
      </c>
      <c r="CC2496" t="s">
        <v>96</v>
      </c>
      <c r="CD2496">
        <v>1449</v>
      </c>
      <c r="CE2496" t="s">
        <v>147</v>
      </c>
      <c r="CF2496" s="3">
        <v>43794</v>
      </c>
      <c r="CI2496">
        <v>1</v>
      </c>
      <c r="CJ2496">
        <v>1</v>
      </c>
      <c r="CK2496">
        <v>22</v>
      </c>
      <c r="CL2496" t="s">
        <v>89</v>
      </c>
    </row>
    <row r="2497" spans="1:90">
      <c r="A2497" t="s">
        <v>72</v>
      </c>
      <c r="B2497" t="s">
        <v>73</v>
      </c>
      <c r="C2497" t="s">
        <v>74</v>
      </c>
      <c r="E2497" t="str">
        <f>"FES1162724390"</f>
        <v>FES1162724390</v>
      </c>
      <c r="F2497" s="3">
        <v>43790</v>
      </c>
      <c r="G2497">
        <v>202005</v>
      </c>
      <c r="H2497" t="s">
        <v>75</v>
      </c>
      <c r="I2497" t="s">
        <v>76</v>
      </c>
      <c r="J2497" t="s">
        <v>77</v>
      </c>
      <c r="K2497" t="s">
        <v>78</v>
      </c>
      <c r="L2497" t="s">
        <v>482</v>
      </c>
      <c r="M2497" t="s">
        <v>483</v>
      </c>
      <c r="N2497" t="s">
        <v>1165</v>
      </c>
      <c r="O2497" t="s">
        <v>82</v>
      </c>
      <c r="P2497" t="str">
        <f>"2170716220                    "</f>
        <v xml:space="preserve">2170716220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6.71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0.5</v>
      </c>
      <c r="BJ2497">
        <v>1.7</v>
      </c>
      <c r="BK2497">
        <v>2</v>
      </c>
      <c r="BL2497" s="4">
        <v>39.42</v>
      </c>
      <c r="BM2497" s="4">
        <v>5.91</v>
      </c>
      <c r="BN2497" s="4">
        <v>45.33</v>
      </c>
      <c r="BO2497" s="4">
        <v>45.33</v>
      </c>
      <c r="BQ2497" t="s">
        <v>109</v>
      </c>
      <c r="BR2497" t="s">
        <v>84</v>
      </c>
      <c r="BS2497" s="3">
        <v>43791</v>
      </c>
      <c r="BT2497" s="5">
        <v>0.25694444444444448</v>
      </c>
      <c r="BU2497" t="s">
        <v>2673</v>
      </c>
      <c r="BV2497" t="s">
        <v>86</v>
      </c>
      <c r="BY2497">
        <v>8528.25</v>
      </c>
      <c r="CA2497" t="s">
        <v>1336</v>
      </c>
      <c r="CC2497" t="s">
        <v>483</v>
      </c>
      <c r="CD2497">
        <v>1459</v>
      </c>
      <c r="CE2497" t="s">
        <v>147</v>
      </c>
      <c r="CF2497" s="3">
        <v>43794</v>
      </c>
      <c r="CI2497">
        <v>1</v>
      </c>
      <c r="CJ2497">
        <v>1</v>
      </c>
      <c r="CK2497">
        <v>22</v>
      </c>
      <c r="CL2497" t="s">
        <v>89</v>
      </c>
    </row>
    <row r="2498" spans="1:90">
      <c r="A2498" t="s">
        <v>72</v>
      </c>
      <c r="B2498" t="s">
        <v>73</v>
      </c>
      <c r="C2498" t="s">
        <v>74</v>
      </c>
      <c r="E2498" t="str">
        <f>"FES1162724434"</f>
        <v>FES1162724434</v>
      </c>
      <c r="F2498" s="3">
        <v>43790</v>
      </c>
      <c r="G2498">
        <v>202005</v>
      </c>
      <c r="H2498" t="s">
        <v>75</v>
      </c>
      <c r="I2498" t="s">
        <v>76</v>
      </c>
      <c r="J2498" t="s">
        <v>77</v>
      </c>
      <c r="K2498" t="s">
        <v>78</v>
      </c>
      <c r="L2498" t="s">
        <v>482</v>
      </c>
      <c r="M2498" t="s">
        <v>483</v>
      </c>
      <c r="N2498" t="s">
        <v>1054</v>
      </c>
      <c r="O2498" t="s">
        <v>82</v>
      </c>
      <c r="P2498" t="str">
        <f>"2170717873                    "</f>
        <v xml:space="preserve">2170717873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6.71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0.2</v>
      </c>
      <c r="BJ2498">
        <v>1</v>
      </c>
      <c r="BK2498">
        <v>1</v>
      </c>
      <c r="BL2498" s="4">
        <v>39.42</v>
      </c>
      <c r="BM2498" s="4">
        <v>5.91</v>
      </c>
      <c r="BN2498" s="4">
        <v>45.33</v>
      </c>
      <c r="BO2498" s="4">
        <v>45.33</v>
      </c>
      <c r="BQ2498" t="s">
        <v>109</v>
      </c>
      <c r="BR2498" t="s">
        <v>84</v>
      </c>
      <c r="BS2498" s="3">
        <v>43791</v>
      </c>
      <c r="BT2498" s="5">
        <v>0.33888888888888885</v>
      </c>
      <c r="BU2498" t="s">
        <v>877</v>
      </c>
      <c r="BV2498" t="s">
        <v>86</v>
      </c>
      <c r="BY2498">
        <v>4788.78</v>
      </c>
      <c r="CA2498" t="s">
        <v>486</v>
      </c>
      <c r="CC2498" t="s">
        <v>483</v>
      </c>
      <c r="CD2498">
        <v>1459</v>
      </c>
      <c r="CE2498" t="s">
        <v>88</v>
      </c>
      <c r="CF2498" s="3">
        <v>43794</v>
      </c>
      <c r="CI2498">
        <v>1</v>
      </c>
      <c r="CJ2498">
        <v>1</v>
      </c>
      <c r="CK2498">
        <v>22</v>
      </c>
      <c r="CL2498" t="s">
        <v>89</v>
      </c>
    </row>
    <row r="2499" spans="1:90">
      <c r="A2499" t="s">
        <v>72</v>
      </c>
      <c r="B2499" t="s">
        <v>73</v>
      </c>
      <c r="C2499" t="s">
        <v>74</v>
      </c>
      <c r="E2499" t="str">
        <f>"FES1162724391"</f>
        <v>FES1162724391</v>
      </c>
      <c r="F2499" s="3">
        <v>43790</v>
      </c>
      <c r="G2499">
        <v>202005</v>
      </c>
      <c r="H2499" t="s">
        <v>75</v>
      </c>
      <c r="I2499" t="s">
        <v>76</v>
      </c>
      <c r="J2499" t="s">
        <v>77</v>
      </c>
      <c r="K2499" t="s">
        <v>78</v>
      </c>
      <c r="L2499" t="s">
        <v>75</v>
      </c>
      <c r="M2499" t="s">
        <v>76</v>
      </c>
      <c r="N2499" t="s">
        <v>1423</v>
      </c>
      <c r="O2499" t="s">
        <v>82</v>
      </c>
      <c r="P2499" t="str">
        <f>"2170716240                    "</f>
        <v xml:space="preserve">2170716240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6.71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0.2</v>
      </c>
      <c r="BJ2499">
        <v>0.6</v>
      </c>
      <c r="BK2499">
        <v>1</v>
      </c>
      <c r="BL2499" s="4">
        <v>39.42</v>
      </c>
      <c r="BM2499" s="4">
        <v>5.91</v>
      </c>
      <c r="BN2499" s="4">
        <v>45.33</v>
      </c>
      <c r="BO2499" s="4">
        <v>45.33</v>
      </c>
      <c r="BQ2499" t="s">
        <v>121</v>
      </c>
      <c r="BR2499" t="s">
        <v>84</v>
      </c>
      <c r="BS2499" s="3">
        <v>43791</v>
      </c>
      <c r="BT2499" s="5">
        <v>0.31875000000000003</v>
      </c>
      <c r="BU2499" t="s">
        <v>1425</v>
      </c>
      <c r="BV2499" t="s">
        <v>86</v>
      </c>
      <c r="BY2499">
        <v>3194.64</v>
      </c>
      <c r="CA2499" t="s">
        <v>198</v>
      </c>
      <c r="CC2499" t="s">
        <v>76</v>
      </c>
      <c r="CD2499">
        <v>1601</v>
      </c>
      <c r="CE2499" t="s">
        <v>88</v>
      </c>
      <c r="CF2499" s="3">
        <v>43794</v>
      </c>
      <c r="CI2499">
        <v>1</v>
      </c>
      <c r="CJ2499">
        <v>1</v>
      </c>
      <c r="CK2499">
        <v>22</v>
      </c>
      <c r="CL2499" t="s">
        <v>89</v>
      </c>
    </row>
    <row r="2500" spans="1:90">
      <c r="A2500" t="s">
        <v>72</v>
      </c>
      <c r="B2500" t="s">
        <v>73</v>
      </c>
      <c r="C2500" t="s">
        <v>74</v>
      </c>
      <c r="E2500" t="str">
        <f>"FES1162724176"</f>
        <v>FES1162724176</v>
      </c>
      <c r="F2500" s="3">
        <v>43790</v>
      </c>
      <c r="G2500">
        <v>202005</v>
      </c>
      <c r="H2500" t="s">
        <v>75</v>
      </c>
      <c r="I2500" t="s">
        <v>76</v>
      </c>
      <c r="J2500" t="s">
        <v>77</v>
      </c>
      <c r="K2500" t="s">
        <v>78</v>
      </c>
      <c r="L2500" t="s">
        <v>202</v>
      </c>
      <c r="M2500" t="s">
        <v>203</v>
      </c>
      <c r="N2500" t="s">
        <v>479</v>
      </c>
      <c r="O2500" t="s">
        <v>82</v>
      </c>
      <c r="P2500" t="str">
        <f>"2170718122                    "</f>
        <v xml:space="preserve">2170718122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7.51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2.2000000000000002</v>
      </c>
      <c r="BK2500">
        <v>2.5</v>
      </c>
      <c r="BL2500" s="4">
        <v>44.14</v>
      </c>
      <c r="BM2500" s="4">
        <v>6.62</v>
      </c>
      <c r="BN2500" s="4">
        <v>50.76</v>
      </c>
      <c r="BO2500" s="4">
        <v>50.76</v>
      </c>
      <c r="BQ2500" t="s">
        <v>142</v>
      </c>
      <c r="BR2500" t="s">
        <v>84</v>
      </c>
      <c r="BS2500" s="3">
        <v>43791</v>
      </c>
      <c r="BT2500" s="5">
        <v>0.42291666666666666</v>
      </c>
      <c r="BU2500" t="s">
        <v>2674</v>
      </c>
      <c r="BV2500" t="s">
        <v>86</v>
      </c>
      <c r="BY2500">
        <v>10952.76</v>
      </c>
      <c r="CA2500" t="s">
        <v>1181</v>
      </c>
      <c r="CC2500" t="s">
        <v>203</v>
      </c>
      <c r="CD2500">
        <v>1401</v>
      </c>
      <c r="CE2500" t="s">
        <v>147</v>
      </c>
      <c r="CF2500" s="3">
        <v>43795</v>
      </c>
      <c r="CI2500">
        <v>1</v>
      </c>
      <c r="CJ2500">
        <v>1</v>
      </c>
      <c r="CK2500">
        <v>22</v>
      </c>
      <c r="CL2500" t="s">
        <v>89</v>
      </c>
    </row>
    <row r="2501" spans="1:90">
      <c r="A2501" t="s">
        <v>72</v>
      </c>
      <c r="B2501" t="s">
        <v>73</v>
      </c>
      <c r="C2501" t="s">
        <v>74</v>
      </c>
      <c r="E2501" t="str">
        <f>"FES1162724296"</f>
        <v>FES1162724296</v>
      </c>
      <c r="F2501" s="3">
        <v>43790</v>
      </c>
      <c r="G2501">
        <v>202005</v>
      </c>
      <c r="H2501" t="s">
        <v>75</v>
      </c>
      <c r="I2501" t="s">
        <v>76</v>
      </c>
      <c r="J2501" t="s">
        <v>77</v>
      </c>
      <c r="K2501" t="s">
        <v>78</v>
      </c>
      <c r="L2501" t="s">
        <v>482</v>
      </c>
      <c r="M2501" t="s">
        <v>483</v>
      </c>
      <c r="N2501" t="s">
        <v>544</v>
      </c>
      <c r="O2501" t="s">
        <v>82</v>
      </c>
      <c r="P2501" t="str">
        <f>"21707176867                   "</f>
        <v xml:space="preserve">21707176867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6.71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0.2</v>
      </c>
      <c r="BJ2501">
        <v>1.7</v>
      </c>
      <c r="BK2501">
        <v>2</v>
      </c>
      <c r="BL2501" s="4">
        <v>39.42</v>
      </c>
      <c r="BM2501" s="4">
        <v>5.91</v>
      </c>
      <c r="BN2501" s="4">
        <v>45.33</v>
      </c>
      <c r="BO2501" s="4">
        <v>45.33</v>
      </c>
      <c r="BQ2501" t="s">
        <v>545</v>
      </c>
      <c r="BR2501" t="s">
        <v>84</v>
      </c>
      <c r="BS2501" s="3">
        <v>43791</v>
      </c>
      <c r="BT2501" s="5">
        <v>0.33333333333333331</v>
      </c>
      <c r="BU2501" t="s">
        <v>231</v>
      </c>
      <c r="BV2501" t="s">
        <v>86</v>
      </c>
      <c r="BY2501">
        <v>8501.5</v>
      </c>
      <c r="CC2501" t="s">
        <v>483</v>
      </c>
      <c r="CD2501">
        <v>1459</v>
      </c>
      <c r="CE2501" t="s">
        <v>147</v>
      </c>
      <c r="CF2501" s="3">
        <v>43794</v>
      </c>
      <c r="CI2501">
        <v>1</v>
      </c>
      <c r="CJ2501">
        <v>1</v>
      </c>
      <c r="CK2501">
        <v>22</v>
      </c>
      <c r="CL2501" t="s">
        <v>89</v>
      </c>
    </row>
    <row r="2502" spans="1:90">
      <c r="A2502" t="s">
        <v>72</v>
      </c>
      <c r="B2502" t="s">
        <v>73</v>
      </c>
      <c r="C2502" t="s">
        <v>74</v>
      </c>
      <c r="E2502" t="str">
        <f>"FES1162724433"</f>
        <v>FES1162724433</v>
      </c>
      <c r="F2502" s="3">
        <v>43790</v>
      </c>
      <c r="G2502">
        <v>202005</v>
      </c>
      <c r="H2502" t="s">
        <v>75</v>
      </c>
      <c r="I2502" t="s">
        <v>76</v>
      </c>
      <c r="J2502" t="s">
        <v>77</v>
      </c>
      <c r="K2502" t="s">
        <v>78</v>
      </c>
      <c r="L2502" t="s">
        <v>90</v>
      </c>
      <c r="M2502" t="s">
        <v>91</v>
      </c>
      <c r="N2502" t="s">
        <v>393</v>
      </c>
      <c r="O2502" t="s">
        <v>82</v>
      </c>
      <c r="P2502" t="str">
        <f>"2170717683                    "</f>
        <v xml:space="preserve">2170717683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8.58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0.2</v>
      </c>
      <c r="BJ2502">
        <v>0.9</v>
      </c>
      <c r="BK2502">
        <v>1</v>
      </c>
      <c r="BL2502" s="4">
        <v>50.45</v>
      </c>
      <c r="BM2502" s="4">
        <v>7.57</v>
      </c>
      <c r="BN2502" s="4">
        <v>58.02</v>
      </c>
      <c r="BO2502" s="4">
        <v>58.02</v>
      </c>
      <c r="BQ2502" t="s">
        <v>1630</v>
      </c>
      <c r="BR2502" t="s">
        <v>84</v>
      </c>
      <c r="BS2502" s="3">
        <v>43791</v>
      </c>
      <c r="BT2502" s="5">
        <v>0.30416666666666664</v>
      </c>
      <c r="BU2502" t="s">
        <v>722</v>
      </c>
      <c r="BV2502" t="s">
        <v>86</v>
      </c>
      <c r="BY2502">
        <v>4441.28</v>
      </c>
      <c r="CA2502" t="s">
        <v>221</v>
      </c>
      <c r="CC2502" t="s">
        <v>91</v>
      </c>
      <c r="CD2502">
        <v>7405</v>
      </c>
      <c r="CE2502" t="s">
        <v>88</v>
      </c>
      <c r="CF2502" s="3">
        <v>43794</v>
      </c>
      <c r="CI2502">
        <v>1</v>
      </c>
      <c r="CJ2502">
        <v>1</v>
      </c>
      <c r="CK2502">
        <v>21</v>
      </c>
      <c r="CL2502" t="s">
        <v>89</v>
      </c>
    </row>
    <row r="2503" spans="1:90">
      <c r="A2503" t="s">
        <v>72</v>
      </c>
      <c r="B2503" t="s">
        <v>73</v>
      </c>
      <c r="C2503" t="s">
        <v>74</v>
      </c>
      <c r="E2503" t="str">
        <f>"FES1162724385"</f>
        <v>FES1162724385</v>
      </c>
      <c r="F2503" s="3">
        <v>43790</v>
      </c>
      <c r="G2503">
        <v>202005</v>
      </c>
      <c r="H2503" t="s">
        <v>75</v>
      </c>
      <c r="I2503" t="s">
        <v>76</v>
      </c>
      <c r="J2503" t="s">
        <v>77</v>
      </c>
      <c r="K2503" t="s">
        <v>78</v>
      </c>
      <c r="L2503" t="s">
        <v>482</v>
      </c>
      <c r="M2503" t="s">
        <v>483</v>
      </c>
      <c r="N2503" t="s">
        <v>1256</v>
      </c>
      <c r="O2503" t="s">
        <v>82</v>
      </c>
      <c r="P2503" t="str">
        <f>"2170715955                    "</f>
        <v xml:space="preserve">2170715955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6.71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1</v>
      </c>
      <c r="BK2503">
        <v>1</v>
      </c>
      <c r="BL2503" s="4">
        <v>39.42</v>
      </c>
      <c r="BM2503" s="4">
        <v>5.91</v>
      </c>
      <c r="BN2503" s="4">
        <v>45.33</v>
      </c>
      <c r="BO2503" s="4">
        <v>45.33</v>
      </c>
      <c r="BQ2503" t="s">
        <v>121</v>
      </c>
      <c r="BR2503" t="s">
        <v>84</v>
      </c>
      <c r="BS2503" s="3">
        <v>43791</v>
      </c>
      <c r="BT2503" s="5">
        <v>0.3527777777777778</v>
      </c>
      <c r="BU2503" t="s">
        <v>2615</v>
      </c>
      <c r="BV2503" t="s">
        <v>86</v>
      </c>
      <c r="BY2503">
        <v>5104.3500000000004</v>
      </c>
      <c r="CA2503" t="s">
        <v>1336</v>
      </c>
      <c r="CC2503" t="s">
        <v>483</v>
      </c>
      <c r="CD2503">
        <v>1459</v>
      </c>
      <c r="CE2503" t="s">
        <v>88</v>
      </c>
      <c r="CF2503" s="3">
        <v>43794</v>
      </c>
      <c r="CI2503">
        <v>1</v>
      </c>
      <c r="CJ2503">
        <v>1</v>
      </c>
      <c r="CK2503">
        <v>22</v>
      </c>
      <c r="CL2503" t="s">
        <v>89</v>
      </c>
    </row>
    <row r="2504" spans="1:90">
      <c r="A2504" t="s">
        <v>72</v>
      </c>
      <c r="B2504" t="s">
        <v>73</v>
      </c>
      <c r="C2504" t="s">
        <v>74</v>
      </c>
      <c r="E2504" t="str">
        <f>"FES1162724396"</f>
        <v>FES1162724396</v>
      </c>
      <c r="F2504" s="3">
        <v>43790</v>
      </c>
      <c r="G2504">
        <v>202005</v>
      </c>
      <c r="H2504" t="s">
        <v>75</v>
      </c>
      <c r="I2504" t="s">
        <v>76</v>
      </c>
      <c r="J2504" t="s">
        <v>77</v>
      </c>
      <c r="K2504" t="s">
        <v>78</v>
      </c>
      <c r="L2504" t="s">
        <v>95</v>
      </c>
      <c r="M2504" t="s">
        <v>96</v>
      </c>
      <c r="N2504" t="s">
        <v>330</v>
      </c>
      <c r="O2504" t="s">
        <v>82</v>
      </c>
      <c r="P2504" t="str">
        <f>"2170716282                    "</f>
        <v xml:space="preserve">2170716282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6.71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0.2</v>
      </c>
      <c r="BJ2504">
        <v>1.5</v>
      </c>
      <c r="BK2504">
        <v>1.5</v>
      </c>
      <c r="BL2504" s="4">
        <v>39.42</v>
      </c>
      <c r="BM2504" s="4">
        <v>5.91</v>
      </c>
      <c r="BN2504" s="4">
        <v>45.33</v>
      </c>
      <c r="BO2504" s="4">
        <v>45.33</v>
      </c>
      <c r="BQ2504" t="s">
        <v>109</v>
      </c>
      <c r="BR2504" t="s">
        <v>84</v>
      </c>
      <c r="BS2504" s="3">
        <v>43791</v>
      </c>
      <c r="BT2504" s="5">
        <v>0.36249999999999999</v>
      </c>
      <c r="BU2504" t="s">
        <v>1542</v>
      </c>
      <c r="BV2504" t="s">
        <v>86</v>
      </c>
      <c r="BY2504">
        <v>7291.74</v>
      </c>
      <c r="CA2504" t="s">
        <v>123</v>
      </c>
      <c r="CC2504" t="s">
        <v>96</v>
      </c>
      <c r="CD2504">
        <v>1451</v>
      </c>
      <c r="CE2504" t="s">
        <v>88</v>
      </c>
      <c r="CF2504" s="3">
        <v>43795</v>
      </c>
      <c r="CI2504">
        <v>1</v>
      </c>
      <c r="CJ2504">
        <v>1</v>
      </c>
      <c r="CK2504">
        <v>22</v>
      </c>
      <c r="CL2504" t="s">
        <v>89</v>
      </c>
    </row>
    <row r="2505" spans="1:90">
      <c r="A2505" t="s">
        <v>72</v>
      </c>
      <c r="B2505" t="s">
        <v>73</v>
      </c>
      <c r="C2505" t="s">
        <v>74</v>
      </c>
      <c r="E2505" t="str">
        <f>"FES1162724272"</f>
        <v>FES1162724272</v>
      </c>
      <c r="F2505" s="3">
        <v>43790</v>
      </c>
      <c r="G2505">
        <v>202005</v>
      </c>
      <c r="H2505" t="s">
        <v>75</v>
      </c>
      <c r="I2505" t="s">
        <v>76</v>
      </c>
      <c r="J2505" t="s">
        <v>77</v>
      </c>
      <c r="K2505" t="s">
        <v>78</v>
      </c>
      <c r="L2505" t="s">
        <v>176</v>
      </c>
      <c r="M2505" t="s">
        <v>177</v>
      </c>
      <c r="N2505" t="s">
        <v>1778</v>
      </c>
      <c r="O2505" t="s">
        <v>82</v>
      </c>
      <c r="P2505" t="str">
        <f>"2170716242                    "</f>
        <v xml:space="preserve">2170716242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19.3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4.3</v>
      </c>
      <c r="BJ2505">
        <v>3.3</v>
      </c>
      <c r="BK2505">
        <v>4.5</v>
      </c>
      <c r="BL2505" s="4">
        <v>113.47</v>
      </c>
      <c r="BM2505" s="4">
        <v>17.02</v>
      </c>
      <c r="BN2505" s="4">
        <v>130.49</v>
      </c>
      <c r="BO2505" s="4">
        <v>130.49</v>
      </c>
      <c r="BQ2505" t="s">
        <v>161</v>
      </c>
      <c r="BR2505" t="s">
        <v>84</v>
      </c>
      <c r="BS2505" s="3">
        <v>43791</v>
      </c>
      <c r="BT2505" s="5">
        <v>0.41666666666666669</v>
      </c>
      <c r="BU2505" t="s">
        <v>2150</v>
      </c>
      <c r="BV2505" t="s">
        <v>86</v>
      </c>
      <c r="BY2505">
        <v>16437.509999999998</v>
      </c>
      <c r="CA2505" t="s">
        <v>1339</v>
      </c>
      <c r="CC2505" t="s">
        <v>177</v>
      </c>
      <c r="CD2505">
        <v>4037</v>
      </c>
      <c r="CE2505" t="s">
        <v>88</v>
      </c>
      <c r="CF2505" s="3">
        <v>43794</v>
      </c>
      <c r="CI2505">
        <v>1</v>
      </c>
      <c r="CJ2505">
        <v>1</v>
      </c>
      <c r="CK2505">
        <v>21</v>
      </c>
      <c r="CL2505" t="s">
        <v>89</v>
      </c>
    </row>
    <row r="2506" spans="1:90">
      <c r="A2506" t="s">
        <v>72</v>
      </c>
      <c r="B2506" t="s">
        <v>73</v>
      </c>
      <c r="C2506" t="s">
        <v>74</v>
      </c>
      <c r="E2506" t="str">
        <f>"FES1162724187"</f>
        <v>FES1162724187</v>
      </c>
      <c r="F2506" s="3">
        <v>43790</v>
      </c>
      <c r="G2506">
        <v>202005</v>
      </c>
      <c r="H2506" t="s">
        <v>75</v>
      </c>
      <c r="I2506" t="s">
        <v>76</v>
      </c>
      <c r="J2506" t="s">
        <v>77</v>
      </c>
      <c r="K2506" t="s">
        <v>78</v>
      </c>
      <c r="L2506" t="s">
        <v>578</v>
      </c>
      <c r="M2506" t="s">
        <v>579</v>
      </c>
      <c r="N2506" t="s">
        <v>1020</v>
      </c>
      <c r="O2506" t="s">
        <v>82</v>
      </c>
      <c r="P2506" t="str">
        <f>"2170718134                    "</f>
        <v xml:space="preserve">2170718134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12.87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0.6</v>
      </c>
      <c r="BJ2506">
        <v>2.7</v>
      </c>
      <c r="BK2506">
        <v>3</v>
      </c>
      <c r="BL2506" s="4">
        <v>75.66</v>
      </c>
      <c r="BM2506" s="4">
        <v>11.35</v>
      </c>
      <c r="BN2506" s="4">
        <v>87.01</v>
      </c>
      <c r="BO2506" s="4">
        <v>87.01</v>
      </c>
      <c r="BQ2506" t="s">
        <v>121</v>
      </c>
      <c r="BR2506" t="s">
        <v>84</v>
      </c>
      <c r="BS2506" s="3">
        <v>43791</v>
      </c>
      <c r="BT2506" s="5">
        <v>0.35972222222222222</v>
      </c>
      <c r="BU2506" t="s">
        <v>1305</v>
      </c>
      <c r="BV2506" t="s">
        <v>86</v>
      </c>
      <c r="BY2506">
        <v>13416.78</v>
      </c>
      <c r="CA2506" t="s">
        <v>1022</v>
      </c>
      <c r="CC2506" t="s">
        <v>579</v>
      </c>
      <c r="CD2506">
        <v>7600</v>
      </c>
      <c r="CE2506" t="s">
        <v>147</v>
      </c>
      <c r="CF2506" s="3">
        <v>43794</v>
      </c>
      <c r="CI2506">
        <v>1</v>
      </c>
      <c r="CJ2506">
        <v>1</v>
      </c>
      <c r="CK2506">
        <v>21</v>
      </c>
      <c r="CL2506" t="s">
        <v>89</v>
      </c>
    </row>
    <row r="2507" spans="1:90">
      <c r="A2507" t="s">
        <v>72</v>
      </c>
      <c r="B2507" t="s">
        <v>73</v>
      </c>
      <c r="C2507" t="s">
        <v>74</v>
      </c>
      <c r="E2507" t="str">
        <f>"FES1162724366"</f>
        <v>FES1162724366</v>
      </c>
      <c r="F2507" s="3">
        <v>43790</v>
      </c>
      <c r="G2507">
        <v>202005</v>
      </c>
      <c r="H2507" t="s">
        <v>75</v>
      </c>
      <c r="I2507" t="s">
        <v>76</v>
      </c>
      <c r="J2507" t="s">
        <v>77</v>
      </c>
      <c r="K2507" t="s">
        <v>78</v>
      </c>
      <c r="L2507" t="s">
        <v>79</v>
      </c>
      <c r="M2507" t="s">
        <v>80</v>
      </c>
      <c r="N2507" t="s">
        <v>908</v>
      </c>
      <c r="O2507" t="s">
        <v>82</v>
      </c>
      <c r="P2507" t="str">
        <f>"217071851613                  "</f>
        <v xml:space="preserve">217071851613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8.58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0.2</v>
      </c>
      <c r="BJ2507">
        <v>1.1000000000000001</v>
      </c>
      <c r="BK2507">
        <v>1.5</v>
      </c>
      <c r="BL2507" s="4">
        <v>50.45</v>
      </c>
      <c r="BM2507" s="4">
        <v>7.57</v>
      </c>
      <c r="BN2507" s="4">
        <v>58.02</v>
      </c>
      <c r="BO2507" s="4">
        <v>58.02</v>
      </c>
      <c r="BQ2507" t="s">
        <v>909</v>
      </c>
      <c r="BR2507" t="s">
        <v>84</v>
      </c>
      <c r="BS2507" s="3">
        <v>43791</v>
      </c>
      <c r="BT2507" s="5">
        <v>0.3298611111111111</v>
      </c>
      <c r="BU2507" t="s">
        <v>2250</v>
      </c>
      <c r="BV2507" t="s">
        <v>86</v>
      </c>
      <c r="BY2507">
        <v>5570.96</v>
      </c>
      <c r="CA2507" t="s">
        <v>87</v>
      </c>
      <c r="CC2507" t="s">
        <v>80</v>
      </c>
      <c r="CD2507">
        <v>6230</v>
      </c>
      <c r="CE2507" t="s">
        <v>147</v>
      </c>
      <c r="CF2507" s="3">
        <v>43794</v>
      </c>
      <c r="CI2507">
        <v>1</v>
      </c>
      <c r="CJ2507">
        <v>1</v>
      </c>
      <c r="CK2507">
        <v>21</v>
      </c>
      <c r="CL2507" t="s">
        <v>89</v>
      </c>
    </row>
    <row r="2508" spans="1:90">
      <c r="A2508" t="s">
        <v>72</v>
      </c>
      <c r="B2508" t="s">
        <v>73</v>
      </c>
      <c r="C2508" t="s">
        <v>74</v>
      </c>
      <c r="E2508" t="str">
        <f>"FES1162724175"</f>
        <v>FES1162724175</v>
      </c>
      <c r="F2508" s="3">
        <v>43790</v>
      </c>
      <c r="G2508">
        <v>202005</v>
      </c>
      <c r="H2508" t="s">
        <v>75</v>
      </c>
      <c r="I2508" t="s">
        <v>76</v>
      </c>
      <c r="J2508" t="s">
        <v>77</v>
      </c>
      <c r="K2508" t="s">
        <v>78</v>
      </c>
      <c r="L2508" t="s">
        <v>95</v>
      </c>
      <c r="M2508" t="s">
        <v>96</v>
      </c>
      <c r="N2508" t="s">
        <v>2393</v>
      </c>
      <c r="O2508" t="s">
        <v>82</v>
      </c>
      <c r="P2508" t="str">
        <f>"2170718118                    "</f>
        <v xml:space="preserve">2170718118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6.71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0.2</v>
      </c>
      <c r="BJ2508">
        <v>0.6</v>
      </c>
      <c r="BK2508">
        <v>1</v>
      </c>
      <c r="BL2508" s="4">
        <v>39.42</v>
      </c>
      <c r="BM2508" s="4">
        <v>5.91</v>
      </c>
      <c r="BN2508" s="4">
        <v>45.33</v>
      </c>
      <c r="BO2508" s="4">
        <v>45.33</v>
      </c>
      <c r="BQ2508" t="s">
        <v>187</v>
      </c>
      <c r="BR2508" t="s">
        <v>84</v>
      </c>
      <c r="BS2508" s="3">
        <v>43791</v>
      </c>
      <c r="BT2508" s="5">
        <v>0.33333333333333331</v>
      </c>
      <c r="BU2508" t="s">
        <v>1542</v>
      </c>
      <c r="BV2508" t="s">
        <v>86</v>
      </c>
      <c r="BY2508">
        <v>3099.6</v>
      </c>
      <c r="CA2508" t="s">
        <v>123</v>
      </c>
      <c r="CC2508" t="s">
        <v>96</v>
      </c>
      <c r="CD2508">
        <v>1451</v>
      </c>
      <c r="CE2508" t="s">
        <v>147</v>
      </c>
      <c r="CF2508" s="3">
        <v>43795</v>
      </c>
      <c r="CI2508">
        <v>1</v>
      </c>
      <c r="CJ2508">
        <v>1</v>
      </c>
      <c r="CK2508">
        <v>22</v>
      </c>
      <c r="CL2508" t="s">
        <v>89</v>
      </c>
    </row>
    <row r="2509" spans="1:90">
      <c r="A2509" t="s">
        <v>72</v>
      </c>
      <c r="B2509" t="s">
        <v>73</v>
      </c>
      <c r="C2509" t="s">
        <v>74</v>
      </c>
      <c r="E2509" t="str">
        <f>"FES1162724148"</f>
        <v>FES1162724148</v>
      </c>
      <c r="F2509" s="3">
        <v>43790</v>
      </c>
      <c r="G2509">
        <v>202005</v>
      </c>
      <c r="H2509" t="s">
        <v>75</v>
      </c>
      <c r="I2509" t="s">
        <v>76</v>
      </c>
      <c r="J2509" t="s">
        <v>77</v>
      </c>
      <c r="K2509" t="s">
        <v>78</v>
      </c>
      <c r="L2509" t="s">
        <v>106</v>
      </c>
      <c r="M2509" t="s">
        <v>107</v>
      </c>
      <c r="N2509" t="s">
        <v>108</v>
      </c>
      <c r="O2509" t="s">
        <v>82</v>
      </c>
      <c r="P2509" t="str">
        <f>"2170715445                    "</f>
        <v xml:space="preserve">2170715445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8.58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0.2</v>
      </c>
      <c r="BJ2509">
        <v>0.9</v>
      </c>
      <c r="BK2509">
        <v>1</v>
      </c>
      <c r="BL2509" s="4">
        <v>50.45</v>
      </c>
      <c r="BM2509" s="4">
        <v>7.57</v>
      </c>
      <c r="BN2509" s="4">
        <v>58.02</v>
      </c>
      <c r="BO2509" s="4">
        <v>58.02</v>
      </c>
      <c r="BQ2509" t="s">
        <v>109</v>
      </c>
      <c r="BR2509" t="s">
        <v>84</v>
      </c>
      <c r="BS2509" s="3">
        <v>43791</v>
      </c>
      <c r="BT2509" s="5">
        <v>0.37152777777777773</v>
      </c>
      <c r="BU2509" t="s">
        <v>110</v>
      </c>
      <c r="BV2509" t="s">
        <v>86</v>
      </c>
      <c r="BY2509">
        <v>4691.6000000000004</v>
      </c>
      <c r="CA2509" t="s">
        <v>111</v>
      </c>
      <c r="CC2509" t="s">
        <v>107</v>
      </c>
      <c r="CD2509">
        <v>6001</v>
      </c>
      <c r="CE2509" t="s">
        <v>147</v>
      </c>
      <c r="CF2509" s="3">
        <v>43794</v>
      </c>
      <c r="CI2509">
        <v>1</v>
      </c>
      <c r="CJ2509">
        <v>1</v>
      </c>
      <c r="CK2509">
        <v>21</v>
      </c>
      <c r="CL2509" t="s">
        <v>89</v>
      </c>
    </row>
    <row r="2510" spans="1:90">
      <c r="A2510" t="s">
        <v>72</v>
      </c>
      <c r="B2510" t="s">
        <v>73</v>
      </c>
      <c r="C2510" t="s">
        <v>74</v>
      </c>
      <c r="E2510" t="str">
        <f>"FES1162724450"</f>
        <v>FES1162724450</v>
      </c>
      <c r="F2510" s="3">
        <v>43790</v>
      </c>
      <c r="G2510">
        <v>202005</v>
      </c>
      <c r="H2510" t="s">
        <v>75</v>
      </c>
      <c r="I2510" t="s">
        <v>76</v>
      </c>
      <c r="J2510" t="s">
        <v>77</v>
      </c>
      <c r="K2510" t="s">
        <v>78</v>
      </c>
      <c r="L2510" t="s">
        <v>2120</v>
      </c>
      <c r="M2510" t="s">
        <v>2121</v>
      </c>
      <c r="N2510" t="s">
        <v>2122</v>
      </c>
      <c r="O2510" t="s">
        <v>82</v>
      </c>
      <c r="P2510" t="str">
        <f>"2170718200                    "</f>
        <v xml:space="preserve">2170718200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16.63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0.7</v>
      </c>
      <c r="BJ2510">
        <v>1.6</v>
      </c>
      <c r="BK2510">
        <v>2</v>
      </c>
      <c r="BL2510" s="4">
        <v>97.75</v>
      </c>
      <c r="BM2510" s="4">
        <v>14.66</v>
      </c>
      <c r="BN2510" s="4">
        <v>112.41</v>
      </c>
      <c r="BO2510" s="4">
        <v>112.41</v>
      </c>
      <c r="BR2510" t="s">
        <v>84</v>
      </c>
      <c r="BS2510" s="3">
        <v>43791</v>
      </c>
      <c r="BT2510" s="5">
        <v>0.4916666666666667</v>
      </c>
      <c r="BU2510" t="s">
        <v>2675</v>
      </c>
      <c r="BV2510" t="s">
        <v>86</v>
      </c>
      <c r="BY2510">
        <v>8162.28</v>
      </c>
      <c r="CA2510" t="s">
        <v>2676</v>
      </c>
      <c r="CC2510" t="s">
        <v>2121</v>
      </c>
      <c r="CD2510">
        <v>9730</v>
      </c>
      <c r="CE2510" t="s">
        <v>147</v>
      </c>
      <c r="CF2510" s="3">
        <v>43796</v>
      </c>
      <c r="CI2510">
        <v>1</v>
      </c>
      <c r="CJ2510">
        <v>1</v>
      </c>
      <c r="CK2510">
        <v>23</v>
      </c>
      <c r="CL2510" t="s">
        <v>89</v>
      </c>
    </row>
    <row r="2511" spans="1:90">
      <c r="A2511" t="s">
        <v>72</v>
      </c>
      <c r="B2511" t="s">
        <v>73</v>
      </c>
      <c r="C2511" t="s">
        <v>74</v>
      </c>
      <c r="E2511" t="str">
        <f>"FES1162724211"</f>
        <v>FES1162724211</v>
      </c>
      <c r="F2511" s="3">
        <v>43790</v>
      </c>
      <c r="G2511">
        <v>202005</v>
      </c>
      <c r="H2511" t="s">
        <v>75</v>
      </c>
      <c r="I2511" t="s">
        <v>76</v>
      </c>
      <c r="J2511" t="s">
        <v>77</v>
      </c>
      <c r="K2511" t="s">
        <v>78</v>
      </c>
      <c r="L2511" t="s">
        <v>101</v>
      </c>
      <c r="M2511" t="s">
        <v>102</v>
      </c>
      <c r="N2511" t="s">
        <v>867</v>
      </c>
      <c r="O2511" t="s">
        <v>82</v>
      </c>
      <c r="P2511" t="str">
        <f>"2170715155                    "</f>
        <v xml:space="preserve">2170715155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8.58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0.2</v>
      </c>
      <c r="BJ2511">
        <v>1.1000000000000001</v>
      </c>
      <c r="BK2511">
        <v>1.5</v>
      </c>
      <c r="BL2511" s="4">
        <v>50.45</v>
      </c>
      <c r="BM2511" s="4">
        <v>7.57</v>
      </c>
      <c r="BN2511" s="4">
        <v>58.02</v>
      </c>
      <c r="BO2511" s="4">
        <v>58.02</v>
      </c>
      <c r="BR2511" t="s">
        <v>84</v>
      </c>
      <c r="BS2511" s="3">
        <v>43791</v>
      </c>
      <c r="BT2511" s="5">
        <v>0.36805555555555558</v>
      </c>
      <c r="BU2511" t="s">
        <v>1599</v>
      </c>
      <c r="BV2511" t="s">
        <v>86</v>
      </c>
      <c r="BY2511">
        <v>5574.6</v>
      </c>
      <c r="CA2511" t="s">
        <v>343</v>
      </c>
      <c r="CC2511" t="s">
        <v>102</v>
      </c>
      <c r="CD2511">
        <v>1</v>
      </c>
      <c r="CE2511" t="s">
        <v>147</v>
      </c>
      <c r="CF2511" s="3">
        <v>43794</v>
      </c>
      <c r="CI2511">
        <v>1</v>
      </c>
      <c r="CJ2511">
        <v>1</v>
      </c>
      <c r="CK2511">
        <v>21</v>
      </c>
      <c r="CL2511" t="s">
        <v>89</v>
      </c>
    </row>
    <row r="2512" spans="1:90">
      <c r="A2512" t="s">
        <v>72</v>
      </c>
      <c r="B2512" t="s">
        <v>73</v>
      </c>
      <c r="C2512" t="s">
        <v>74</v>
      </c>
      <c r="E2512" t="str">
        <f>"FES1162724289"</f>
        <v>FES1162724289</v>
      </c>
      <c r="F2512" s="3">
        <v>43790</v>
      </c>
      <c r="G2512">
        <v>202005</v>
      </c>
      <c r="H2512" t="s">
        <v>75</v>
      </c>
      <c r="I2512" t="s">
        <v>76</v>
      </c>
      <c r="J2512" t="s">
        <v>77</v>
      </c>
      <c r="K2512" t="s">
        <v>78</v>
      </c>
      <c r="L2512" t="s">
        <v>681</v>
      </c>
      <c r="M2512" t="s">
        <v>682</v>
      </c>
      <c r="N2512" t="s">
        <v>2677</v>
      </c>
      <c r="O2512" t="s">
        <v>82</v>
      </c>
      <c r="P2512" t="str">
        <f>"2170717387                    "</f>
        <v xml:space="preserve">2170717387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12.07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0.2</v>
      </c>
      <c r="BJ2512">
        <v>1.8</v>
      </c>
      <c r="BK2512">
        <v>2</v>
      </c>
      <c r="BL2512" s="4">
        <v>70.95</v>
      </c>
      <c r="BM2512" s="4">
        <v>10.64</v>
      </c>
      <c r="BN2512" s="4">
        <v>81.59</v>
      </c>
      <c r="BO2512" s="4">
        <v>81.59</v>
      </c>
      <c r="BQ2512" t="s">
        <v>142</v>
      </c>
      <c r="BR2512" t="s">
        <v>84</v>
      </c>
      <c r="BS2512" s="3">
        <v>43791</v>
      </c>
      <c r="BT2512" s="5">
        <v>0.43194444444444446</v>
      </c>
      <c r="BU2512" t="s">
        <v>2678</v>
      </c>
      <c r="BV2512" t="s">
        <v>86</v>
      </c>
      <c r="BY2512">
        <v>9064.6200000000008</v>
      </c>
      <c r="CA2512" t="s">
        <v>1224</v>
      </c>
      <c r="CC2512" t="s">
        <v>682</v>
      </c>
      <c r="CD2512">
        <v>1939</v>
      </c>
      <c r="CE2512" t="s">
        <v>147</v>
      </c>
      <c r="CF2512" s="3">
        <v>43794</v>
      </c>
      <c r="CI2512">
        <v>1</v>
      </c>
      <c r="CJ2512">
        <v>1</v>
      </c>
      <c r="CK2512">
        <v>24</v>
      </c>
      <c r="CL2512" t="s">
        <v>89</v>
      </c>
    </row>
    <row r="2513" spans="1:90">
      <c r="A2513" t="s">
        <v>72</v>
      </c>
      <c r="B2513" t="s">
        <v>73</v>
      </c>
      <c r="C2513" t="s">
        <v>74</v>
      </c>
      <c r="E2513" t="str">
        <f>"FES1162724162"</f>
        <v>FES1162724162</v>
      </c>
      <c r="F2513" s="3">
        <v>43790</v>
      </c>
      <c r="G2513">
        <v>202005</v>
      </c>
      <c r="H2513" t="s">
        <v>75</v>
      </c>
      <c r="I2513" t="s">
        <v>76</v>
      </c>
      <c r="J2513" t="s">
        <v>77</v>
      </c>
      <c r="K2513" t="s">
        <v>78</v>
      </c>
      <c r="L2513" t="s">
        <v>202</v>
      </c>
      <c r="M2513" t="s">
        <v>203</v>
      </c>
      <c r="N2513" t="s">
        <v>204</v>
      </c>
      <c r="O2513" t="s">
        <v>82</v>
      </c>
      <c r="P2513" t="str">
        <f>"2170716627                    "</f>
        <v xml:space="preserve">2170716627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6.71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0.6</v>
      </c>
      <c r="BJ2513">
        <v>1.9</v>
      </c>
      <c r="BK2513">
        <v>2</v>
      </c>
      <c r="BL2513" s="4">
        <v>39.42</v>
      </c>
      <c r="BM2513" s="4">
        <v>5.91</v>
      </c>
      <c r="BN2513" s="4">
        <v>45.33</v>
      </c>
      <c r="BO2513" s="4">
        <v>45.33</v>
      </c>
      <c r="BQ2513" t="s">
        <v>2679</v>
      </c>
      <c r="BR2513" t="s">
        <v>84</v>
      </c>
      <c r="BS2513" s="3">
        <v>43791</v>
      </c>
      <c r="BT2513" s="5">
        <v>0.38194444444444442</v>
      </c>
      <c r="BU2513" t="s">
        <v>2680</v>
      </c>
      <c r="BV2513" t="s">
        <v>86</v>
      </c>
      <c r="BY2513">
        <v>9475.92</v>
      </c>
      <c r="CC2513" t="s">
        <v>203</v>
      </c>
      <c r="CD2513">
        <v>1422</v>
      </c>
      <c r="CE2513" t="s">
        <v>147</v>
      </c>
      <c r="CF2513" s="3">
        <v>43794</v>
      </c>
      <c r="CI2513">
        <v>1</v>
      </c>
      <c r="CJ2513">
        <v>1</v>
      </c>
      <c r="CK2513">
        <v>22</v>
      </c>
      <c r="CL2513" t="s">
        <v>89</v>
      </c>
    </row>
    <row r="2514" spans="1:90">
      <c r="A2514" t="s">
        <v>72</v>
      </c>
      <c r="B2514" t="s">
        <v>73</v>
      </c>
      <c r="C2514" t="s">
        <v>74</v>
      </c>
      <c r="E2514" t="str">
        <f>"FES1162724290"</f>
        <v>FES1162724290</v>
      </c>
      <c r="F2514" s="3">
        <v>43790</v>
      </c>
      <c r="G2514">
        <v>202005</v>
      </c>
      <c r="H2514" t="s">
        <v>75</v>
      </c>
      <c r="I2514" t="s">
        <v>76</v>
      </c>
      <c r="J2514" t="s">
        <v>77</v>
      </c>
      <c r="K2514" t="s">
        <v>78</v>
      </c>
      <c r="L2514" t="s">
        <v>75</v>
      </c>
      <c r="M2514" t="s">
        <v>76</v>
      </c>
      <c r="N2514" t="s">
        <v>1416</v>
      </c>
      <c r="O2514" t="s">
        <v>82</v>
      </c>
      <c r="P2514" t="str">
        <f>"2170717474                    "</f>
        <v xml:space="preserve">2170717474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6.71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0.6</v>
      </c>
      <c r="BJ2514">
        <v>1.5</v>
      </c>
      <c r="BK2514">
        <v>1.5</v>
      </c>
      <c r="BL2514" s="4">
        <v>39.42</v>
      </c>
      <c r="BM2514" s="4">
        <v>5.91</v>
      </c>
      <c r="BN2514" s="4">
        <v>45.33</v>
      </c>
      <c r="BO2514" s="4">
        <v>45.33</v>
      </c>
      <c r="BQ2514" t="s">
        <v>1417</v>
      </c>
      <c r="BR2514" t="s">
        <v>84</v>
      </c>
      <c r="BS2514" s="3">
        <v>43791</v>
      </c>
      <c r="BT2514" s="5">
        <v>0.27708333333333335</v>
      </c>
      <c r="BU2514" t="s">
        <v>2624</v>
      </c>
      <c r="BV2514" t="s">
        <v>86</v>
      </c>
      <c r="BY2514">
        <v>7468.56</v>
      </c>
      <c r="CA2514" t="s">
        <v>198</v>
      </c>
      <c r="CC2514" t="s">
        <v>76</v>
      </c>
      <c r="CD2514">
        <v>1601</v>
      </c>
      <c r="CE2514" t="s">
        <v>147</v>
      </c>
      <c r="CF2514" s="3">
        <v>43794</v>
      </c>
      <c r="CI2514">
        <v>1</v>
      </c>
      <c r="CJ2514">
        <v>1</v>
      </c>
      <c r="CK2514">
        <v>22</v>
      </c>
      <c r="CL2514" t="s">
        <v>89</v>
      </c>
    </row>
    <row r="2515" spans="1:90">
      <c r="A2515" t="s">
        <v>72</v>
      </c>
      <c r="B2515" t="s">
        <v>73</v>
      </c>
      <c r="C2515" t="s">
        <v>74</v>
      </c>
      <c r="E2515" t="str">
        <f>"FES1162724193"</f>
        <v>FES1162724193</v>
      </c>
      <c r="F2515" s="3">
        <v>43790</v>
      </c>
      <c r="G2515">
        <v>202005</v>
      </c>
      <c r="H2515" t="s">
        <v>75</v>
      </c>
      <c r="I2515" t="s">
        <v>76</v>
      </c>
      <c r="J2515" t="s">
        <v>77</v>
      </c>
      <c r="K2515" t="s">
        <v>78</v>
      </c>
      <c r="L2515" t="s">
        <v>75</v>
      </c>
      <c r="M2515" t="s">
        <v>76</v>
      </c>
      <c r="N2515" t="s">
        <v>2681</v>
      </c>
      <c r="O2515" t="s">
        <v>82</v>
      </c>
      <c r="P2515" t="str">
        <f>"2170718142                    "</f>
        <v xml:space="preserve">2170718142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6.71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0.2</v>
      </c>
      <c r="BJ2515">
        <v>2</v>
      </c>
      <c r="BK2515">
        <v>2</v>
      </c>
      <c r="BL2515" s="4">
        <v>39.42</v>
      </c>
      <c r="BM2515" s="4">
        <v>5.91</v>
      </c>
      <c r="BN2515" s="4">
        <v>45.33</v>
      </c>
      <c r="BO2515" s="4">
        <v>45.33</v>
      </c>
      <c r="BQ2515" t="s">
        <v>2682</v>
      </c>
      <c r="BR2515" t="s">
        <v>84</v>
      </c>
      <c r="BS2515" s="3">
        <v>43791</v>
      </c>
      <c r="BT2515" s="5">
        <v>0.34236111111111112</v>
      </c>
      <c r="BU2515" t="s">
        <v>2683</v>
      </c>
      <c r="BV2515" t="s">
        <v>86</v>
      </c>
      <c r="BY2515">
        <v>10089</v>
      </c>
      <c r="CA2515" t="s">
        <v>198</v>
      </c>
      <c r="CC2515" t="s">
        <v>76</v>
      </c>
      <c r="CD2515">
        <v>1600</v>
      </c>
      <c r="CE2515" t="s">
        <v>147</v>
      </c>
      <c r="CF2515" s="3">
        <v>43794</v>
      </c>
      <c r="CI2515">
        <v>1</v>
      </c>
      <c r="CJ2515">
        <v>1</v>
      </c>
      <c r="CK2515">
        <v>22</v>
      </c>
      <c r="CL2515" t="s">
        <v>89</v>
      </c>
    </row>
    <row r="2516" spans="1:90">
      <c r="A2516" t="s">
        <v>72</v>
      </c>
      <c r="B2516" t="s">
        <v>73</v>
      </c>
      <c r="C2516" t="s">
        <v>74</v>
      </c>
      <c r="E2516" t="str">
        <f>"FES1162724271"</f>
        <v>FES1162724271</v>
      </c>
      <c r="F2516" s="3">
        <v>43790</v>
      </c>
      <c r="G2516">
        <v>202005</v>
      </c>
      <c r="H2516" t="s">
        <v>75</v>
      </c>
      <c r="I2516" t="s">
        <v>76</v>
      </c>
      <c r="J2516" t="s">
        <v>77</v>
      </c>
      <c r="K2516" t="s">
        <v>78</v>
      </c>
      <c r="L2516" t="s">
        <v>482</v>
      </c>
      <c r="M2516" t="s">
        <v>483</v>
      </c>
      <c r="N2516" t="s">
        <v>2684</v>
      </c>
      <c r="O2516" t="s">
        <v>82</v>
      </c>
      <c r="P2516" t="str">
        <f>"217716236                     "</f>
        <v xml:space="preserve">217716236 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6.71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0.2</v>
      </c>
      <c r="BJ2516">
        <v>0.9</v>
      </c>
      <c r="BK2516">
        <v>1</v>
      </c>
      <c r="BL2516" s="4">
        <v>39.42</v>
      </c>
      <c r="BM2516" s="4">
        <v>5.91</v>
      </c>
      <c r="BN2516" s="4">
        <v>45.33</v>
      </c>
      <c r="BO2516" s="4">
        <v>45.33</v>
      </c>
      <c r="BQ2516" t="s">
        <v>142</v>
      </c>
      <c r="BR2516" t="s">
        <v>84</v>
      </c>
      <c r="BS2516" s="3">
        <v>43791</v>
      </c>
      <c r="BT2516" s="5">
        <v>0.36249999999999999</v>
      </c>
      <c r="BU2516" t="s">
        <v>2685</v>
      </c>
      <c r="BV2516" t="s">
        <v>86</v>
      </c>
      <c r="BY2516">
        <v>4658.12</v>
      </c>
      <c r="CA2516" t="s">
        <v>1336</v>
      </c>
      <c r="CC2516" t="s">
        <v>483</v>
      </c>
      <c r="CD2516">
        <v>1460</v>
      </c>
      <c r="CE2516" t="s">
        <v>147</v>
      </c>
      <c r="CF2516" s="3">
        <v>43794</v>
      </c>
      <c r="CI2516">
        <v>1</v>
      </c>
      <c r="CJ2516">
        <v>1</v>
      </c>
      <c r="CK2516">
        <v>22</v>
      </c>
      <c r="CL2516" t="s">
        <v>89</v>
      </c>
    </row>
    <row r="2517" spans="1:90">
      <c r="A2517" t="s">
        <v>72</v>
      </c>
      <c r="B2517" t="s">
        <v>73</v>
      </c>
      <c r="C2517" t="s">
        <v>74</v>
      </c>
      <c r="E2517" t="str">
        <f>"FES1162724341"</f>
        <v>FES1162724341</v>
      </c>
      <c r="F2517" s="3">
        <v>43790</v>
      </c>
      <c r="G2517">
        <v>202005</v>
      </c>
      <c r="H2517" t="s">
        <v>75</v>
      </c>
      <c r="I2517" t="s">
        <v>76</v>
      </c>
      <c r="J2517" t="s">
        <v>77</v>
      </c>
      <c r="K2517" t="s">
        <v>78</v>
      </c>
      <c r="L2517" t="s">
        <v>339</v>
      </c>
      <c r="M2517" t="s">
        <v>340</v>
      </c>
      <c r="N2517" t="s">
        <v>341</v>
      </c>
      <c r="O2517" t="s">
        <v>82</v>
      </c>
      <c r="P2517" t="str">
        <f>"2170715216                    "</f>
        <v xml:space="preserve">2170715216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10.73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0.2</v>
      </c>
      <c r="BJ2517">
        <v>2.2000000000000002</v>
      </c>
      <c r="BK2517">
        <v>2.5</v>
      </c>
      <c r="BL2517" s="4">
        <v>63.06</v>
      </c>
      <c r="BM2517" s="4">
        <v>9.4600000000000009</v>
      </c>
      <c r="BN2517" s="4">
        <v>72.52</v>
      </c>
      <c r="BO2517" s="4">
        <v>72.52</v>
      </c>
      <c r="BQ2517" t="s">
        <v>109</v>
      </c>
      <c r="BR2517" t="s">
        <v>84</v>
      </c>
      <c r="BS2517" s="3">
        <v>43791</v>
      </c>
      <c r="BT2517" s="5">
        <v>0.37847222222222227</v>
      </c>
      <c r="BU2517" t="s">
        <v>342</v>
      </c>
      <c r="BV2517" t="s">
        <v>86</v>
      </c>
      <c r="BY2517">
        <v>10782.72</v>
      </c>
      <c r="CA2517" t="s">
        <v>343</v>
      </c>
      <c r="CC2517" t="s">
        <v>340</v>
      </c>
      <c r="CD2517">
        <v>157</v>
      </c>
      <c r="CE2517" t="s">
        <v>147</v>
      </c>
      <c r="CF2517" s="3">
        <v>43794</v>
      </c>
      <c r="CI2517">
        <v>1</v>
      </c>
      <c r="CJ2517">
        <v>1</v>
      </c>
      <c r="CK2517">
        <v>21</v>
      </c>
      <c r="CL2517" t="s">
        <v>89</v>
      </c>
    </row>
    <row r="2518" spans="1:90">
      <c r="A2518" t="s">
        <v>72</v>
      </c>
      <c r="B2518" t="s">
        <v>73</v>
      </c>
      <c r="C2518" t="s">
        <v>74</v>
      </c>
      <c r="E2518" t="str">
        <f>"FES1162724220"</f>
        <v>FES1162724220</v>
      </c>
      <c r="F2518" s="3">
        <v>43790</v>
      </c>
      <c r="G2518">
        <v>202005</v>
      </c>
      <c r="H2518" t="s">
        <v>75</v>
      </c>
      <c r="I2518" t="s">
        <v>76</v>
      </c>
      <c r="J2518" t="s">
        <v>77</v>
      </c>
      <c r="K2518" t="s">
        <v>78</v>
      </c>
      <c r="L2518" t="s">
        <v>482</v>
      </c>
      <c r="M2518" t="s">
        <v>483</v>
      </c>
      <c r="N2518" t="s">
        <v>594</v>
      </c>
      <c r="O2518" t="s">
        <v>82</v>
      </c>
      <c r="P2518" t="str">
        <f>"2170716570                    "</f>
        <v xml:space="preserve">2170716570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6.71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0.2</v>
      </c>
      <c r="BJ2518">
        <v>2</v>
      </c>
      <c r="BK2518">
        <v>2</v>
      </c>
      <c r="BL2518" s="4">
        <v>39.42</v>
      </c>
      <c r="BM2518" s="4">
        <v>5.91</v>
      </c>
      <c r="BN2518" s="4">
        <v>45.33</v>
      </c>
      <c r="BO2518" s="4">
        <v>45.33</v>
      </c>
      <c r="BQ2518" t="s">
        <v>109</v>
      </c>
      <c r="BR2518" t="s">
        <v>84</v>
      </c>
      <c r="BS2518" s="3">
        <v>43791</v>
      </c>
      <c r="BT2518" s="5">
        <v>0.4375</v>
      </c>
      <c r="BU2518" t="s">
        <v>2452</v>
      </c>
      <c r="BV2518" t="s">
        <v>86</v>
      </c>
      <c r="BY2518">
        <v>9809.2000000000007</v>
      </c>
      <c r="CC2518" t="s">
        <v>483</v>
      </c>
      <c r="CD2518">
        <v>1459</v>
      </c>
      <c r="CE2518" t="s">
        <v>147</v>
      </c>
      <c r="CF2518" s="3">
        <v>43796</v>
      </c>
      <c r="CI2518">
        <v>1</v>
      </c>
      <c r="CJ2518">
        <v>1</v>
      </c>
      <c r="CK2518">
        <v>22</v>
      </c>
      <c r="CL2518" t="s">
        <v>89</v>
      </c>
    </row>
    <row r="2519" spans="1:90">
      <c r="A2519" t="s">
        <v>72</v>
      </c>
      <c r="B2519" t="s">
        <v>73</v>
      </c>
      <c r="C2519" t="s">
        <v>74</v>
      </c>
      <c r="E2519" t="str">
        <f>"FES1162724158"</f>
        <v>FES1162724158</v>
      </c>
      <c r="F2519" s="3">
        <v>43790</v>
      </c>
      <c r="G2519">
        <v>202005</v>
      </c>
      <c r="H2519" t="s">
        <v>75</v>
      </c>
      <c r="I2519" t="s">
        <v>76</v>
      </c>
      <c r="J2519" t="s">
        <v>77</v>
      </c>
      <c r="K2519" t="s">
        <v>78</v>
      </c>
      <c r="L2519" t="s">
        <v>691</v>
      </c>
      <c r="M2519" t="s">
        <v>692</v>
      </c>
      <c r="N2519" t="s">
        <v>1217</v>
      </c>
      <c r="O2519" t="s">
        <v>82</v>
      </c>
      <c r="P2519" t="str">
        <f>"2170716299                    "</f>
        <v xml:space="preserve">2170716299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6.71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0.2</v>
      </c>
      <c r="BJ2519">
        <v>0.7</v>
      </c>
      <c r="BK2519">
        <v>1</v>
      </c>
      <c r="BL2519" s="4">
        <v>39.42</v>
      </c>
      <c r="BM2519" s="4">
        <v>5.91</v>
      </c>
      <c r="BN2519" s="4">
        <v>45.33</v>
      </c>
      <c r="BO2519" s="4">
        <v>45.33</v>
      </c>
      <c r="BQ2519" t="s">
        <v>109</v>
      </c>
      <c r="BR2519" t="s">
        <v>84</v>
      </c>
      <c r="BS2519" s="3">
        <v>43791</v>
      </c>
      <c r="BT2519" s="5">
        <v>0.42708333333333331</v>
      </c>
      <c r="BU2519" t="s">
        <v>2686</v>
      </c>
      <c r="BV2519" t="s">
        <v>86</v>
      </c>
      <c r="BY2519">
        <v>3749.76</v>
      </c>
      <c r="CC2519" t="s">
        <v>692</v>
      </c>
      <c r="CD2519">
        <v>1559</v>
      </c>
      <c r="CE2519" t="s">
        <v>147</v>
      </c>
      <c r="CF2519" s="3">
        <v>43796</v>
      </c>
      <c r="CI2519">
        <v>1</v>
      </c>
      <c r="CJ2519">
        <v>1</v>
      </c>
      <c r="CK2519">
        <v>22</v>
      </c>
      <c r="CL2519" t="s">
        <v>89</v>
      </c>
    </row>
    <row r="2520" spans="1:90">
      <c r="A2520" t="s">
        <v>72</v>
      </c>
      <c r="B2520" t="s">
        <v>73</v>
      </c>
      <c r="C2520" t="s">
        <v>74</v>
      </c>
      <c r="E2520" t="str">
        <f>"FES1162724401"</f>
        <v>FES1162724401</v>
      </c>
      <c r="F2520" s="3">
        <v>43790</v>
      </c>
      <c r="G2520">
        <v>202005</v>
      </c>
      <c r="H2520" t="s">
        <v>75</v>
      </c>
      <c r="I2520" t="s">
        <v>76</v>
      </c>
      <c r="J2520" t="s">
        <v>77</v>
      </c>
      <c r="K2520" t="s">
        <v>78</v>
      </c>
      <c r="L2520" t="s">
        <v>691</v>
      </c>
      <c r="M2520" t="s">
        <v>692</v>
      </c>
      <c r="N2520" t="s">
        <v>1217</v>
      </c>
      <c r="O2520" t="s">
        <v>82</v>
      </c>
      <c r="P2520" t="str">
        <f>"2170716299                    "</f>
        <v xml:space="preserve">2170716299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6.71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0.2</v>
      </c>
      <c r="BJ2520">
        <v>0.9</v>
      </c>
      <c r="BK2520">
        <v>1</v>
      </c>
      <c r="BL2520" s="4">
        <v>39.42</v>
      </c>
      <c r="BM2520" s="4">
        <v>5.91</v>
      </c>
      <c r="BN2520" s="4">
        <v>45.33</v>
      </c>
      <c r="BO2520" s="4">
        <v>45.33</v>
      </c>
      <c r="BQ2520" t="s">
        <v>109</v>
      </c>
      <c r="BR2520" t="s">
        <v>84</v>
      </c>
      <c r="BS2520" s="3">
        <v>43791</v>
      </c>
      <c r="BT2520" s="5">
        <v>0.42708333333333331</v>
      </c>
      <c r="BU2520" t="s">
        <v>2686</v>
      </c>
      <c r="BV2520" t="s">
        <v>86</v>
      </c>
      <c r="BY2520">
        <v>4263.6000000000004</v>
      </c>
      <c r="CC2520" t="s">
        <v>692</v>
      </c>
      <c r="CD2520">
        <v>1559</v>
      </c>
      <c r="CE2520" t="s">
        <v>147</v>
      </c>
      <c r="CF2520" s="3">
        <v>43796</v>
      </c>
      <c r="CI2520">
        <v>1</v>
      </c>
      <c r="CJ2520">
        <v>1</v>
      </c>
      <c r="CK2520">
        <v>22</v>
      </c>
      <c r="CL2520" t="s">
        <v>89</v>
      </c>
    </row>
    <row r="2521" spans="1:90">
      <c r="A2521" t="s">
        <v>72</v>
      </c>
      <c r="B2521" t="s">
        <v>73</v>
      </c>
      <c r="C2521" t="s">
        <v>74</v>
      </c>
      <c r="E2521" t="str">
        <f>"FES1162724309"</f>
        <v>FES1162724309</v>
      </c>
      <c r="F2521" s="3">
        <v>43790</v>
      </c>
      <c r="G2521">
        <v>202005</v>
      </c>
      <c r="H2521" t="s">
        <v>75</v>
      </c>
      <c r="I2521" t="s">
        <v>76</v>
      </c>
      <c r="J2521" t="s">
        <v>77</v>
      </c>
      <c r="K2521" t="s">
        <v>78</v>
      </c>
      <c r="L2521" t="s">
        <v>75</v>
      </c>
      <c r="M2521" t="s">
        <v>76</v>
      </c>
      <c r="N2521" t="s">
        <v>942</v>
      </c>
      <c r="O2521" t="s">
        <v>82</v>
      </c>
      <c r="P2521" t="str">
        <f>"2170716169                    "</f>
        <v xml:space="preserve">2170716169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6.71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0.2</v>
      </c>
      <c r="BJ2521">
        <v>1.5</v>
      </c>
      <c r="BK2521">
        <v>1.5</v>
      </c>
      <c r="BL2521" s="4">
        <v>39.42</v>
      </c>
      <c r="BM2521" s="4">
        <v>5.91</v>
      </c>
      <c r="BN2521" s="4">
        <v>45.33</v>
      </c>
      <c r="BO2521" s="4">
        <v>45.33</v>
      </c>
      <c r="BQ2521" t="s">
        <v>943</v>
      </c>
      <c r="BR2521" t="s">
        <v>84</v>
      </c>
      <c r="BS2521" s="3">
        <v>43791</v>
      </c>
      <c r="BT2521" s="5">
        <v>0.35000000000000003</v>
      </c>
      <c r="BU2521" t="s">
        <v>1831</v>
      </c>
      <c r="BV2521" t="s">
        <v>86</v>
      </c>
      <c r="BY2521">
        <v>7261.38</v>
      </c>
      <c r="CA2521" t="s">
        <v>198</v>
      </c>
      <c r="CC2521" t="s">
        <v>76</v>
      </c>
      <c r="CD2521">
        <v>1619</v>
      </c>
      <c r="CE2521" t="s">
        <v>147</v>
      </c>
      <c r="CF2521" s="3">
        <v>43794</v>
      </c>
      <c r="CI2521">
        <v>1</v>
      </c>
      <c r="CJ2521">
        <v>1</v>
      </c>
      <c r="CK2521">
        <v>22</v>
      </c>
      <c r="CL2521" t="s">
        <v>89</v>
      </c>
    </row>
    <row r="2522" spans="1:90">
      <c r="A2522" t="s">
        <v>72</v>
      </c>
      <c r="B2522" t="s">
        <v>73</v>
      </c>
      <c r="C2522" t="s">
        <v>74</v>
      </c>
      <c r="E2522" t="str">
        <f>"009935712094"</f>
        <v>009935712094</v>
      </c>
      <c r="F2522" s="3">
        <v>43790</v>
      </c>
      <c r="G2522">
        <v>202005</v>
      </c>
      <c r="H2522" t="s">
        <v>75</v>
      </c>
      <c r="I2522" t="s">
        <v>76</v>
      </c>
      <c r="J2522" t="s">
        <v>77</v>
      </c>
      <c r="K2522" t="s">
        <v>78</v>
      </c>
      <c r="L2522" t="s">
        <v>90</v>
      </c>
      <c r="M2522" t="s">
        <v>91</v>
      </c>
      <c r="N2522" t="s">
        <v>2687</v>
      </c>
      <c r="O2522" t="s">
        <v>82</v>
      </c>
      <c r="P2522" t="str">
        <f>"BARRY DIMOND                  "</f>
        <v xml:space="preserve">BARRY DIMOND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8.58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0.2</v>
      </c>
      <c r="BJ2522">
        <v>0.7</v>
      </c>
      <c r="BK2522">
        <v>1</v>
      </c>
      <c r="BL2522" s="4">
        <v>50.45</v>
      </c>
      <c r="BM2522" s="4">
        <v>7.57</v>
      </c>
      <c r="BN2522" s="4">
        <v>58.02</v>
      </c>
      <c r="BO2522" s="4">
        <v>58.02</v>
      </c>
      <c r="BQ2522" t="s">
        <v>1462</v>
      </c>
      <c r="BR2522" t="s">
        <v>84</v>
      </c>
      <c r="BS2522" s="3">
        <v>43791</v>
      </c>
      <c r="BT2522" s="5">
        <v>0.41944444444444445</v>
      </c>
      <c r="BU2522" t="s">
        <v>2688</v>
      </c>
      <c r="BV2522" t="s">
        <v>86</v>
      </c>
      <c r="BY2522">
        <v>3542.4</v>
      </c>
      <c r="CA2522" t="s">
        <v>717</v>
      </c>
      <c r="CC2522" t="s">
        <v>91</v>
      </c>
      <c r="CD2522">
        <v>7925</v>
      </c>
      <c r="CE2522" t="s">
        <v>147</v>
      </c>
      <c r="CF2522" s="3">
        <v>43794</v>
      </c>
      <c r="CI2522">
        <v>1</v>
      </c>
      <c r="CJ2522">
        <v>1</v>
      </c>
      <c r="CK2522">
        <v>21</v>
      </c>
      <c r="CL2522" t="s">
        <v>89</v>
      </c>
    </row>
    <row r="2523" spans="1:90">
      <c r="A2523" t="s">
        <v>72</v>
      </c>
      <c r="B2523" t="s">
        <v>73</v>
      </c>
      <c r="C2523" t="s">
        <v>74</v>
      </c>
      <c r="E2523" t="str">
        <f>"FES1162724285"</f>
        <v>FES1162724285</v>
      </c>
      <c r="F2523" s="3">
        <v>43790</v>
      </c>
      <c r="G2523">
        <v>202005</v>
      </c>
      <c r="H2523" t="s">
        <v>75</v>
      </c>
      <c r="I2523" t="s">
        <v>76</v>
      </c>
      <c r="J2523" t="s">
        <v>77</v>
      </c>
      <c r="K2523" t="s">
        <v>78</v>
      </c>
      <c r="L2523" t="s">
        <v>214</v>
      </c>
      <c r="M2523" t="s">
        <v>214</v>
      </c>
      <c r="N2523" t="s">
        <v>314</v>
      </c>
      <c r="O2523" t="s">
        <v>82</v>
      </c>
      <c r="P2523" t="str">
        <f>"2170717213                    "</f>
        <v xml:space="preserve">2170717213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16.63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0.8</v>
      </c>
      <c r="BJ2523">
        <v>1.3</v>
      </c>
      <c r="BK2523">
        <v>1.5</v>
      </c>
      <c r="BL2523" s="4">
        <v>97.75</v>
      </c>
      <c r="BM2523" s="4">
        <v>14.66</v>
      </c>
      <c r="BN2523" s="4">
        <v>112.41</v>
      </c>
      <c r="BO2523" s="4">
        <v>112.41</v>
      </c>
      <c r="BQ2523" t="s">
        <v>109</v>
      </c>
      <c r="BR2523" t="s">
        <v>84</v>
      </c>
      <c r="BS2523" s="3">
        <v>43791</v>
      </c>
      <c r="BT2523" s="5">
        <v>0.47638888888888892</v>
      </c>
      <c r="BU2523" t="s">
        <v>315</v>
      </c>
      <c r="BV2523" t="s">
        <v>86</v>
      </c>
      <c r="BY2523">
        <v>6681.6</v>
      </c>
      <c r="CA2523" t="s">
        <v>217</v>
      </c>
      <c r="CC2523" t="s">
        <v>214</v>
      </c>
      <c r="CD2523">
        <v>7646</v>
      </c>
      <c r="CE2523" t="s">
        <v>147</v>
      </c>
      <c r="CF2523" s="3">
        <v>43794</v>
      </c>
      <c r="CI2523">
        <v>1</v>
      </c>
      <c r="CJ2523">
        <v>1</v>
      </c>
      <c r="CK2523">
        <v>23</v>
      </c>
      <c r="CL2523" t="s">
        <v>89</v>
      </c>
    </row>
    <row r="2524" spans="1:90">
      <c r="A2524" t="s">
        <v>72</v>
      </c>
      <c r="B2524" t="s">
        <v>73</v>
      </c>
      <c r="C2524" t="s">
        <v>74</v>
      </c>
      <c r="E2524" t="str">
        <f>"FES1162724284"</f>
        <v>FES1162724284</v>
      </c>
      <c r="F2524" s="3">
        <v>43790</v>
      </c>
      <c r="G2524">
        <v>202005</v>
      </c>
      <c r="H2524" t="s">
        <v>75</v>
      </c>
      <c r="I2524" t="s">
        <v>76</v>
      </c>
      <c r="J2524" t="s">
        <v>77</v>
      </c>
      <c r="K2524" t="s">
        <v>78</v>
      </c>
      <c r="L2524" t="s">
        <v>90</v>
      </c>
      <c r="M2524" t="s">
        <v>91</v>
      </c>
      <c r="N2524" t="s">
        <v>1419</v>
      </c>
      <c r="O2524" t="s">
        <v>82</v>
      </c>
      <c r="P2524" t="str">
        <f>"2170717120                    "</f>
        <v xml:space="preserve">2170717120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8.58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0.2</v>
      </c>
      <c r="BJ2524">
        <v>1.2</v>
      </c>
      <c r="BK2524">
        <v>1.5</v>
      </c>
      <c r="BL2524" s="4">
        <v>50.45</v>
      </c>
      <c r="BM2524" s="4">
        <v>7.57</v>
      </c>
      <c r="BN2524" s="4">
        <v>58.02</v>
      </c>
      <c r="BO2524" s="4">
        <v>58.02</v>
      </c>
      <c r="BQ2524" t="s">
        <v>109</v>
      </c>
      <c r="BR2524" t="s">
        <v>84</v>
      </c>
      <c r="BS2524" s="3">
        <v>43791</v>
      </c>
      <c r="BT2524" s="5">
        <v>0.47291666666666665</v>
      </c>
      <c r="BU2524" t="s">
        <v>2689</v>
      </c>
      <c r="BV2524" t="s">
        <v>86</v>
      </c>
      <c r="BY2524">
        <v>6139.14</v>
      </c>
      <c r="CA2524" t="s">
        <v>1281</v>
      </c>
      <c r="CC2524" t="s">
        <v>91</v>
      </c>
      <c r="CD2524">
        <v>7945</v>
      </c>
      <c r="CE2524" t="s">
        <v>147</v>
      </c>
      <c r="CF2524" s="3">
        <v>43794</v>
      </c>
      <c r="CI2524">
        <v>1</v>
      </c>
      <c r="CJ2524">
        <v>1</v>
      </c>
      <c r="CK2524">
        <v>21</v>
      </c>
      <c r="CL2524" t="s">
        <v>89</v>
      </c>
    </row>
    <row r="2525" spans="1:90">
      <c r="A2525" t="s">
        <v>72</v>
      </c>
      <c r="B2525" t="s">
        <v>73</v>
      </c>
      <c r="C2525" t="s">
        <v>74</v>
      </c>
      <c r="E2525" t="str">
        <f>"FES1162724424"</f>
        <v>FES1162724424</v>
      </c>
      <c r="F2525" s="3">
        <v>43790</v>
      </c>
      <c r="G2525">
        <v>202005</v>
      </c>
      <c r="H2525" t="s">
        <v>75</v>
      </c>
      <c r="I2525" t="s">
        <v>76</v>
      </c>
      <c r="J2525" t="s">
        <v>77</v>
      </c>
      <c r="K2525" t="s">
        <v>78</v>
      </c>
      <c r="L2525" t="s">
        <v>482</v>
      </c>
      <c r="M2525" t="s">
        <v>483</v>
      </c>
      <c r="N2525" t="s">
        <v>1054</v>
      </c>
      <c r="O2525" t="s">
        <v>82</v>
      </c>
      <c r="P2525" t="str">
        <f>"2170717142                    "</f>
        <v xml:space="preserve">2170717142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7.51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0.2</v>
      </c>
      <c r="BJ2525">
        <v>2.2999999999999998</v>
      </c>
      <c r="BK2525">
        <v>2.5</v>
      </c>
      <c r="BL2525" s="4">
        <v>44.14</v>
      </c>
      <c r="BM2525" s="4">
        <v>6.62</v>
      </c>
      <c r="BN2525" s="4">
        <v>50.76</v>
      </c>
      <c r="BO2525" s="4">
        <v>50.76</v>
      </c>
      <c r="BQ2525" t="s">
        <v>109</v>
      </c>
      <c r="BR2525" t="s">
        <v>84</v>
      </c>
      <c r="BS2525" s="3">
        <v>43791</v>
      </c>
      <c r="BT2525" s="5">
        <v>0.33888888888888885</v>
      </c>
      <c r="BU2525" t="s">
        <v>877</v>
      </c>
      <c r="BV2525" t="s">
        <v>86</v>
      </c>
      <c r="BY2525">
        <v>11528.16</v>
      </c>
      <c r="CA2525" t="s">
        <v>486</v>
      </c>
      <c r="CC2525" t="s">
        <v>483</v>
      </c>
      <c r="CD2525">
        <v>1459</v>
      </c>
      <c r="CE2525" t="s">
        <v>147</v>
      </c>
      <c r="CF2525" s="3">
        <v>43794</v>
      </c>
      <c r="CI2525">
        <v>1</v>
      </c>
      <c r="CJ2525">
        <v>1</v>
      </c>
      <c r="CK2525">
        <v>22</v>
      </c>
      <c r="CL2525" t="s">
        <v>89</v>
      </c>
    </row>
    <row r="2526" spans="1:90">
      <c r="A2526" t="s">
        <v>72</v>
      </c>
      <c r="B2526" t="s">
        <v>73</v>
      </c>
      <c r="C2526" t="s">
        <v>74</v>
      </c>
      <c r="E2526" t="str">
        <f>"FES1162724429"</f>
        <v>FES1162724429</v>
      </c>
      <c r="F2526" s="3">
        <v>43790</v>
      </c>
      <c r="G2526">
        <v>202005</v>
      </c>
      <c r="H2526" t="s">
        <v>75</v>
      </c>
      <c r="I2526" t="s">
        <v>76</v>
      </c>
      <c r="J2526" t="s">
        <v>77</v>
      </c>
      <c r="K2526" t="s">
        <v>78</v>
      </c>
      <c r="L2526" t="s">
        <v>691</v>
      </c>
      <c r="M2526" t="s">
        <v>692</v>
      </c>
      <c r="N2526" t="s">
        <v>816</v>
      </c>
      <c r="O2526" t="s">
        <v>82</v>
      </c>
      <c r="P2526" t="str">
        <f>"2170717374                    "</f>
        <v xml:space="preserve">2170717374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6.71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0.2</v>
      </c>
      <c r="BJ2526">
        <v>1.1000000000000001</v>
      </c>
      <c r="BK2526">
        <v>1.5</v>
      </c>
      <c r="BL2526" s="4">
        <v>39.42</v>
      </c>
      <c r="BM2526" s="4">
        <v>5.91</v>
      </c>
      <c r="BN2526" s="4">
        <v>45.33</v>
      </c>
      <c r="BO2526" s="4">
        <v>45.33</v>
      </c>
      <c r="BQ2526" t="s">
        <v>817</v>
      </c>
      <c r="BR2526" t="s">
        <v>84</v>
      </c>
      <c r="BS2526" s="3">
        <v>43791</v>
      </c>
      <c r="BT2526" s="5">
        <v>0.29166666666666669</v>
      </c>
      <c r="BU2526" t="s">
        <v>2690</v>
      </c>
      <c r="BV2526" t="s">
        <v>86</v>
      </c>
      <c r="BY2526">
        <v>5697.75</v>
      </c>
      <c r="CA2526" t="s">
        <v>2691</v>
      </c>
      <c r="CC2526" t="s">
        <v>692</v>
      </c>
      <c r="CD2526">
        <v>1559</v>
      </c>
      <c r="CE2526" t="s">
        <v>147</v>
      </c>
      <c r="CF2526" s="3">
        <v>43795</v>
      </c>
      <c r="CI2526">
        <v>1</v>
      </c>
      <c r="CJ2526">
        <v>1</v>
      </c>
      <c r="CK2526">
        <v>22</v>
      </c>
      <c r="CL2526" t="s">
        <v>89</v>
      </c>
    </row>
    <row r="2527" spans="1:90">
      <c r="A2527" t="s">
        <v>72</v>
      </c>
      <c r="B2527" t="s">
        <v>73</v>
      </c>
      <c r="C2527" t="s">
        <v>74</v>
      </c>
      <c r="E2527" t="str">
        <f>"FES1162724160"</f>
        <v>FES1162724160</v>
      </c>
      <c r="F2527" s="3">
        <v>43790</v>
      </c>
      <c r="G2527">
        <v>202005</v>
      </c>
      <c r="H2527" t="s">
        <v>75</v>
      </c>
      <c r="I2527" t="s">
        <v>76</v>
      </c>
      <c r="J2527" t="s">
        <v>77</v>
      </c>
      <c r="K2527" t="s">
        <v>78</v>
      </c>
      <c r="L2527" t="s">
        <v>176</v>
      </c>
      <c r="M2527" t="s">
        <v>177</v>
      </c>
      <c r="N2527" t="s">
        <v>2692</v>
      </c>
      <c r="O2527" t="s">
        <v>82</v>
      </c>
      <c r="P2527" t="str">
        <f>"2170716401                    "</f>
        <v xml:space="preserve">2170716401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10.73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0.8</v>
      </c>
      <c r="BJ2527">
        <v>2.4</v>
      </c>
      <c r="BK2527">
        <v>2.5</v>
      </c>
      <c r="BL2527" s="4">
        <v>63.06</v>
      </c>
      <c r="BM2527" s="4">
        <v>9.4600000000000009</v>
      </c>
      <c r="BN2527" s="4">
        <v>72.52</v>
      </c>
      <c r="BO2527" s="4">
        <v>72.52</v>
      </c>
      <c r="BQ2527" t="s">
        <v>109</v>
      </c>
      <c r="BR2527" t="s">
        <v>84</v>
      </c>
      <c r="BS2527" s="3">
        <v>43791</v>
      </c>
      <c r="BT2527" s="5">
        <v>0.40486111111111112</v>
      </c>
      <c r="BU2527" t="s">
        <v>2693</v>
      </c>
      <c r="BV2527" t="s">
        <v>86</v>
      </c>
      <c r="BY2527">
        <v>11762.66</v>
      </c>
      <c r="CA2527" t="s">
        <v>180</v>
      </c>
      <c r="CC2527" t="s">
        <v>177</v>
      </c>
      <c r="CD2527">
        <v>3610</v>
      </c>
      <c r="CE2527" t="s">
        <v>147</v>
      </c>
      <c r="CF2527" s="3">
        <v>43794</v>
      </c>
      <c r="CI2527">
        <v>1</v>
      </c>
      <c r="CJ2527">
        <v>1</v>
      </c>
      <c r="CK2527">
        <v>21</v>
      </c>
      <c r="CL2527" t="s">
        <v>89</v>
      </c>
    </row>
    <row r="2528" spans="1:90">
      <c r="A2528" t="s">
        <v>72</v>
      </c>
      <c r="B2528" t="s">
        <v>73</v>
      </c>
      <c r="C2528" t="s">
        <v>74</v>
      </c>
      <c r="E2528" t="str">
        <f>"FES1162724179"</f>
        <v>FES1162724179</v>
      </c>
      <c r="F2528" s="3">
        <v>43790</v>
      </c>
      <c r="G2528">
        <v>202005</v>
      </c>
      <c r="H2528" t="s">
        <v>75</v>
      </c>
      <c r="I2528" t="s">
        <v>76</v>
      </c>
      <c r="J2528" t="s">
        <v>77</v>
      </c>
      <c r="K2528" t="s">
        <v>78</v>
      </c>
      <c r="L2528" t="s">
        <v>112</v>
      </c>
      <c r="M2528" t="s">
        <v>113</v>
      </c>
      <c r="N2528" t="s">
        <v>1083</v>
      </c>
      <c r="O2528" t="s">
        <v>82</v>
      </c>
      <c r="P2528" t="str">
        <f>"2170718125                    "</f>
        <v xml:space="preserve">2170718125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8.58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0.2</v>
      </c>
      <c r="BJ2528">
        <v>1.1000000000000001</v>
      </c>
      <c r="BK2528">
        <v>1.5</v>
      </c>
      <c r="BL2528" s="4">
        <v>50.45</v>
      </c>
      <c r="BM2528" s="4">
        <v>7.57</v>
      </c>
      <c r="BN2528" s="4">
        <v>58.02</v>
      </c>
      <c r="BO2528" s="4">
        <v>58.02</v>
      </c>
      <c r="BQ2528" t="s">
        <v>121</v>
      </c>
      <c r="BR2528" t="s">
        <v>84</v>
      </c>
      <c r="BS2528" s="3">
        <v>43791</v>
      </c>
      <c r="BT2528" s="5">
        <v>0.3444444444444445</v>
      </c>
      <c r="BU2528" t="s">
        <v>2694</v>
      </c>
      <c r="BV2528" t="s">
        <v>86</v>
      </c>
      <c r="BY2528">
        <v>5471.91</v>
      </c>
      <c r="CA2528" t="s">
        <v>2627</v>
      </c>
      <c r="CC2528" t="s">
        <v>113</v>
      </c>
      <c r="CD2528">
        <v>4001</v>
      </c>
      <c r="CE2528" t="s">
        <v>147</v>
      </c>
      <c r="CF2528" s="3">
        <v>43794</v>
      </c>
      <c r="CI2528">
        <v>1</v>
      </c>
      <c r="CJ2528">
        <v>1</v>
      </c>
      <c r="CK2528">
        <v>21</v>
      </c>
      <c r="CL2528" t="s">
        <v>89</v>
      </c>
    </row>
    <row r="2529" spans="1:90">
      <c r="A2529" t="s">
        <v>72</v>
      </c>
      <c r="B2529" t="s">
        <v>73</v>
      </c>
      <c r="C2529" t="s">
        <v>74</v>
      </c>
      <c r="E2529" t="str">
        <f>"FES1162724146"</f>
        <v>FES1162724146</v>
      </c>
      <c r="F2529" s="3">
        <v>43790</v>
      </c>
      <c r="G2529">
        <v>202005</v>
      </c>
      <c r="H2529" t="s">
        <v>75</v>
      </c>
      <c r="I2529" t="s">
        <v>76</v>
      </c>
      <c r="J2529" t="s">
        <v>77</v>
      </c>
      <c r="K2529" t="s">
        <v>78</v>
      </c>
      <c r="L2529" t="s">
        <v>124</v>
      </c>
      <c r="M2529" t="s">
        <v>125</v>
      </c>
      <c r="N2529" t="s">
        <v>487</v>
      </c>
      <c r="O2529" t="s">
        <v>82</v>
      </c>
      <c r="P2529" t="str">
        <f>"2170714239                    "</f>
        <v xml:space="preserve">2170714239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6.71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0.2</v>
      </c>
      <c r="BJ2529">
        <v>0.9</v>
      </c>
      <c r="BK2529">
        <v>1</v>
      </c>
      <c r="BL2529" s="4">
        <v>39.42</v>
      </c>
      <c r="BM2529" s="4">
        <v>5.91</v>
      </c>
      <c r="BN2529" s="4">
        <v>45.33</v>
      </c>
      <c r="BO2529" s="4">
        <v>45.33</v>
      </c>
      <c r="BQ2529" t="s">
        <v>835</v>
      </c>
      <c r="BR2529" t="s">
        <v>84</v>
      </c>
      <c r="BS2529" s="3">
        <v>43791</v>
      </c>
      <c r="BT2529" s="5">
        <v>0.32361111111111113</v>
      </c>
      <c r="BU2529" t="s">
        <v>488</v>
      </c>
      <c r="BV2529" t="s">
        <v>86</v>
      </c>
      <c r="BY2529">
        <v>4733.08</v>
      </c>
      <c r="CA2529" t="s">
        <v>123</v>
      </c>
      <c r="CC2529" t="s">
        <v>125</v>
      </c>
      <c r="CD2529">
        <v>2094</v>
      </c>
      <c r="CE2529" t="s">
        <v>147</v>
      </c>
      <c r="CF2529" s="3">
        <v>43794</v>
      </c>
      <c r="CI2529">
        <v>1</v>
      </c>
      <c r="CJ2529">
        <v>1</v>
      </c>
      <c r="CK2529">
        <v>22</v>
      </c>
      <c r="CL2529" t="s">
        <v>89</v>
      </c>
    </row>
    <row r="2530" spans="1:90">
      <c r="A2530" t="s">
        <v>72</v>
      </c>
      <c r="B2530" t="s">
        <v>73</v>
      </c>
      <c r="C2530" t="s">
        <v>74</v>
      </c>
      <c r="E2530" t="str">
        <f>"FES1162724137"</f>
        <v>FES1162724137</v>
      </c>
      <c r="F2530" s="3">
        <v>43790</v>
      </c>
      <c r="G2530">
        <v>202005</v>
      </c>
      <c r="H2530" t="s">
        <v>75</v>
      </c>
      <c r="I2530" t="s">
        <v>76</v>
      </c>
      <c r="J2530" t="s">
        <v>77</v>
      </c>
      <c r="K2530" t="s">
        <v>78</v>
      </c>
      <c r="L2530" t="s">
        <v>225</v>
      </c>
      <c r="M2530" t="s">
        <v>226</v>
      </c>
      <c r="N2530" t="s">
        <v>1006</v>
      </c>
      <c r="O2530" t="s">
        <v>82</v>
      </c>
      <c r="P2530" t="str">
        <f>"2170718106                    "</f>
        <v xml:space="preserve">2170718106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8.58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0.7</v>
      </c>
      <c r="BJ2530">
        <v>1.5</v>
      </c>
      <c r="BK2530">
        <v>1.5</v>
      </c>
      <c r="BL2530" s="4">
        <v>50.45</v>
      </c>
      <c r="BM2530" s="4">
        <v>7.57</v>
      </c>
      <c r="BN2530" s="4">
        <v>58.02</v>
      </c>
      <c r="BO2530" s="4">
        <v>58.02</v>
      </c>
      <c r="BQ2530" t="s">
        <v>121</v>
      </c>
      <c r="BR2530" t="s">
        <v>84</v>
      </c>
      <c r="BS2530" s="3">
        <v>43791</v>
      </c>
      <c r="BT2530" s="5">
        <v>0.38263888888888892</v>
      </c>
      <c r="BU2530" t="s">
        <v>2695</v>
      </c>
      <c r="BV2530" t="s">
        <v>86</v>
      </c>
      <c r="BY2530">
        <v>7426.16</v>
      </c>
      <c r="CA2530" t="s">
        <v>229</v>
      </c>
      <c r="CC2530" t="s">
        <v>226</v>
      </c>
      <c r="CD2530">
        <v>4026</v>
      </c>
      <c r="CE2530" t="s">
        <v>147</v>
      </c>
      <c r="CF2530" s="3">
        <v>43794</v>
      </c>
      <c r="CI2530">
        <v>1</v>
      </c>
      <c r="CJ2530">
        <v>1</v>
      </c>
      <c r="CK2530">
        <v>21</v>
      </c>
      <c r="CL2530" t="s">
        <v>89</v>
      </c>
    </row>
    <row r="2531" spans="1:90">
      <c r="A2531" t="s">
        <v>72</v>
      </c>
      <c r="B2531" t="s">
        <v>73</v>
      </c>
      <c r="C2531" t="s">
        <v>74</v>
      </c>
      <c r="E2531" t="str">
        <f>"FES1162724356"</f>
        <v>FES1162724356</v>
      </c>
      <c r="F2531" s="3">
        <v>43790</v>
      </c>
      <c r="G2531">
        <v>202005</v>
      </c>
      <c r="H2531" t="s">
        <v>75</v>
      </c>
      <c r="I2531" t="s">
        <v>76</v>
      </c>
      <c r="J2531" t="s">
        <v>77</v>
      </c>
      <c r="K2531" t="s">
        <v>78</v>
      </c>
      <c r="L2531" t="s">
        <v>214</v>
      </c>
      <c r="M2531" t="s">
        <v>214</v>
      </c>
      <c r="N2531" t="s">
        <v>314</v>
      </c>
      <c r="O2531" t="s">
        <v>82</v>
      </c>
      <c r="P2531" t="str">
        <f>"2170715512                    "</f>
        <v xml:space="preserve">2170715512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16.63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0.2</v>
      </c>
      <c r="BJ2531">
        <v>1.3</v>
      </c>
      <c r="BK2531">
        <v>1.5</v>
      </c>
      <c r="BL2531" s="4">
        <v>97.75</v>
      </c>
      <c r="BM2531" s="4">
        <v>14.66</v>
      </c>
      <c r="BN2531" s="4">
        <v>112.41</v>
      </c>
      <c r="BO2531" s="4">
        <v>112.41</v>
      </c>
      <c r="BQ2531" t="s">
        <v>109</v>
      </c>
      <c r="BR2531" t="s">
        <v>84</v>
      </c>
      <c r="BS2531" s="3">
        <v>43791</v>
      </c>
      <c r="BT2531" s="5">
        <v>0.47638888888888892</v>
      </c>
      <c r="BU2531" t="s">
        <v>315</v>
      </c>
      <c r="BV2531" t="s">
        <v>86</v>
      </c>
      <c r="BY2531">
        <v>6342.96</v>
      </c>
      <c r="CA2531" t="s">
        <v>217</v>
      </c>
      <c r="CC2531" t="s">
        <v>214</v>
      </c>
      <c r="CD2531">
        <v>7646</v>
      </c>
      <c r="CE2531" t="s">
        <v>88</v>
      </c>
      <c r="CF2531" s="3">
        <v>43794</v>
      </c>
      <c r="CI2531">
        <v>1</v>
      </c>
      <c r="CJ2531">
        <v>1</v>
      </c>
      <c r="CK2531">
        <v>23</v>
      </c>
      <c r="CL2531" t="s">
        <v>89</v>
      </c>
    </row>
    <row r="2532" spans="1:90">
      <c r="A2532" t="s">
        <v>72</v>
      </c>
      <c r="B2532" t="s">
        <v>73</v>
      </c>
      <c r="C2532" t="s">
        <v>74</v>
      </c>
      <c r="E2532" t="str">
        <f>"FES1162724410"</f>
        <v>FES1162724410</v>
      </c>
      <c r="F2532" s="3">
        <v>43790</v>
      </c>
      <c r="G2532">
        <v>202005</v>
      </c>
      <c r="H2532" t="s">
        <v>75</v>
      </c>
      <c r="I2532" t="s">
        <v>76</v>
      </c>
      <c r="J2532" t="s">
        <v>77</v>
      </c>
      <c r="K2532" t="s">
        <v>78</v>
      </c>
      <c r="L2532" t="s">
        <v>296</v>
      </c>
      <c r="M2532" t="s">
        <v>297</v>
      </c>
      <c r="N2532" t="s">
        <v>1574</v>
      </c>
      <c r="O2532" t="s">
        <v>82</v>
      </c>
      <c r="P2532" t="str">
        <f>"2170716347                    "</f>
        <v xml:space="preserve">2170716347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24.14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1.8</v>
      </c>
      <c r="BJ2532">
        <v>3</v>
      </c>
      <c r="BK2532">
        <v>3</v>
      </c>
      <c r="BL2532" s="4">
        <v>141.9</v>
      </c>
      <c r="BM2532" s="4">
        <v>21.29</v>
      </c>
      <c r="BN2532" s="4">
        <v>163.19</v>
      </c>
      <c r="BO2532" s="4">
        <v>163.19</v>
      </c>
      <c r="BQ2532" t="s">
        <v>121</v>
      </c>
      <c r="BR2532" t="s">
        <v>84</v>
      </c>
      <c r="BS2532" s="3">
        <v>43794</v>
      </c>
      <c r="BT2532" s="5">
        <v>0.54722222222222217</v>
      </c>
      <c r="BU2532" t="s">
        <v>1576</v>
      </c>
      <c r="BV2532" t="s">
        <v>86</v>
      </c>
      <c r="BY2532">
        <v>15146.04</v>
      </c>
      <c r="CA2532" t="s">
        <v>300</v>
      </c>
      <c r="CC2532" t="s">
        <v>297</v>
      </c>
      <c r="CD2532">
        <v>6850</v>
      </c>
      <c r="CE2532" t="s">
        <v>88</v>
      </c>
      <c r="CF2532" s="3">
        <v>43795</v>
      </c>
      <c r="CI2532">
        <v>3</v>
      </c>
      <c r="CJ2532">
        <v>2</v>
      </c>
      <c r="CK2532">
        <v>23</v>
      </c>
      <c r="CL2532" t="s">
        <v>89</v>
      </c>
    </row>
    <row r="2533" spans="1:90">
      <c r="A2533" t="s">
        <v>72</v>
      </c>
      <c r="B2533" t="s">
        <v>73</v>
      </c>
      <c r="C2533" t="s">
        <v>74</v>
      </c>
      <c r="E2533" t="str">
        <f>"FES1162724174"</f>
        <v>FES1162724174</v>
      </c>
      <c r="F2533" s="3">
        <v>43790</v>
      </c>
      <c r="G2533">
        <v>202005</v>
      </c>
      <c r="H2533" t="s">
        <v>75</v>
      </c>
      <c r="I2533" t="s">
        <v>76</v>
      </c>
      <c r="J2533" t="s">
        <v>77</v>
      </c>
      <c r="K2533" t="s">
        <v>78</v>
      </c>
      <c r="L2533" t="s">
        <v>176</v>
      </c>
      <c r="M2533" t="s">
        <v>177</v>
      </c>
      <c r="N2533" t="s">
        <v>429</v>
      </c>
      <c r="O2533" t="s">
        <v>82</v>
      </c>
      <c r="P2533" t="str">
        <f>"2170718101                    "</f>
        <v xml:space="preserve">2170718101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8.58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 s="4">
        <v>50.45</v>
      </c>
      <c r="BM2533" s="4">
        <v>7.57</v>
      </c>
      <c r="BN2533" s="4">
        <v>58.02</v>
      </c>
      <c r="BO2533" s="4">
        <v>58.02</v>
      </c>
      <c r="BQ2533" t="s">
        <v>2696</v>
      </c>
      <c r="BR2533" t="s">
        <v>84</v>
      </c>
      <c r="BS2533" s="3">
        <v>43791</v>
      </c>
      <c r="BT2533" s="5">
        <v>0.31319444444444444</v>
      </c>
      <c r="BU2533" t="s">
        <v>430</v>
      </c>
      <c r="BV2533" t="s">
        <v>86</v>
      </c>
      <c r="BY2533">
        <v>1200</v>
      </c>
      <c r="CA2533" t="s">
        <v>180</v>
      </c>
      <c r="CC2533" t="s">
        <v>177</v>
      </c>
      <c r="CD2533">
        <v>3610</v>
      </c>
      <c r="CE2533" t="s">
        <v>147</v>
      </c>
      <c r="CF2533" s="3">
        <v>43794</v>
      </c>
      <c r="CI2533">
        <v>1</v>
      </c>
      <c r="CJ2533">
        <v>1</v>
      </c>
      <c r="CK2533">
        <v>21</v>
      </c>
      <c r="CL2533" t="s">
        <v>89</v>
      </c>
    </row>
    <row r="2534" spans="1:90">
      <c r="A2534" t="s">
        <v>72</v>
      </c>
      <c r="B2534" t="s">
        <v>73</v>
      </c>
      <c r="C2534" t="s">
        <v>74</v>
      </c>
      <c r="E2534" t="str">
        <f>"FES1162724178"</f>
        <v>FES1162724178</v>
      </c>
      <c r="F2534" s="3">
        <v>43790</v>
      </c>
      <c r="G2534">
        <v>202005</v>
      </c>
      <c r="H2534" t="s">
        <v>75</v>
      </c>
      <c r="I2534" t="s">
        <v>76</v>
      </c>
      <c r="J2534" t="s">
        <v>77</v>
      </c>
      <c r="K2534" t="s">
        <v>78</v>
      </c>
      <c r="L2534" t="s">
        <v>112</v>
      </c>
      <c r="M2534" t="s">
        <v>113</v>
      </c>
      <c r="N2534" t="s">
        <v>2697</v>
      </c>
      <c r="O2534" t="s">
        <v>82</v>
      </c>
      <c r="P2534" t="str">
        <f>"217071824                     "</f>
        <v xml:space="preserve">217071824 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8.58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0.2</v>
      </c>
      <c r="BJ2534">
        <v>1.6</v>
      </c>
      <c r="BK2534">
        <v>2</v>
      </c>
      <c r="BL2534" s="4">
        <v>50.45</v>
      </c>
      <c r="BM2534" s="4">
        <v>7.57</v>
      </c>
      <c r="BN2534" s="4">
        <v>58.02</v>
      </c>
      <c r="BO2534" s="4">
        <v>58.02</v>
      </c>
      <c r="BQ2534" t="s">
        <v>121</v>
      </c>
      <c r="BR2534" t="s">
        <v>84</v>
      </c>
      <c r="BS2534" s="3">
        <v>43791</v>
      </c>
      <c r="BT2534" s="5">
        <v>0.3215277777777778</v>
      </c>
      <c r="BU2534" t="s">
        <v>2698</v>
      </c>
      <c r="BV2534" t="s">
        <v>86</v>
      </c>
      <c r="BY2534">
        <v>8083.53</v>
      </c>
      <c r="CA2534" t="s">
        <v>255</v>
      </c>
      <c r="CC2534" t="s">
        <v>113</v>
      </c>
      <c r="CD2534">
        <v>4302</v>
      </c>
      <c r="CE2534" t="s">
        <v>147</v>
      </c>
      <c r="CF2534" s="3">
        <v>43794</v>
      </c>
      <c r="CI2534">
        <v>1</v>
      </c>
      <c r="CJ2534">
        <v>1</v>
      </c>
      <c r="CK2534">
        <v>21</v>
      </c>
      <c r="CL2534" t="s">
        <v>89</v>
      </c>
    </row>
    <row r="2535" spans="1:90">
      <c r="A2535" t="s">
        <v>72</v>
      </c>
      <c r="B2535" t="s">
        <v>73</v>
      </c>
      <c r="C2535" t="s">
        <v>74</v>
      </c>
      <c r="E2535" t="str">
        <f>"FES1162724369"</f>
        <v>FES1162724369</v>
      </c>
      <c r="F2535" s="3">
        <v>43790</v>
      </c>
      <c r="G2535">
        <v>202005</v>
      </c>
      <c r="H2535" t="s">
        <v>75</v>
      </c>
      <c r="I2535" t="s">
        <v>76</v>
      </c>
      <c r="J2535" t="s">
        <v>77</v>
      </c>
      <c r="K2535" t="s">
        <v>78</v>
      </c>
      <c r="L2535" t="s">
        <v>124</v>
      </c>
      <c r="M2535" t="s">
        <v>125</v>
      </c>
      <c r="N2535" t="s">
        <v>2416</v>
      </c>
      <c r="O2535" t="s">
        <v>82</v>
      </c>
      <c r="P2535" t="str">
        <f>"2170715624                    "</f>
        <v xml:space="preserve">2170715624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6.71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0.2</v>
      </c>
      <c r="BJ2535">
        <v>1.6</v>
      </c>
      <c r="BK2535">
        <v>2</v>
      </c>
      <c r="BL2535" s="4">
        <v>39.42</v>
      </c>
      <c r="BM2535" s="4">
        <v>5.91</v>
      </c>
      <c r="BN2535" s="4">
        <v>45.33</v>
      </c>
      <c r="BO2535" s="4">
        <v>45.33</v>
      </c>
      <c r="BQ2535" t="s">
        <v>109</v>
      </c>
      <c r="BR2535" t="s">
        <v>84</v>
      </c>
      <c r="BS2535" s="3">
        <v>43791</v>
      </c>
      <c r="BT2535" s="5">
        <v>0.35138888888888892</v>
      </c>
      <c r="BU2535" t="s">
        <v>2417</v>
      </c>
      <c r="BV2535" t="s">
        <v>86</v>
      </c>
      <c r="BY2535">
        <v>8143.59</v>
      </c>
      <c r="CA2535" t="s">
        <v>2186</v>
      </c>
      <c r="CC2535" t="s">
        <v>125</v>
      </c>
      <c r="CD2535">
        <v>2013</v>
      </c>
      <c r="CE2535" t="s">
        <v>88</v>
      </c>
      <c r="CF2535" s="3">
        <v>43794</v>
      </c>
      <c r="CI2535">
        <v>1</v>
      </c>
      <c r="CJ2535">
        <v>1</v>
      </c>
      <c r="CK2535">
        <v>22</v>
      </c>
      <c r="CL2535" t="s">
        <v>89</v>
      </c>
    </row>
    <row r="2536" spans="1:90">
      <c r="A2536" t="s">
        <v>72</v>
      </c>
      <c r="B2536" t="s">
        <v>73</v>
      </c>
      <c r="C2536" t="s">
        <v>74</v>
      </c>
      <c r="E2536" t="str">
        <f>"FES1162724154"</f>
        <v>FES1162724154</v>
      </c>
      <c r="F2536" s="3">
        <v>43790</v>
      </c>
      <c r="G2536">
        <v>202005</v>
      </c>
      <c r="H2536" t="s">
        <v>75</v>
      </c>
      <c r="I2536" t="s">
        <v>76</v>
      </c>
      <c r="J2536" t="s">
        <v>77</v>
      </c>
      <c r="K2536" t="s">
        <v>78</v>
      </c>
      <c r="L2536" t="s">
        <v>172</v>
      </c>
      <c r="M2536" t="s">
        <v>173</v>
      </c>
      <c r="N2536" t="s">
        <v>2392</v>
      </c>
      <c r="O2536" t="s">
        <v>82</v>
      </c>
      <c r="P2536" t="str">
        <f>"2170715711                    "</f>
        <v xml:space="preserve">2170715711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12.07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0.2</v>
      </c>
      <c r="BJ2536">
        <v>1.2</v>
      </c>
      <c r="BK2536">
        <v>1.5</v>
      </c>
      <c r="BL2536" s="4">
        <v>70.95</v>
      </c>
      <c r="BM2536" s="4">
        <v>10.64</v>
      </c>
      <c r="BN2536" s="4">
        <v>81.59</v>
      </c>
      <c r="BO2536" s="4">
        <v>81.59</v>
      </c>
      <c r="BQ2536" t="s">
        <v>109</v>
      </c>
      <c r="BR2536" t="s">
        <v>84</v>
      </c>
      <c r="BS2536" s="3">
        <v>43791</v>
      </c>
      <c r="BT2536" s="5">
        <v>0.375</v>
      </c>
      <c r="BU2536" t="s">
        <v>694</v>
      </c>
      <c r="BV2536" t="s">
        <v>86</v>
      </c>
      <c r="BY2536">
        <v>5822</v>
      </c>
      <c r="CC2536" t="s">
        <v>173</v>
      </c>
      <c r="CD2536">
        <v>1739</v>
      </c>
      <c r="CE2536" t="s">
        <v>88</v>
      </c>
      <c r="CF2536" s="3">
        <v>43794</v>
      </c>
      <c r="CI2536">
        <v>1</v>
      </c>
      <c r="CJ2536">
        <v>1</v>
      </c>
      <c r="CK2536">
        <v>24</v>
      </c>
      <c r="CL2536" t="s">
        <v>89</v>
      </c>
    </row>
    <row r="2537" spans="1:90">
      <c r="A2537" t="s">
        <v>72</v>
      </c>
      <c r="B2537" t="s">
        <v>73</v>
      </c>
      <c r="C2537" t="s">
        <v>74</v>
      </c>
      <c r="E2537" t="str">
        <f>"FES1162724182"</f>
        <v>FES1162724182</v>
      </c>
      <c r="F2537" s="3">
        <v>43790</v>
      </c>
      <c r="G2537">
        <v>202005</v>
      </c>
      <c r="H2537" t="s">
        <v>75</v>
      </c>
      <c r="I2537" t="s">
        <v>76</v>
      </c>
      <c r="J2537" t="s">
        <v>77</v>
      </c>
      <c r="K2537" t="s">
        <v>78</v>
      </c>
      <c r="L2537" t="s">
        <v>344</v>
      </c>
      <c r="M2537" t="s">
        <v>345</v>
      </c>
      <c r="N2537" t="s">
        <v>550</v>
      </c>
      <c r="O2537" t="s">
        <v>82</v>
      </c>
      <c r="P2537" t="str">
        <f>"2170718128                    "</f>
        <v xml:space="preserve">2170718128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8.31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1.1000000000000001</v>
      </c>
      <c r="BJ2537">
        <v>3</v>
      </c>
      <c r="BK2537">
        <v>3</v>
      </c>
      <c r="BL2537" s="4">
        <v>48.86</v>
      </c>
      <c r="BM2537" s="4">
        <v>7.33</v>
      </c>
      <c r="BN2537" s="4">
        <v>56.19</v>
      </c>
      <c r="BO2537" s="4">
        <v>56.19</v>
      </c>
      <c r="BQ2537" t="s">
        <v>109</v>
      </c>
      <c r="BR2537" t="s">
        <v>84</v>
      </c>
      <c r="BS2537" s="3">
        <v>43791</v>
      </c>
      <c r="BT2537" s="5">
        <v>0.38750000000000001</v>
      </c>
      <c r="BU2537" t="s">
        <v>1163</v>
      </c>
      <c r="BV2537" t="s">
        <v>86</v>
      </c>
      <c r="BY2537">
        <v>15018.82</v>
      </c>
      <c r="CA2537" t="s">
        <v>348</v>
      </c>
      <c r="CC2537" t="s">
        <v>345</v>
      </c>
      <c r="CD2537">
        <v>2163</v>
      </c>
      <c r="CE2537" t="s">
        <v>88</v>
      </c>
      <c r="CF2537" s="3">
        <v>43795</v>
      </c>
      <c r="CI2537">
        <v>1</v>
      </c>
      <c r="CJ2537">
        <v>1</v>
      </c>
      <c r="CK2537">
        <v>22</v>
      </c>
      <c r="CL2537" t="s">
        <v>89</v>
      </c>
    </row>
    <row r="2538" spans="1:90">
      <c r="A2538" t="s">
        <v>72</v>
      </c>
      <c r="B2538" t="s">
        <v>73</v>
      </c>
      <c r="C2538" t="s">
        <v>74</v>
      </c>
      <c r="E2538" t="str">
        <f>"FES1162724301"</f>
        <v>FES1162724301</v>
      </c>
      <c r="F2538" s="3">
        <v>43790</v>
      </c>
      <c r="G2538">
        <v>202005</v>
      </c>
      <c r="H2538" t="s">
        <v>75</v>
      </c>
      <c r="I2538" t="s">
        <v>76</v>
      </c>
      <c r="J2538" t="s">
        <v>77</v>
      </c>
      <c r="K2538" t="s">
        <v>78</v>
      </c>
      <c r="L2538" t="s">
        <v>546</v>
      </c>
      <c r="M2538" t="s">
        <v>547</v>
      </c>
      <c r="N2538" t="s">
        <v>2699</v>
      </c>
      <c r="O2538" t="s">
        <v>82</v>
      </c>
      <c r="P2538" t="str">
        <f>"2170718069                    "</f>
        <v xml:space="preserve">2170718069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19.559999999999999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9.6</v>
      </c>
      <c r="BJ2538">
        <v>5.9</v>
      </c>
      <c r="BK2538">
        <v>10</v>
      </c>
      <c r="BL2538" s="4">
        <v>114.99</v>
      </c>
      <c r="BM2538" s="4">
        <v>17.25</v>
      </c>
      <c r="BN2538" s="4">
        <v>132.24</v>
      </c>
      <c r="BO2538" s="4">
        <v>132.24</v>
      </c>
      <c r="BQ2538" t="s">
        <v>121</v>
      </c>
      <c r="BR2538" t="s">
        <v>84</v>
      </c>
      <c r="BS2538" s="3">
        <v>43791</v>
      </c>
      <c r="BT2538" s="5">
        <v>0.39583333333333331</v>
      </c>
      <c r="BU2538" t="s">
        <v>2700</v>
      </c>
      <c r="BV2538" t="s">
        <v>86</v>
      </c>
      <c r="BY2538">
        <v>29532.38</v>
      </c>
      <c r="CC2538" t="s">
        <v>547</v>
      </c>
      <c r="CD2538">
        <v>1734</v>
      </c>
      <c r="CE2538" t="s">
        <v>88</v>
      </c>
      <c r="CF2538" s="3">
        <v>43794</v>
      </c>
      <c r="CI2538">
        <v>1</v>
      </c>
      <c r="CJ2538">
        <v>1</v>
      </c>
      <c r="CK2538">
        <v>22</v>
      </c>
      <c r="CL2538" t="s">
        <v>89</v>
      </c>
    </row>
    <row r="2539" spans="1:90">
      <c r="A2539" t="s">
        <v>72</v>
      </c>
      <c r="B2539" t="s">
        <v>73</v>
      </c>
      <c r="C2539" t="s">
        <v>74</v>
      </c>
      <c r="E2539" t="str">
        <f>"FES1162724208"</f>
        <v>FES1162724208</v>
      </c>
      <c r="F2539" s="3">
        <v>43790</v>
      </c>
      <c r="G2539">
        <v>202005</v>
      </c>
      <c r="H2539" t="s">
        <v>75</v>
      </c>
      <c r="I2539" t="s">
        <v>76</v>
      </c>
      <c r="J2539" t="s">
        <v>77</v>
      </c>
      <c r="K2539" t="s">
        <v>78</v>
      </c>
      <c r="L2539" t="s">
        <v>202</v>
      </c>
      <c r="M2539" t="s">
        <v>203</v>
      </c>
      <c r="N2539" t="s">
        <v>2701</v>
      </c>
      <c r="O2539" t="s">
        <v>82</v>
      </c>
      <c r="P2539" t="str">
        <f>"2170711880                    "</f>
        <v xml:space="preserve">2170711880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10.72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4.2</v>
      </c>
      <c r="BJ2539">
        <v>3.5</v>
      </c>
      <c r="BK2539">
        <v>4.5</v>
      </c>
      <c r="BL2539" s="4">
        <v>63.03</v>
      </c>
      <c r="BM2539" s="4">
        <v>9.4499999999999993</v>
      </c>
      <c r="BN2539" s="4">
        <v>72.48</v>
      </c>
      <c r="BO2539" s="4">
        <v>72.48</v>
      </c>
      <c r="BQ2539" t="s">
        <v>109</v>
      </c>
      <c r="BR2539" t="s">
        <v>84</v>
      </c>
      <c r="BS2539" s="3">
        <v>43795</v>
      </c>
      <c r="BT2539" s="5">
        <v>0.59305555555555556</v>
      </c>
      <c r="BU2539" t="s">
        <v>2164</v>
      </c>
      <c r="BV2539" t="s">
        <v>89</v>
      </c>
      <c r="BY2539">
        <v>17591.32</v>
      </c>
      <c r="CA2539" t="s">
        <v>2165</v>
      </c>
      <c r="CC2539" t="s">
        <v>203</v>
      </c>
      <c r="CD2539">
        <v>1400</v>
      </c>
      <c r="CE2539" t="s">
        <v>88</v>
      </c>
      <c r="CF2539" s="3">
        <v>43796</v>
      </c>
      <c r="CI2539">
        <v>1</v>
      </c>
      <c r="CJ2539">
        <v>3</v>
      </c>
      <c r="CK2539">
        <v>22</v>
      </c>
      <c r="CL2539" t="s">
        <v>89</v>
      </c>
    </row>
    <row r="2540" spans="1:90">
      <c r="A2540" t="s">
        <v>72</v>
      </c>
      <c r="B2540" t="s">
        <v>73</v>
      </c>
      <c r="C2540" t="s">
        <v>74</v>
      </c>
      <c r="E2540" t="str">
        <f>"FES1162724287"</f>
        <v>FES1162724287</v>
      </c>
      <c r="F2540" s="3">
        <v>43790</v>
      </c>
      <c r="G2540">
        <v>202005</v>
      </c>
      <c r="H2540" t="s">
        <v>75</v>
      </c>
      <c r="I2540" t="s">
        <v>76</v>
      </c>
      <c r="J2540" t="s">
        <v>77</v>
      </c>
      <c r="K2540" t="s">
        <v>78</v>
      </c>
      <c r="L2540" t="s">
        <v>133</v>
      </c>
      <c r="M2540" t="s">
        <v>134</v>
      </c>
      <c r="N2540" t="s">
        <v>135</v>
      </c>
      <c r="O2540" t="s">
        <v>82</v>
      </c>
      <c r="P2540" t="str">
        <f>"2170717345                    "</f>
        <v xml:space="preserve">2170717345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15.02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0.2</v>
      </c>
      <c r="BJ2540">
        <v>3.1</v>
      </c>
      <c r="BK2540">
        <v>3.5</v>
      </c>
      <c r="BL2540" s="4">
        <v>88.27</v>
      </c>
      <c r="BM2540" s="4">
        <v>13.24</v>
      </c>
      <c r="BN2540" s="4">
        <v>101.51</v>
      </c>
      <c r="BO2540" s="4">
        <v>101.51</v>
      </c>
      <c r="BQ2540" t="s">
        <v>109</v>
      </c>
      <c r="BR2540" t="s">
        <v>84</v>
      </c>
      <c r="BS2540" s="3">
        <v>43791</v>
      </c>
      <c r="BT2540" s="5">
        <v>0.38958333333333334</v>
      </c>
      <c r="BU2540" t="s">
        <v>2078</v>
      </c>
      <c r="BV2540" t="s">
        <v>86</v>
      </c>
      <c r="BY2540">
        <v>15571.26</v>
      </c>
      <c r="CA2540" t="s">
        <v>912</v>
      </c>
      <c r="CC2540" t="s">
        <v>134</v>
      </c>
      <c r="CD2540">
        <v>5201</v>
      </c>
      <c r="CE2540" t="s">
        <v>88</v>
      </c>
      <c r="CF2540" s="3">
        <v>43794</v>
      </c>
      <c r="CI2540">
        <v>1</v>
      </c>
      <c r="CJ2540">
        <v>1</v>
      </c>
      <c r="CK2540">
        <v>21</v>
      </c>
      <c r="CL2540" t="s">
        <v>89</v>
      </c>
    </row>
    <row r="2541" spans="1:90">
      <c r="A2541" t="s">
        <v>72</v>
      </c>
      <c r="B2541" t="s">
        <v>73</v>
      </c>
      <c r="C2541" t="s">
        <v>74</v>
      </c>
      <c r="E2541" t="str">
        <f>"FES1162724294"</f>
        <v>FES1162724294</v>
      </c>
      <c r="F2541" s="3">
        <v>43790</v>
      </c>
      <c r="G2541">
        <v>202005</v>
      </c>
      <c r="H2541" t="s">
        <v>75</v>
      </c>
      <c r="I2541" t="s">
        <v>76</v>
      </c>
      <c r="J2541" t="s">
        <v>77</v>
      </c>
      <c r="K2541" t="s">
        <v>78</v>
      </c>
      <c r="L2541" t="s">
        <v>95</v>
      </c>
      <c r="M2541" t="s">
        <v>96</v>
      </c>
      <c r="N2541" t="s">
        <v>2561</v>
      </c>
      <c r="O2541" t="s">
        <v>82</v>
      </c>
      <c r="P2541" t="str">
        <f>"2170717727                    "</f>
        <v xml:space="preserve">2170717727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6.71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0.2</v>
      </c>
      <c r="BJ2541">
        <v>1.8</v>
      </c>
      <c r="BK2541">
        <v>2</v>
      </c>
      <c r="BL2541" s="4">
        <v>39.42</v>
      </c>
      <c r="BM2541" s="4">
        <v>5.91</v>
      </c>
      <c r="BN2541" s="4">
        <v>45.33</v>
      </c>
      <c r="BO2541" s="4">
        <v>45.33</v>
      </c>
      <c r="BQ2541" t="s">
        <v>2562</v>
      </c>
      <c r="BR2541" t="s">
        <v>84</v>
      </c>
      <c r="BS2541" s="3">
        <v>43791</v>
      </c>
      <c r="BT2541" s="5">
        <v>0.33402777777777781</v>
      </c>
      <c r="BU2541" t="s">
        <v>2702</v>
      </c>
      <c r="BV2541" t="s">
        <v>86</v>
      </c>
      <c r="BY2541">
        <v>8929.89</v>
      </c>
      <c r="CA2541" t="s">
        <v>123</v>
      </c>
      <c r="CC2541" t="s">
        <v>96</v>
      </c>
      <c r="CD2541">
        <v>1451</v>
      </c>
      <c r="CE2541" t="s">
        <v>147</v>
      </c>
      <c r="CI2541">
        <v>1</v>
      </c>
      <c r="CJ2541">
        <v>1</v>
      </c>
      <c r="CK2541">
        <v>22</v>
      </c>
      <c r="CL2541" t="s">
        <v>89</v>
      </c>
    </row>
    <row r="2542" spans="1:90">
      <c r="A2542" t="s">
        <v>72</v>
      </c>
      <c r="B2542" t="s">
        <v>73</v>
      </c>
      <c r="C2542" t="s">
        <v>74</v>
      </c>
      <c r="E2542" t="str">
        <f>"FES1162724242"</f>
        <v>FES1162724242</v>
      </c>
      <c r="F2542" s="3">
        <v>43790</v>
      </c>
      <c r="G2542">
        <v>202005</v>
      </c>
      <c r="H2542" t="s">
        <v>75</v>
      </c>
      <c r="I2542" t="s">
        <v>76</v>
      </c>
      <c r="J2542" t="s">
        <v>77</v>
      </c>
      <c r="K2542" t="s">
        <v>78</v>
      </c>
      <c r="L2542" t="s">
        <v>214</v>
      </c>
      <c r="M2542" t="s">
        <v>214</v>
      </c>
      <c r="N2542" t="s">
        <v>312</v>
      </c>
      <c r="O2542" t="s">
        <v>82</v>
      </c>
      <c r="P2542" t="str">
        <f>"2170715936                    "</f>
        <v xml:space="preserve">2170715936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16.63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0.7</v>
      </c>
      <c r="BJ2542">
        <v>1.9</v>
      </c>
      <c r="BK2542">
        <v>2</v>
      </c>
      <c r="BL2542" s="4">
        <v>97.75</v>
      </c>
      <c r="BM2542" s="4">
        <v>14.66</v>
      </c>
      <c r="BN2542" s="4">
        <v>112.41</v>
      </c>
      <c r="BO2542" s="4">
        <v>112.41</v>
      </c>
      <c r="BQ2542" t="s">
        <v>121</v>
      </c>
      <c r="BR2542" t="s">
        <v>84</v>
      </c>
      <c r="BS2542" s="3">
        <v>43791</v>
      </c>
      <c r="BT2542" s="5">
        <v>0.4909722222222222</v>
      </c>
      <c r="BU2542" t="s">
        <v>313</v>
      </c>
      <c r="BV2542" t="s">
        <v>86</v>
      </c>
      <c r="BY2542">
        <v>9713.93</v>
      </c>
      <c r="CA2542" t="s">
        <v>217</v>
      </c>
      <c r="CC2542" t="s">
        <v>214</v>
      </c>
      <c r="CD2542">
        <v>7646</v>
      </c>
      <c r="CE2542" t="s">
        <v>147</v>
      </c>
      <c r="CF2542" s="3">
        <v>43794</v>
      </c>
      <c r="CI2542">
        <v>1</v>
      </c>
      <c r="CJ2542">
        <v>1</v>
      </c>
      <c r="CK2542">
        <v>23</v>
      </c>
      <c r="CL2542" t="s">
        <v>89</v>
      </c>
    </row>
    <row r="2543" spans="1:90">
      <c r="A2543" t="s">
        <v>72</v>
      </c>
      <c r="B2543" t="s">
        <v>73</v>
      </c>
      <c r="C2543" t="s">
        <v>74</v>
      </c>
      <c r="E2543" t="str">
        <f>"FES1162724202"</f>
        <v>FES1162724202</v>
      </c>
      <c r="F2543" s="3">
        <v>43790</v>
      </c>
      <c r="G2543">
        <v>202005</v>
      </c>
      <c r="H2543" t="s">
        <v>75</v>
      </c>
      <c r="I2543" t="s">
        <v>76</v>
      </c>
      <c r="J2543" t="s">
        <v>77</v>
      </c>
      <c r="K2543" t="s">
        <v>78</v>
      </c>
      <c r="L2543" t="s">
        <v>112</v>
      </c>
      <c r="M2543" t="s">
        <v>113</v>
      </c>
      <c r="N2543" t="s">
        <v>666</v>
      </c>
      <c r="O2543" t="s">
        <v>82</v>
      </c>
      <c r="P2543" t="str">
        <f>"2170718185                    "</f>
        <v xml:space="preserve">2170718185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8.58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1.6</v>
      </c>
      <c r="BK2543">
        <v>2</v>
      </c>
      <c r="BL2543" s="4">
        <v>50.45</v>
      </c>
      <c r="BM2543" s="4">
        <v>7.57</v>
      </c>
      <c r="BN2543" s="4">
        <v>58.02</v>
      </c>
      <c r="BO2543" s="4">
        <v>58.02</v>
      </c>
      <c r="BQ2543" t="s">
        <v>246</v>
      </c>
      <c r="BR2543" t="s">
        <v>84</v>
      </c>
      <c r="BS2543" s="3">
        <v>43791</v>
      </c>
      <c r="BT2543" s="5">
        <v>0.33055555555555555</v>
      </c>
      <c r="BU2543" t="s">
        <v>2703</v>
      </c>
      <c r="BV2543" t="s">
        <v>86</v>
      </c>
      <c r="BY2543">
        <v>8203.44</v>
      </c>
      <c r="CA2543" t="s">
        <v>2071</v>
      </c>
      <c r="CC2543" t="s">
        <v>113</v>
      </c>
      <c r="CD2543">
        <v>4070</v>
      </c>
      <c r="CE2543" t="s">
        <v>147</v>
      </c>
      <c r="CF2543" s="3">
        <v>43794</v>
      </c>
      <c r="CI2543">
        <v>1</v>
      </c>
      <c r="CJ2543">
        <v>1</v>
      </c>
      <c r="CK2543">
        <v>21</v>
      </c>
      <c r="CL2543" t="s">
        <v>89</v>
      </c>
    </row>
    <row r="2544" spans="1:90">
      <c r="A2544" t="s">
        <v>72</v>
      </c>
      <c r="B2544" t="s">
        <v>73</v>
      </c>
      <c r="C2544" t="s">
        <v>74</v>
      </c>
      <c r="E2544" t="str">
        <f>"FES1162724377"</f>
        <v>FES1162724377</v>
      </c>
      <c r="F2544" s="3">
        <v>43790</v>
      </c>
      <c r="G2544">
        <v>202005</v>
      </c>
      <c r="H2544" t="s">
        <v>75</v>
      </c>
      <c r="I2544" t="s">
        <v>76</v>
      </c>
      <c r="J2544" t="s">
        <v>77</v>
      </c>
      <c r="K2544" t="s">
        <v>78</v>
      </c>
      <c r="L2544" t="s">
        <v>176</v>
      </c>
      <c r="M2544" t="s">
        <v>177</v>
      </c>
      <c r="N2544" t="s">
        <v>1136</v>
      </c>
      <c r="O2544" t="s">
        <v>82</v>
      </c>
      <c r="P2544" t="str">
        <f>"2170715747                    "</f>
        <v xml:space="preserve">2170715747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8.58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1.4</v>
      </c>
      <c r="BJ2544">
        <v>1.6</v>
      </c>
      <c r="BK2544">
        <v>2</v>
      </c>
      <c r="BL2544" s="4">
        <v>50.45</v>
      </c>
      <c r="BM2544" s="4">
        <v>7.57</v>
      </c>
      <c r="BN2544" s="4">
        <v>58.02</v>
      </c>
      <c r="BO2544" s="4">
        <v>58.02</v>
      </c>
      <c r="BQ2544" t="s">
        <v>121</v>
      </c>
      <c r="BR2544" t="s">
        <v>84</v>
      </c>
      <c r="BS2544" s="3">
        <v>43791</v>
      </c>
      <c r="BT2544" s="5">
        <v>0.38055555555555554</v>
      </c>
      <c r="BU2544" t="s">
        <v>2704</v>
      </c>
      <c r="BV2544" t="s">
        <v>86</v>
      </c>
      <c r="BY2544">
        <v>8214.4</v>
      </c>
      <c r="CA2544" t="s">
        <v>180</v>
      </c>
      <c r="CC2544" t="s">
        <v>177</v>
      </c>
      <c r="CD2544">
        <v>3610</v>
      </c>
      <c r="CE2544" t="s">
        <v>147</v>
      </c>
      <c r="CF2544" s="3">
        <v>43794</v>
      </c>
      <c r="CI2544">
        <v>1</v>
      </c>
      <c r="CJ2544">
        <v>1</v>
      </c>
      <c r="CK2544">
        <v>21</v>
      </c>
      <c r="CL2544" t="s">
        <v>89</v>
      </c>
    </row>
    <row r="2545" spans="1:90">
      <c r="A2545" t="s">
        <v>72</v>
      </c>
      <c r="B2545" t="s">
        <v>73</v>
      </c>
      <c r="C2545" t="s">
        <v>74</v>
      </c>
      <c r="E2545" t="str">
        <f>"FES1162724358"</f>
        <v>FES1162724358</v>
      </c>
      <c r="F2545" s="3">
        <v>43790</v>
      </c>
      <c r="G2545">
        <v>202005</v>
      </c>
      <c r="H2545" t="s">
        <v>75</v>
      </c>
      <c r="I2545" t="s">
        <v>76</v>
      </c>
      <c r="J2545" t="s">
        <v>77</v>
      </c>
      <c r="K2545" t="s">
        <v>78</v>
      </c>
      <c r="L2545" t="s">
        <v>90</v>
      </c>
      <c r="M2545" t="s">
        <v>91</v>
      </c>
      <c r="N2545" t="s">
        <v>533</v>
      </c>
      <c r="O2545" t="s">
        <v>82</v>
      </c>
      <c r="P2545" t="str">
        <f>"2170715516                    "</f>
        <v xml:space="preserve">2170715516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8.58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0.6</v>
      </c>
      <c r="BJ2545">
        <v>1.9</v>
      </c>
      <c r="BK2545">
        <v>2</v>
      </c>
      <c r="BL2545" s="4">
        <v>50.45</v>
      </c>
      <c r="BM2545" s="4">
        <v>7.57</v>
      </c>
      <c r="BN2545" s="4">
        <v>58.02</v>
      </c>
      <c r="BO2545" s="4">
        <v>58.02</v>
      </c>
      <c r="BQ2545" t="s">
        <v>161</v>
      </c>
      <c r="BR2545" t="s">
        <v>84</v>
      </c>
      <c r="BS2545" s="3">
        <v>43791</v>
      </c>
      <c r="BT2545" s="5">
        <v>0.4375</v>
      </c>
      <c r="BU2545" t="s">
        <v>2632</v>
      </c>
      <c r="BV2545" t="s">
        <v>86</v>
      </c>
      <c r="BY2545">
        <v>9535.5</v>
      </c>
      <c r="CA2545" t="s">
        <v>323</v>
      </c>
      <c r="CC2545" t="s">
        <v>91</v>
      </c>
      <c r="CD2545">
        <v>7460</v>
      </c>
      <c r="CE2545" t="s">
        <v>147</v>
      </c>
      <c r="CF2545" s="3">
        <v>43794</v>
      </c>
      <c r="CI2545">
        <v>1</v>
      </c>
      <c r="CJ2545">
        <v>1</v>
      </c>
      <c r="CK2545">
        <v>21</v>
      </c>
      <c r="CL2545" t="s">
        <v>89</v>
      </c>
    </row>
    <row r="2546" spans="1:90">
      <c r="A2546" t="s">
        <v>72</v>
      </c>
      <c r="B2546" t="s">
        <v>73</v>
      </c>
      <c r="C2546" t="s">
        <v>74</v>
      </c>
      <c r="E2546" t="str">
        <f>"FES1162724328"</f>
        <v>FES1162724328</v>
      </c>
      <c r="F2546" s="3">
        <v>43790</v>
      </c>
      <c r="G2546">
        <v>202005</v>
      </c>
      <c r="H2546" t="s">
        <v>75</v>
      </c>
      <c r="I2546" t="s">
        <v>76</v>
      </c>
      <c r="J2546" t="s">
        <v>77</v>
      </c>
      <c r="K2546" t="s">
        <v>78</v>
      </c>
      <c r="L2546" t="s">
        <v>106</v>
      </c>
      <c r="M2546" t="s">
        <v>107</v>
      </c>
      <c r="N2546" t="s">
        <v>1311</v>
      </c>
      <c r="O2546" t="s">
        <v>82</v>
      </c>
      <c r="P2546" t="str">
        <f>"2170713396                    "</f>
        <v xml:space="preserve">2170713396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8.58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0.5</v>
      </c>
      <c r="BJ2546">
        <v>1.5</v>
      </c>
      <c r="BK2546">
        <v>1.5</v>
      </c>
      <c r="BL2546" s="4">
        <v>50.45</v>
      </c>
      <c r="BM2546" s="4">
        <v>7.57</v>
      </c>
      <c r="BN2546" s="4">
        <v>58.02</v>
      </c>
      <c r="BO2546" s="4">
        <v>58.02</v>
      </c>
      <c r="BQ2546" t="s">
        <v>109</v>
      </c>
      <c r="BR2546" t="s">
        <v>84</v>
      </c>
      <c r="BS2546" s="3">
        <v>43791</v>
      </c>
      <c r="BT2546" s="5">
        <v>0.35000000000000003</v>
      </c>
      <c r="BU2546" t="s">
        <v>2518</v>
      </c>
      <c r="BV2546" t="s">
        <v>86</v>
      </c>
      <c r="BY2546">
        <v>7383.87</v>
      </c>
      <c r="CA2546" t="s">
        <v>773</v>
      </c>
      <c r="CC2546" t="s">
        <v>107</v>
      </c>
      <c r="CD2546">
        <v>6001</v>
      </c>
      <c r="CE2546" t="s">
        <v>88</v>
      </c>
      <c r="CF2546" s="3">
        <v>43794</v>
      </c>
      <c r="CI2546">
        <v>1</v>
      </c>
      <c r="CJ2546">
        <v>1</v>
      </c>
      <c r="CK2546">
        <v>21</v>
      </c>
      <c r="CL2546" t="s">
        <v>89</v>
      </c>
    </row>
    <row r="2547" spans="1:90">
      <c r="A2547" t="s">
        <v>72</v>
      </c>
      <c r="B2547" t="s">
        <v>73</v>
      </c>
      <c r="C2547" t="s">
        <v>74</v>
      </c>
      <c r="E2547" t="str">
        <f>"FES1162724379"</f>
        <v>FES1162724379</v>
      </c>
      <c r="F2547" s="3">
        <v>43790</v>
      </c>
      <c r="G2547">
        <v>202005</v>
      </c>
      <c r="H2547" t="s">
        <v>75</v>
      </c>
      <c r="I2547" t="s">
        <v>76</v>
      </c>
      <c r="J2547" t="s">
        <v>77</v>
      </c>
      <c r="K2547" t="s">
        <v>78</v>
      </c>
      <c r="L2547" t="s">
        <v>431</v>
      </c>
      <c r="M2547" t="s">
        <v>432</v>
      </c>
      <c r="N2547" t="s">
        <v>433</v>
      </c>
      <c r="O2547" t="s">
        <v>82</v>
      </c>
      <c r="P2547" t="str">
        <f>"2170715979                    "</f>
        <v xml:space="preserve">2170715979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8.58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0.2</v>
      </c>
      <c r="BJ2547">
        <v>1.6</v>
      </c>
      <c r="BK2547">
        <v>2</v>
      </c>
      <c r="BL2547" s="4">
        <v>50.45</v>
      </c>
      <c r="BM2547" s="4">
        <v>7.57</v>
      </c>
      <c r="BN2547" s="4">
        <v>58.02</v>
      </c>
      <c r="BO2547" s="4">
        <v>58.02</v>
      </c>
      <c r="BR2547" t="s">
        <v>84</v>
      </c>
      <c r="BS2547" s="3">
        <v>43791</v>
      </c>
      <c r="BT2547" s="5">
        <v>0.49722222222222223</v>
      </c>
      <c r="BU2547" t="s">
        <v>1451</v>
      </c>
      <c r="BV2547" t="s">
        <v>86</v>
      </c>
      <c r="BY2547">
        <v>8057.49</v>
      </c>
      <c r="CA2547" t="s">
        <v>435</v>
      </c>
      <c r="CC2547" t="s">
        <v>432</v>
      </c>
      <c r="CD2547">
        <v>3699</v>
      </c>
      <c r="CE2547" t="s">
        <v>147</v>
      </c>
      <c r="CF2547" s="3">
        <v>43794</v>
      </c>
      <c r="CI2547">
        <v>1</v>
      </c>
      <c r="CJ2547">
        <v>1</v>
      </c>
      <c r="CK2547">
        <v>21</v>
      </c>
      <c r="CL2547" t="s">
        <v>89</v>
      </c>
    </row>
    <row r="2548" spans="1:90">
      <c r="A2548" t="s">
        <v>72</v>
      </c>
      <c r="B2548" t="s">
        <v>73</v>
      </c>
      <c r="C2548" t="s">
        <v>74</v>
      </c>
      <c r="E2548" t="str">
        <f>"FES1162724191"</f>
        <v>FES1162724191</v>
      </c>
      <c r="F2548" s="3">
        <v>43790</v>
      </c>
      <c r="G2548">
        <v>202005</v>
      </c>
      <c r="H2548" t="s">
        <v>75</v>
      </c>
      <c r="I2548" t="s">
        <v>76</v>
      </c>
      <c r="J2548" t="s">
        <v>77</v>
      </c>
      <c r="K2548" t="s">
        <v>78</v>
      </c>
      <c r="L2548" t="s">
        <v>214</v>
      </c>
      <c r="M2548" t="s">
        <v>214</v>
      </c>
      <c r="N2548" t="s">
        <v>314</v>
      </c>
      <c r="O2548" t="s">
        <v>82</v>
      </c>
      <c r="P2548" t="str">
        <f>"2170718138                    "</f>
        <v xml:space="preserve">2170718138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16.63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0.5</v>
      </c>
      <c r="BJ2548">
        <v>1.4</v>
      </c>
      <c r="BK2548">
        <v>1.5</v>
      </c>
      <c r="BL2548" s="4">
        <v>97.75</v>
      </c>
      <c r="BM2548" s="4">
        <v>14.66</v>
      </c>
      <c r="BN2548" s="4">
        <v>112.41</v>
      </c>
      <c r="BO2548" s="4">
        <v>112.41</v>
      </c>
      <c r="BQ2548" t="s">
        <v>109</v>
      </c>
      <c r="BR2548" t="s">
        <v>84</v>
      </c>
      <c r="BS2548" s="3">
        <v>43791</v>
      </c>
      <c r="BT2548" s="5">
        <v>0.47638888888888892</v>
      </c>
      <c r="BU2548" t="s">
        <v>315</v>
      </c>
      <c r="BV2548" t="s">
        <v>86</v>
      </c>
      <c r="BY2548">
        <v>6837</v>
      </c>
      <c r="CA2548" t="s">
        <v>217</v>
      </c>
      <c r="CC2548" t="s">
        <v>214</v>
      </c>
      <c r="CD2548">
        <v>7646</v>
      </c>
      <c r="CE2548" t="s">
        <v>147</v>
      </c>
      <c r="CF2548" s="3">
        <v>43794</v>
      </c>
      <c r="CI2548">
        <v>1</v>
      </c>
      <c r="CJ2548">
        <v>1</v>
      </c>
      <c r="CK2548">
        <v>23</v>
      </c>
      <c r="CL2548" t="s">
        <v>89</v>
      </c>
    </row>
    <row r="2549" spans="1:90">
      <c r="A2549" t="s">
        <v>72</v>
      </c>
      <c r="B2549" t="s">
        <v>73</v>
      </c>
      <c r="C2549" t="s">
        <v>74</v>
      </c>
      <c r="E2549" t="str">
        <f>"FES1162724388"</f>
        <v>FES1162724388</v>
      </c>
      <c r="F2549" s="3">
        <v>43790</v>
      </c>
      <c r="G2549">
        <v>202005</v>
      </c>
      <c r="H2549" t="s">
        <v>75</v>
      </c>
      <c r="I2549" t="s">
        <v>76</v>
      </c>
      <c r="J2549" t="s">
        <v>77</v>
      </c>
      <c r="K2549" t="s">
        <v>78</v>
      </c>
      <c r="L2549" t="s">
        <v>118</v>
      </c>
      <c r="M2549" t="s">
        <v>119</v>
      </c>
      <c r="N2549" t="s">
        <v>630</v>
      </c>
      <c r="O2549" t="s">
        <v>82</v>
      </c>
      <c r="P2549" t="str">
        <f>"2170716092                    "</f>
        <v xml:space="preserve">2170716092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8.58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0.2</v>
      </c>
      <c r="BJ2549">
        <v>1.7</v>
      </c>
      <c r="BK2549">
        <v>2</v>
      </c>
      <c r="BL2549" s="4">
        <v>50.45</v>
      </c>
      <c r="BM2549" s="4">
        <v>7.57</v>
      </c>
      <c r="BN2549" s="4">
        <v>58.02</v>
      </c>
      <c r="BO2549" s="4">
        <v>58.02</v>
      </c>
      <c r="BQ2549" t="s">
        <v>121</v>
      </c>
      <c r="BR2549" t="s">
        <v>84</v>
      </c>
      <c r="BS2549" s="3">
        <v>43791</v>
      </c>
      <c r="BT2549" s="5">
        <v>0.34375</v>
      </c>
      <c r="BU2549" t="s">
        <v>631</v>
      </c>
      <c r="BV2549" t="s">
        <v>86</v>
      </c>
      <c r="BY2549">
        <v>8552.25</v>
      </c>
      <c r="CA2549" t="s">
        <v>632</v>
      </c>
      <c r="CC2549" t="s">
        <v>119</v>
      </c>
      <c r="CD2549">
        <v>3201</v>
      </c>
      <c r="CE2549" t="s">
        <v>147</v>
      </c>
      <c r="CF2549" s="3">
        <v>43794</v>
      </c>
      <c r="CI2549">
        <v>1</v>
      </c>
      <c r="CJ2549">
        <v>1</v>
      </c>
      <c r="CK2549">
        <v>21</v>
      </c>
      <c r="CL2549" t="s">
        <v>89</v>
      </c>
    </row>
    <row r="2550" spans="1:90">
      <c r="A2550" t="s">
        <v>72</v>
      </c>
      <c r="B2550" t="s">
        <v>73</v>
      </c>
      <c r="C2550" t="s">
        <v>74</v>
      </c>
      <c r="E2550" t="str">
        <f>"FES1162724347"</f>
        <v>FES1162724347</v>
      </c>
      <c r="F2550" s="3">
        <v>43790</v>
      </c>
      <c r="G2550">
        <v>202005</v>
      </c>
      <c r="H2550" t="s">
        <v>75</v>
      </c>
      <c r="I2550" t="s">
        <v>76</v>
      </c>
      <c r="J2550" t="s">
        <v>77</v>
      </c>
      <c r="K2550" t="s">
        <v>78</v>
      </c>
      <c r="L2550" t="s">
        <v>118</v>
      </c>
      <c r="M2550" t="s">
        <v>119</v>
      </c>
      <c r="N2550" t="s">
        <v>248</v>
      </c>
      <c r="O2550" t="s">
        <v>82</v>
      </c>
      <c r="P2550" t="str">
        <f>"2170715253                    "</f>
        <v xml:space="preserve">2170715253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8.58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0.2</v>
      </c>
      <c r="BJ2550">
        <v>1</v>
      </c>
      <c r="BK2550">
        <v>1</v>
      </c>
      <c r="BL2550" s="4">
        <v>50.45</v>
      </c>
      <c r="BM2550" s="4">
        <v>7.57</v>
      </c>
      <c r="BN2550" s="4">
        <v>58.02</v>
      </c>
      <c r="BO2550" s="4">
        <v>58.02</v>
      </c>
      <c r="BQ2550" t="s">
        <v>121</v>
      </c>
      <c r="BR2550" t="s">
        <v>84</v>
      </c>
      <c r="BS2550" s="3">
        <v>43791</v>
      </c>
      <c r="BT2550" s="5">
        <v>0.37013888888888885</v>
      </c>
      <c r="BU2550" t="s">
        <v>623</v>
      </c>
      <c r="BV2550" t="s">
        <v>86</v>
      </c>
      <c r="BY2550">
        <v>5074.08</v>
      </c>
      <c r="CA2550" t="s">
        <v>435</v>
      </c>
      <c r="CC2550" t="s">
        <v>119</v>
      </c>
      <c r="CD2550">
        <v>3212</v>
      </c>
      <c r="CE2550" t="s">
        <v>147</v>
      </c>
      <c r="CF2550" s="3">
        <v>43794</v>
      </c>
      <c r="CI2550">
        <v>1</v>
      </c>
      <c r="CJ2550">
        <v>1</v>
      </c>
      <c r="CK2550">
        <v>21</v>
      </c>
      <c r="CL2550" t="s">
        <v>89</v>
      </c>
    </row>
    <row r="2551" spans="1:90">
      <c r="A2551" t="s">
        <v>72</v>
      </c>
      <c r="B2551" t="s">
        <v>73</v>
      </c>
      <c r="C2551" t="s">
        <v>74</v>
      </c>
      <c r="E2551" t="str">
        <f>"FES1162724398"</f>
        <v>FES1162724398</v>
      </c>
      <c r="F2551" s="3">
        <v>43790</v>
      </c>
      <c r="G2551">
        <v>202005</v>
      </c>
      <c r="H2551" t="s">
        <v>75</v>
      </c>
      <c r="I2551" t="s">
        <v>76</v>
      </c>
      <c r="J2551" t="s">
        <v>77</v>
      </c>
      <c r="K2551" t="s">
        <v>78</v>
      </c>
      <c r="L2551" t="s">
        <v>304</v>
      </c>
      <c r="M2551" t="s">
        <v>305</v>
      </c>
      <c r="N2551" t="s">
        <v>1565</v>
      </c>
      <c r="O2551" t="s">
        <v>82</v>
      </c>
      <c r="P2551" t="str">
        <f>"2170716288                    "</f>
        <v xml:space="preserve">2170716288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16.63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1.6</v>
      </c>
      <c r="BJ2551">
        <v>1.6</v>
      </c>
      <c r="BK2551">
        <v>2</v>
      </c>
      <c r="BL2551" s="4">
        <v>97.75</v>
      </c>
      <c r="BM2551" s="4">
        <v>14.66</v>
      </c>
      <c r="BN2551" s="4">
        <v>112.41</v>
      </c>
      <c r="BO2551" s="4">
        <v>112.41</v>
      </c>
      <c r="BQ2551" t="s">
        <v>121</v>
      </c>
      <c r="BR2551" t="s">
        <v>84</v>
      </c>
      <c r="BS2551" s="3">
        <v>43791</v>
      </c>
      <c r="BT2551" s="5">
        <v>0.41666666666666669</v>
      </c>
      <c r="BU2551" t="s">
        <v>1566</v>
      </c>
      <c r="BV2551" t="s">
        <v>86</v>
      </c>
      <c r="BY2551">
        <v>8131.75</v>
      </c>
      <c r="CC2551" t="s">
        <v>305</v>
      </c>
      <c r="CD2551">
        <v>5660</v>
      </c>
      <c r="CE2551" t="s">
        <v>88</v>
      </c>
      <c r="CF2551" s="3">
        <v>43795</v>
      </c>
      <c r="CI2551">
        <v>3</v>
      </c>
      <c r="CJ2551">
        <v>1</v>
      </c>
      <c r="CK2551">
        <v>23</v>
      </c>
      <c r="CL2551" t="s">
        <v>89</v>
      </c>
    </row>
    <row r="2552" spans="1:90">
      <c r="A2552" t="s">
        <v>72</v>
      </c>
      <c r="B2552" t="s">
        <v>73</v>
      </c>
      <c r="C2552" t="s">
        <v>74</v>
      </c>
      <c r="E2552" t="str">
        <f>"FES1162724257"</f>
        <v>FES1162724257</v>
      </c>
      <c r="F2552" s="3">
        <v>43790</v>
      </c>
      <c r="G2552">
        <v>202005</v>
      </c>
      <c r="H2552" t="s">
        <v>75</v>
      </c>
      <c r="I2552" t="s">
        <v>76</v>
      </c>
      <c r="J2552" t="s">
        <v>77</v>
      </c>
      <c r="K2552" t="s">
        <v>78</v>
      </c>
      <c r="L2552" t="s">
        <v>90</v>
      </c>
      <c r="M2552" t="s">
        <v>91</v>
      </c>
      <c r="N2552" t="s">
        <v>2705</v>
      </c>
      <c r="O2552" t="s">
        <v>82</v>
      </c>
      <c r="P2552" t="str">
        <f>"2170716139                    "</f>
        <v xml:space="preserve">2170716139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8.58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0.2</v>
      </c>
      <c r="BJ2552">
        <v>1.6</v>
      </c>
      <c r="BK2552">
        <v>2</v>
      </c>
      <c r="BL2552" s="4">
        <v>50.45</v>
      </c>
      <c r="BM2552" s="4">
        <v>7.57</v>
      </c>
      <c r="BN2552" s="4">
        <v>58.02</v>
      </c>
      <c r="BO2552" s="4">
        <v>58.02</v>
      </c>
      <c r="BQ2552" t="s">
        <v>2706</v>
      </c>
      <c r="BR2552" t="s">
        <v>84</v>
      </c>
      <c r="BS2552" s="3">
        <v>43791</v>
      </c>
      <c r="BT2552" s="5">
        <v>0.33333333333333331</v>
      </c>
      <c r="BU2552" t="s">
        <v>2707</v>
      </c>
      <c r="BV2552" t="s">
        <v>86</v>
      </c>
      <c r="BY2552">
        <v>8052</v>
      </c>
      <c r="CA2552" t="s">
        <v>1281</v>
      </c>
      <c r="CC2552" t="s">
        <v>91</v>
      </c>
      <c r="CD2552">
        <v>7945</v>
      </c>
      <c r="CE2552" t="s">
        <v>147</v>
      </c>
      <c r="CF2552" s="3">
        <v>43794</v>
      </c>
      <c r="CI2552">
        <v>1</v>
      </c>
      <c r="CJ2552">
        <v>1</v>
      </c>
      <c r="CK2552">
        <v>21</v>
      </c>
      <c r="CL2552" t="s">
        <v>89</v>
      </c>
    </row>
    <row r="2553" spans="1:90">
      <c r="A2553" t="s">
        <v>72</v>
      </c>
      <c r="B2553" t="s">
        <v>73</v>
      </c>
      <c r="C2553" t="s">
        <v>74</v>
      </c>
      <c r="E2553" t="str">
        <f>"FES1162724150"</f>
        <v>FES1162724150</v>
      </c>
      <c r="F2553" s="3">
        <v>43790</v>
      </c>
      <c r="G2553">
        <v>202005</v>
      </c>
      <c r="H2553" t="s">
        <v>75</v>
      </c>
      <c r="I2553" t="s">
        <v>76</v>
      </c>
      <c r="J2553" t="s">
        <v>77</v>
      </c>
      <c r="K2553" t="s">
        <v>78</v>
      </c>
      <c r="L2553" t="s">
        <v>101</v>
      </c>
      <c r="M2553" t="s">
        <v>102</v>
      </c>
      <c r="N2553" t="s">
        <v>2708</v>
      </c>
      <c r="O2553" t="s">
        <v>82</v>
      </c>
      <c r="P2553" t="str">
        <f>"2170715542                    "</f>
        <v xml:space="preserve">2170715542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8.58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0.5</v>
      </c>
      <c r="BJ2553">
        <v>1.2</v>
      </c>
      <c r="BK2553">
        <v>1.5</v>
      </c>
      <c r="BL2553" s="4">
        <v>50.45</v>
      </c>
      <c r="BM2553" s="4">
        <v>7.57</v>
      </c>
      <c r="BN2553" s="4">
        <v>58.02</v>
      </c>
      <c r="BO2553" s="4">
        <v>58.02</v>
      </c>
      <c r="BQ2553" t="s">
        <v>121</v>
      </c>
      <c r="BR2553" t="s">
        <v>84</v>
      </c>
      <c r="BS2553" s="3">
        <v>43791</v>
      </c>
      <c r="BT2553" s="5">
        <v>0.4375</v>
      </c>
      <c r="BU2553" t="s">
        <v>295</v>
      </c>
      <c r="BV2553" t="s">
        <v>86</v>
      </c>
      <c r="BY2553">
        <v>6162.88</v>
      </c>
      <c r="CA2553" t="s">
        <v>183</v>
      </c>
      <c r="CC2553" t="s">
        <v>102</v>
      </c>
      <c r="CD2553">
        <v>200</v>
      </c>
      <c r="CE2553" t="s">
        <v>88</v>
      </c>
      <c r="CF2553" s="3">
        <v>43794</v>
      </c>
      <c r="CI2553">
        <v>1</v>
      </c>
      <c r="CJ2553">
        <v>1</v>
      </c>
      <c r="CK2553">
        <v>21</v>
      </c>
      <c r="CL2553" t="s">
        <v>89</v>
      </c>
    </row>
    <row r="2554" spans="1:90">
      <c r="A2554" t="s">
        <v>72</v>
      </c>
      <c r="B2554" t="s">
        <v>73</v>
      </c>
      <c r="C2554" t="s">
        <v>74</v>
      </c>
      <c r="E2554" t="str">
        <f>"FES1162724216"</f>
        <v>FES1162724216</v>
      </c>
      <c r="F2554" s="3">
        <v>43790</v>
      </c>
      <c r="G2554">
        <v>202005</v>
      </c>
      <c r="H2554" t="s">
        <v>75</v>
      </c>
      <c r="I2554" t="s">
        <v>76</v>
      </c>
      <c r="J2554" t="s">
        <v>77</v>
      </c>
      <c r="K2554" t="s">
        <v>78</v>
      </c>
      <c r="L2554" t="s">
        <v>917</v>
      </c>
      <c r="M2554" t="s">
        <v>918</v>
      </c>
      <c r="N2554" t="s">
        <v>919</v>
      </c>
      <c r="O2554" t="s">
        <v>82</v>
      </c>
      <c r="P2554" t="str">
        <f>"2170715523                    "</f>
        <v xml:space="preserve">2170715523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12.07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0.2</v>
      </c>
      <c r="BJ2554">
        <v>0.8</v>
      </c>
      <c r="BK2554">
        <v>1</v>
      </c>
      <c r="BL2554" s="4">
        <v>70.95</v>
      </c>
      <c r="BM2554" s="4">
        <v>10.64</v>
      </c>
      <c r="BN2554" s="4">
        <v>81.59</v>
      </c>
      <c r="BO2554" s="4">
        <v>81.59</v>
      </c>
      <c r="BQ2554" t="s">
        <v>109</v>
      </c>
      <c r="BR2554" t="s">
        <v>84</v>
      </c>
      <c r="BS2554" s="3">
        <v>43791</v>
      </c>
      <c r="BT2554" s="5">
        <v>0.36527777777777781</v>
      </c>
      <c r="BU2554" t="s">
        <v>2709</v>
      </c>
      <c r="BV2554" t="s">
        <v>86</v>
      </c>
      <c r="BY2554">
        <v>4221.84</v>
      </c>
      <c r="CA2554" t="s">
        <v>2710</v>
      </c>
      <c r="CC2554" t="s">
        <v>918</v>
      </c>
      <c r="CD2554">
        <v>2210</v>
      </c>
      <c r="CE2554" t="s">
        <v>147</v>
      </c>
      <c r="CF2554" s="3">
        <v>43794</v>
      </c>
      <c r="CI2554">
        <v>1</v>
      </c>
      <c r="CJ2554">
        <v>1</v>
      </c>
      <c r="CK2554">
        <v>24</v>
      </c>
      <c r="CL2554" t="s">
        <v>89</v>
      </c>
    </row>
    <row r="2555" spans="1:90">
      <c r="A2555" t="s">
        <v>72</v>
      </c>
      <c r="B2555" t="s">
        <v>73</v>
      </c>
      <c r="C2555" t="s">
        <v>74</v>
      </c>
      <c r="E2555" t="str">
        <f>"FES1162724149"</f>
        <v>FES1162724149</v>
      </c>
      <c r="F2555" s="3">
        <v>43790</v>
      </c>
      <c r="G2555">
        <v>202005</v>
      </c>
      <c r="H2555" t="s">
        <v>75</v>
      </c>
      <c r="I2555" t="s">
        <v>76</v>
      </c>
      <c r="J2555" t="s">
        <v>77</v>
      </c>
      <c r="K2555" t="s">
        <v>78</v>
      </c>
      <c r="L2555" t="s">
        <v>917</v>
      </c>
      <c r="M2555" t="s">
        <v>918</v>
      </c>
      <c r="N2555" t="s">
        <v>919</v>
      </c>
      <c r="O2555" t="s">
        <v>82</v>
      </c>
      <c r="P2555" t="str">
        <f>"2170715523                    "</f>
        <v xml:space="preserve">2170715523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12.07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0.2</v>
      </c>
      <c r="BJ2555">
        <v>1</v>
      </c>
      <c r="BK2555">
        <v>1</v>
      </c>
      <c r="BL2555" s="4">
        <v>70.95</v>
      </c>
      <c r="BM2555" s="4">
        <v>10.64</v>
      </c>
      <c r="BN2555" s="4">
        <v>81.59</v>
      </c>
      <c r="BO2555" s="4">
        <v>81.59</v>
      </c>
      <c r="BQ2555" t="s">
        <v>109</v>
      </c>
      <c r="BR2555" t="s">
        <v>84</v>
      </c>
      <c r="BS2555" s="3">
        <v>43791</v>
      </c>
      <c r="BT2555" s="5">
        <v>0.3659722222222222</v>
      </c>
      <c r="BU2555" t="s">
        <v>2709</v>
      </c>
      <c r="BV2555" t="s">
        <v>86</v>
      </c>
      <c r="BY2555">
        <v>5138.88</v>
      </c>
      <c r="CA2555" t="s">
        <v>2710</v>
      </c>
      <c r="CC2555" t="s">
        <v>918</v>
      </c>
      <c r="CD2555">
        <v>2210</v>
      </c>
      <c r="CE2555" t="s">
        <v>147</v>
      </c>
      <c r="CF2555" s="3">
        <v>43794</v>
      </c>
      <c r="CI2555">
        <v>1</v>
      </c>
      <c r="CJ2555">
        <v>1</v>
      </c>
      <c r="CK2555">
        <v>24</v>
      </c>
      <c r="CL2555" t="s">
        <v>89</v>
      </c>
    </row>
    <row r="2556" spans="1:90">
      <c r="A2556" t="s">
        <v>72</v>
      </c>
      <c r="B2556" t="s">
        <v>73</v>
      </c>
      <c r="C2556" t="s">
        <v>74</v>
      </c>
      <c r="E2556" t="str">
        <f>"FES1162724247"</f>
        <v>FES1162724247</v>
      </c>
      <c r="F2556" s="3">
        <v>43790</v>
      </c>
      <c r="G2556">
        <v>202005</v>
      </c>
      <c r="H2556" t="s">
        <v>75</v>
      </c>
      <c r="I2556" t="s">
        <v>76</v>
      </c>
      <c r="J2556" t="s">
        <v>77</v>
      </c>
      <c r="K2556" t="s">
        <v>78</v>
      </c>
      <c r="L2556" t="s">
        <v>405</v>
      </c>
      <c r="M2556" t="s">
        <v>406</v>
      </c>
      <c r="N2556" t="s">
        <v>407</v>
      </c>
      <c r="O2556" t="s">
        <v>82</v>
      </c>
      <c r="P2556" t="str">
        <f>"217071600                     "</f>
        <v xml:space="preserve">217071600 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12.07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0.2</v>
      </c>
      <c r="BJ2556">
        <v>1.7</v>
      </c>
      <c r="BK2556">
        <v>2</v>
      </c>
      <c r="BL2556" s="4">
        <v>70.95</v>
      </c>
      <c r="BM2556" s="4">
        <v>10.64</v>
      </c>
      <c r="BN2556" s="4">
        <v>81.59</v>
      </c>
      <c r="BO2556" s="4">
        <v>81.59</v>
      </c>
      <c r="BQ2556" t="s">
        <v>121</v>
      </c>
      <c r="BR2556" t="s">
        <v>84</v>
      </c>
      <c r="BS2556" s="3">
        <v>43791</v>
      </c>
      <c r="BT2556" s="5">
        <v>0.40972222222222227</v>
      </c>
      <c r="BU2556" t="s">
        <v>2711</v>
      </c>
      <c r="BV2556" t="s">
        <v>86</v>
      </c>
      <c r="BY2556">
        <v>8614.2800000000007</v>
      </c>
      <c r="CA2556" t="s">
        <v>1501</v>
      </c>
      <c r="CC2556" t="s">
        <v>406</v>
      </c>
      <c r="CD2556">
        <v>250</v>
      </c>
      <c r="CE2556" t="s">
        <v>147</v>
      </c>
      <c r="CF2556" s="3">
        <v>43795</v>
      </c>
      <c r="CI2556">
        <v>1</v>
      </c>
      <c r="CJ2556">
        <v>1</v>
      </c>
      <c r="CK2556">
        <v>24</v>
      </c>
      <c r="CL2556" t="s">
        <v>89</v>
      </c>
    </row>
    <row r="2557" spans="1:90">
      <c r="A2557" t="s">
        <v>72</v>
      </c>
      <c r="B2557" t="s">
        <v>73</v>
      </c>
      <c r="C2557" t="s">
        <v>74</v>
      </c>
      <c r="E2557" t="str">
        <f>"FES1162724442"</f>
        <v>FES1162724442</v>
      </c>
      <c r="F2557" s="3">
        <v>43790</v>
      </c>
      <c r="G2557">
        <v>202005</v>
      </c>
      <c r="H2557" t="s">
        <v>75</v>
      </c>
      <c r="I2557" t="s">
        <v>76</v>
      </c>
      <c r="J2557" t="s">
        <v>77</v>
      </c>
      <c r="K2557" t="s">
        <v>78</v>
      </c>
      <c r="L2557" t="s">
        <v>118</v>
      </c>
      <c r="M2557" t="s">
        <v>119</v>
      </c>
      <c r="N2557" t="s">
        <v>120</v>
      </c>
      <c r="O2557" t="s">
        <v>82</v>
      </c>
      <c r="P2557" t="str">
        <f>"2170718182                    "</f>
        <v xml:space="preserve">2170718182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8.58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0.2</v>
      </c>
      <c r="BJ2557">
        <v>0.9</v>
      </c>
      <c r="BK2557">
        <v>1</v>
      </c>
      <c r="BL2557" s="4">
        <v>50.45</v>
      </c>
      <c r="BM2557" s="4">
        <v>7.57</v>
      </c>
      <c r="BN2557" s="4">
        <v>58.02</v>
      </c>
      <c r="BO2557" s="4">
        <v>58.02</v>
      </c>
      <c r="BQ2557" t="s">
        <v>121</v>
      </c>
      <c r="BR2557" t="s">
        <v>84</v>
      </c>
      <c r="BS2557" s="3">
        <v>43791</v>
      </c>
      <c r="BT2557" s="5">
        <v>0.37152777777777773</v>
      </c>
      <c r="BU2557" t="s">
        <v>623</v>
      </c>
      <c r="BV2557" t="s">
        <v>86</v>
      </c>
      <c r="BY2557">
        <v>4578.3999999999996</v>
      </c>
      <c r="CA2557" t="s">
        <v>435</v>
      </c>
      <c r="CC2557" t="s">
        <v>119</v>
      </c>
      <c r="CD2557">
        <v>3201</v>
      </c>
      <c r="CE2557" t="s">
        <v>88</v>
      </c>
      <c r="CF2557" s="3">
        <v>43794</v>
      </c>
      <c r="CI2557">
        <v>1</v>
      </c>
      <c r="CJ2557">
        <v>1</v>
      </c>
      <c r="CK2557">
        <v>21</v>
      </c>
      <c r="CL2557" t="s">
        <v>89</v>
      </c>
    </row>
    <row r="2558" spans="1:90">
      <c r="A2558" t="s">
        <v>72</v>
      </c>
      <c r="B2558" t="s">
        <v>73</v>
      </c>
      <c r="C2558" t="s">
        <v>74</v>
      </c>
      <c r="E2558" t="str">
        <f>"FES1162724276"</f>
        <v>FES1162724276</v>
      </c>
      <c r="F2558" s="3">
        <v>43790</v>
      </c>
      <c r="G2558">
        <v>202005</v>
      </c>
      <c r="H2558" t="s">
        <v>75</v>
      </c>
      <c r="I2558" t="s">
        <v>76</v>
      </c>
      <c r="J2558" t="s">
        <v>77</v>
      </c>
      <c r="K2558" t="s">
        <v>78</v>
      </c>
      <c r="L2558" t="s">
        <v>101</v>
      </c>
      <c r="M2558" t="s">
        <v>102</v>
      </c>
      <c r="N2558" t="s">
        <v>2712</v>
      </c>
      <c r="O2558" t="s">
        <v>82</v>
      </c>
      <c r="P2558" t="str">
        <f>"2170716624                    "</f>
        <v xml:space="preserve">2170716624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10.73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0.6</v>
      </c>
      <c r="BJ2558">
        <v>2.2999999999999998</v>
      </c>
      <c r="BK2558">
        <v>2.5</v>
      </c>
      <c r="BL2558" s="4">
        <v>63.06</v>
      </c>
      <c r="BM2558" s="4">
        <v>9.4600000000000009</v>
      </c>
      <c r="BN2558" s="4">
        <v>72.52</v>
      </c>
      <c r="BO2558" s="4">
        <v>72.52</v>
      </c>
      <c r="BR2558" t="s">
        <v>84</v>
      </c>
      <c r="BS2558" s="3">
        <v>43794</v>
      </c>
      <c r="BT2558" s="5">
        <v>0.38541666666666669</v>
      </c>
      <c r="BU2558" t="s">
        <v>295</v>
      </c>
      <c r="BV2558" t="s">
        <v>89</v>
      </c>
      <c r="BW2558" t="s">
        <v>319</v>
      </c>
      <c r="BX2558" t="s">
        <v>474</v>
      </c>
      <c r="BY2558">
        <v>11377.08</v>
      </c>
      <c r="CC2558" t="s">
        <v>102</v>
      </c>
      <c r="CD2558">
        <v>200</v>
      </c>
      <c r="CE2558" t="s">
        <v>147</v>
      </c>
      <c r="CF2558" s="3">
        <v>43795</v>
      </c>
      <c r="CI2558">
        <v>1</v>
      </c>
      <c r="CJ2558">
        <v>2</v>
      </c>
      <c r="CK2558">
        <v>21</v>
      </c>
      <c r="CL2558" t="s">
        <v>89</v>
      </c>
    </row>
    <row r="2559" spans="1:90">
      <c r="A2559" t="s">
        <v>72</v>
      </c>
      <c r="B2559" t="s">
        <v>73</v>
      </c>
      <c r="C2559" t="s">
        <v>74</v>
      </c>
      <c r="E2559" t="str">
        <f>"FES1162724436"</f>
        <v>FES1162724436</v>
      </c>
      <c r="F2559" s="3">
        <v>43790</v>
      </c>
      <c r="G2559">
        <v>202005</v>
      </c>
      <c r="H2559" t="s">
        <v>75</v>
      </c>
      <c r="I2559" t="s">
        <v>76</v>
      </c>
      <c r="J2559" t="s">
        <v>77</v>
      </c>
      <c r="K2559" t="s">
        <v>78</v>
      </c>
      <c r="L2559" t="s">
        <v>681</v>
      </c>
      <c r="M2559" t="s">
        <v>682</v>
      </c>
      <c r="N2559" t="s">
        <v>2585</v>
      </c>
      <c r="O2559" t="s">
        <v>82</v>
      </c>
      <c r="P2559" t="str">
        <f>"2170717900                    "</f>
        <v xml:space="preserve">2170717900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12.07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0.2</v>
      </c>
      <c r="BJ2559">
        <v>1.1000000000000001</v>
      </c>
      <c r="BK2559">
        <v>1.5</v>
      </c>
      <c r="BL2559" s="4">
        <v>70.95</v>
      </c>
      <c r="BM2559" s="4">
        <v>10.64</v>
      </c>
      <c r="BN2559" s="4">
        <v>81.59</v>
      </c>
      <c r="BO2559" s="4">
        <v>81.59</v>
      </c>
      <c r="BQ2559" t="s">
        <v>121</v>
      </c>
      <c r="BR2559" t="s">
        <v>84</v>
      </c>
      <c r="BS2559" s="3">
        <v>43791</v>
      </c>
      <c r="BT2559" s="5">
        <v>0.31666666666666665</v>
      </c>
      <c r="BU2559" t="s">
        <v>2570</v>
      </c>
      <c r="BV2559" t="s">
        <v>86</v>
      </c>
      <c r="BY2559">
        <v>5621.2</v>
      </c>
      <c r="CA2559" t="s">
        <v>1224</v>
      </c>
      <c r="CC2559" t="s">
        <v>682</v>
      </c>
      <c r="CD2559">
        <v>1939</v>
      </c>
      <c r="CE2559" t="s">
        <v>147</v>
      </c>
      <c r="CF2559" s="3">
        <v>43794</v>
      </c>
      <c r="CI2559">
        <v>1</v>
      </c>
      <c r="CJ2559">
        <v>1</v>
      </c>
      <c r="CK2559">
        <v>24</v>
      </c>
      <c r="CL2559" t="s">
        <v>89</v>
      </c>
    </row>
    <row r="2560" spans="1:90">
      <c r="A2560" t="s">
        <v>72</v>
      </c>
      <c r="B2560" t="s">
        <v>73</v>
      </c>
      <c r="C2560" t="s">
        <v>74</v>
      </c>
      <c r="E2560" t="str">
        <f>"FES1162724142"</f>
        <v>FES1162724142</v>
      </c>
      <c r="F2560" s="3">
        <v>43790</v>
      </c>
      <c r="G2560">
        <v>202005</v>
      </c>
      <c r="H2560" t="s">
        <v>75</v>
      </c>
      <c r="I2560" t="s">
        <v>76</v>
      </c>
      <c r="J2560" t="s">
        <v>77</v>
      </c>
      <c r="K2560" t="s">
        <v>78</v>
      </c>
      <c r="L2560" t="s">
        <v>164</v>
      </c>
      <c r="M2560" t="s">
        <v>165</v>
      </c>
      <c r="N2560" t="s">
        <v>166</v>
      </c>
      <c r="O2560" t="s">
        <v>82</v>
      </c>
      <c r="P2560" t="str">
        <f>"2170718108                    "</f>
        <v xml:space="preserve">2170718108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16.63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0.2</v>
      </c>
      <c r="BJ2560">
        <v>0.7</v>
      </c>
      <c r="BK2560">
        <v>1</v>
      </c>
      <c r="BL2560" s="4">
        <v>97.75</v>
      </c>
      <c r="BM2560" s="4">
        <v>14.66</v>
      </c>
      <c r="BN2560" s="4">
        <v>112.41</v>
      </c>
      <c r="BO2560" s="4">
        <v>112.41</v>
      </c>
      <c r="BQ2560" t="s">
        <v>121</v>
      </c>
      <c r="BR2560" t="s">
        <v>84</v>
      </c>
      <c r="BS2560" s="3">
        <v>43791</v>
      </c>
      <c r="BT2560" s="5">
        <v>0.51180555555555551</v>
      </c>
      <c r="BU2560" t="s">
        <v>416</v>
      </c>
      <c r="BV2560" t="s">
        <v>86</v>
      </c>
      <c r="BY2560">
        <v>3534.34</v>
      </c>
      <c r="CA2560" t="s">
        <v>168</v>
      </c>
      <c r="CC2560" t="s">
        <v>165</v>
      </c>
      <c r="CD2560">
        <v>3370</v>
      </c>
      <c r="CE2560" t="s">
        <v>147</v>
      </c>
      <c r="CF2560" s="3">
        <v>43795</v>
      </c>
      <c r="CI2560">
        <v>3</v>
      </c>
      <c r="CJ2560">
        <v>1</v>
      </c>
      <c r="CK2560">
        <v>23</v>
      </c>
      <c r="CL2560" t="s">
        <v>89</v>
      </c>
    </row>
    <row r="2561" spans="1:90">
      <c r="A2561" t="s">
        <v>72</v>
      </c>
      <c r="B2561" t="s">
        <v>73</v>
      </c>
      <c r="C2561" t="s">
        <v>74</v>
      </c>
      <c r="E2561" t="str">
        <f>"FES1162724190"</f>
        <v>FES1162724190</v>
      </c>
      <c r="F2561" s="3">
        <v>43790</v>
      </c>
      <c r="G2561">
        <v>202005</v>
      </c>
      <c r="H2561" t="s">
        <v>75</v>
      </c>
      <c r="I2561" t="s">
        <v>76</v>
      </c>
      <c r="J2561" t="s">
        <v>77</v>
      </c>
      <c r="K2561" t="s">
        <v>78</v>
      </c>
      <c r="L2561" t="s">
        <v>164</v>
      </c>
      <c r="M2561" t="s">
        <v>165</v>
      </c>
      <c r="N2561" t="s">
        <v>166</v>
      </c>
      <c r="O2561" t="s">
        <v>82</v>
      </c>
      <c r="P2561" t="str">
        <f>"2170718137                    "</f>
        <v xml:space="preserve">2170718137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16.63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0.5</v>
      </c>
      <c r="BJ2561">
        <v>1.3</v>
      </c>
      <c r="BK2561">
        <v>1.5</v>
      </c>
      <c r="BL2561" s="4">
        <v>97.75</v>
      </c>
      <c r="BM2561" s="4">
        <v>14.66</v>
      </c>
      <c r="BN2561" s="4">
        <v>112.41</v>
      </c>
      <c r="BO2561" s="4">
        <v>112.41</v>
      </c>
      <c r="BQ2561" t="s">
        <v>121</v>
      </c>
      <c r="BR2561" t="s">
        <v>84</v>
      </c>
      <c r="BS2561" s="3">
        <v>43791</v>
      </c>
      <c r="BT2561" s="5">
        <v>0.51874999999999993</v>
      </c>
      <c r="BU2561" t="s">
        <v>416</v>
      </c>
      <c r="BV2561" t="s">
        <v>86</v>
      </c>
      <c r="BY2561">
        <v>6491.85</v>
      </c>
      <c r="CA2561" t="s">
        <v>168</v>
      </c>
      <c r="CC2561" t="s">
        <v>165</v>
      </c>
      <c r="CD2561">
        <v>3370</v>
      </c>
      <c r="CE2561" t="s">
        <v>147</v>
      </c>
      <c r="CF2561" s="3">
        <v>43795</v>
      </c>
      <c r="CI2561">
        <v>3</v>
      </c>
      <c r="CJ2561">
        <v>1</v>
      </c>
      <c r="CK2561">
        <v>23</v>
      </c>
      <c r="CL2561" t="s">
        <v>89</v>
      </c>
    </row>
    <row r="2562" spans="1:90">
      <c r="A2562" t="s">
        <v>72</v>
      </c>
      <c r="B2562" t="s">
        <v>73</v>
      </c>
      <c r="C2562" t="s">
        <v>74</v>
      </c>
      <c r="E2562" t="str">
        <f>"FES1162724510"</f>
        <v>FES1162724510</v>
      </c>
      <c r="F2562" s="3">
        <v>43790</v>
      </c>
      <c r="G2562">
        <v>202005</v>
      </c>
      <c r="H2562" t="s">
        <v>75</v>
      </c>
      <c r="I2562" t="s">
        <v>76</v>
      </c>
      <c r="J2562" t="s">
        <v>77</v>
      </c>
      <c r="K2562" t="s">
        <v>78</v>
      </c>
      <c r="L2562" t="s">
        <v>133</v>
      </c>
      <c r="M2562" t="s">
        <v>134</v>
      </c>
      <c r="N2562" t="s">
        <v>135</v>
      </c>
      <c r="O2562" t="s">
        <v>82</v>
      </c>
      <c r="P2562" t="str">
        <f>"2170718021                    "</f>
        <v xml:space="preserve">2170718021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45.04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2.8</v>
      </c>
      <c r="BJ2562">
        <v>10.3</v>
      </c>
      <c r="BK2562">
        <v>10.5</v>
      </c>
      <c r="BL2562" s="4">
        <v>264.73</v>
      </c>
      <c r="BM2562" s="4">
        <v>39.71</v>
      </c>
      <c r="BN2562" s="4">
        <v>304.44</v>
      </c>
      <c r="BO2562" s="4">
        <v>304.44</v>
      </c>
      <c r="BQ2562" t="s">
        <v>109</v>
      </c>
      <c r="BR2562" t="s">
        <v>84</v>
      </c>
      <c r="BS2562" s="3">
        <v>43791</v>
      </c>
      <c r="BT2562" s="5">
        <v>0.38958333333333334</v>
      </c>
      <c r="BU2562" t="s">
        <v>2078</v>
      </c>
      <c r="BV2562" t="s">
        <v>86</v>
      </c>
      <c r="BY2562">
        <v>51508.71</v>
      </c>
      <c r="CA2562" t="s">
        <v>912</v>
      </c>
      <c r="CC2562" t="s">
        <v>134</v>
      </c>
      <c r="CD2562">
        <v>5201</v>
      </c>
      <c r="CE2562" t="s">
        <v>88</v>
      </c>
      <c r="CF2562" s="3">
        <v>43794</v>
      </c>
      <c r="CI2562">
        <v>1</v>
      </c>
      <c r="CJ2562">
        <v>1</v>
      </c>
      <c r="CK2562">
        <v>21</v>
      </c>
      <c r="CL2562" t="s">
        <v>89</v>
      </c>
    </row>
    <row r="2563" spans="1:90">
      <c r="A2563" t="s">
        <v>72</v>
      </c>
      <c r="B2563" t="s">
        <v>73</v>
      </c>
      <c r="C2563" t="s">
        <v>74</v>
      </c>
      <c r="E2563" t="str">
        <f>"FES1162724274"</f>
        <v>FES1162724274</v>
      </c>
      <c r="F2563" s="3">
        <v>43790</v>
      </c>
      <c r="G2563">
        <v>202005</v>
      </c>
      <c r="H2563" t="s">
        <v>75</v>
      </c>
      <c r="I2563" t="s">
        <v>76</v>
      </c>
      <c r="J2563" t="s">
        <v>77</v>
      </c>
      <c r="K2563" t="s">
        <v>78</v>
      </c>
      <c r="L2563" t="s">
        <v>106</v>
      </c>
      <c r="M2563" t="s">
        <v>107</v>
      </c>
      <c r="N2563" t="s">
        <v>108</v>
      </c>
      <c r="O2563" t="s">
        <v>82</v>
      </c>
      <c r="P2563" t="str">
        <f>"2170716355                    "</f>
        <v xml:space="preserve">2170716355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8.58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0.2</v>
      </c>
      <c r="BJ2563">
        <v>1.7</v>
      </c>
      <c r="BK2563">
        <v>2</v>
      </c>
      <c r="BL2563" s="4">
        <v>50.45</v>
      </c>
      <c r="BM2563" s="4">
        <v>7.57</v>
      </c>
      <c r="BN2563" s="4">
        <v>58.02</v>
      </c>
      <c r="BO2563" s="4">
        <v>58.02</v>
      </c>
      <c r="BQ2563" t="s">
        <v>109</v>
      </c>
      <c r="BR2563" t="s">
        <v>84</v>
      </c>
      <c r="BS2563" s="3">
        <v>43791</v>
      </c>
      <c r="BT2563" s="5">
        <v>0.37777777777777777</v>
      </c>
      <c r="BU2563" t="s">
        <v>110</v>
      </c>
      <c r="BV2563" t="s">
        <v>86</v>
      </c>
      <c r="BY2563">
        <v>8650.9500000000007</v>
      </c>
      <c r="CA2563" t="s">
        <v>111</v>
      </c>
      <c r="CC2563" t="s">
        <v>107</v>
      </c>
      <c r="CD2563">
        <v>6001</v>
      </c>
      <c r="CE2563" t="s">
        <v>147</v>
      </c>
      <c r="CF2563" s="3">
        <v>43794</v>
      </c>
      <c r="CI2563">
        <v>1</v>
      </c>
      <c r="CJ2563">
        <v>1</v>
      </c>
      <c r="CK2563">
        <v>21</v>
      </c>
      <c r="CL2563" t="s">
        <v>89</v>
      </c>
    </row>
    <row r="2564" spans="1:90">
      <c r="A2564" t="s">
        <v>72</v>
      </c>
      <c r="B2564" t="s">
        <v>73</v>
      </c>
      <c r="C2564" t="s">
        <v>74</v>
      </c>
      <c r="E2564" t="str">
        <f>"FES1162724340"</f>
        <v>FES1162724340</v>
      </c>
      <c r="F2564" s="3">
        <v>43790</v>
      </c>
      <c r="G2564">
        <v>202005</v>
      </c>
      <c r="H2564" t="s">
        <v>75</v>
      </c>
      <c r="I2564" t="s">
        <v>76</v>
      </c>
      <c r="J2564" t="s">
        <v>77</v>
      </c>
      <c r="K2564" t="s">
        <v>78</v>
      </c>
      <c r="L2564" t="s">
        <v>112</v>
      </c>
      <c r="M2564" t="s">
        <v>113</v>
      </c>
      <c r="N2564" t="s">
        <v>2210</v>
      </c>
      <c r="O2564" t="s">
        <v>82</v>
      </c>
      <c r="P2564" t="str">
        <f>"2170715193                    "</f>
        <v xml:space="preserve">2170715193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8.58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0.2</v>
      </c>
      <c r="BJ2564">
        <v>1.4</v>
      </c>
      <c r="BK2564">
        <v>1.5</v>
      </c>
      <c r="BL2564" s="4">
        <v>50.45</v>
      </c>
      <c r="BM2564" s="4">
        <v>7.57</v>
      </c>
      <c r="BN2564" s="4">
        <v>58.02</v>
      </c>
      <c r="BO2564" s="4">
        <v>58.02</v>
      </c>
      <c r="BR2564" t="s">
        <v>84</v>
      </c>
      <c r="BS2564" s="3">
        <v>43791</v>
      </c>
      <c r="BT2564" s="5">
        <v>0.43124999999999997</v>
      </c>
      <c r="BU2564" t="s">
        <v>2713</v>
      </c>
      <c r="BV2564" t="s">
        <v>86</v>
      </c>
      <c r="BY2564">
        <v>7207.37</v>
      </c>
      <c r="CA2564" t="s">
        <v>2627</v>
      </c>
      <c r="CC2564" t="s">
        <v>113</v>
      </c>
      <c r="CD2564">
        <v>4001</v>
      </c>
      <c r="CE2564" t="s">
        <v>147</v>
      </c>
      <c r="CF2564" s="3">
        <v>43794</v>
      </c>
      <c r="CI2564">
        <v>1</v>
      </c>
      <c r="CJ2564">
        <v>1</v>
      </c>
      <c r="CK2564">
        <v>21</v>
      </c>
      <c r="CL2564" t="s">
        <v>89</v>
      </c>
    </row>
    <row r="2565" spans="1:90">
      <c r="A2565" t="s">
        <v>72</v>
      </c>
      <c r="B2565" t="s">
        <v>73</v>
      </c>
      <c r="C2565" t="s">
        <v>74</v>
      </c>
      <c r="E2565" t="str">
        <f>"FES1162724405"</f>
        <v>FES1162724405</v>
      </c>
      <c r="F2565" s="3">
        <v>43790</v>
      </c>
      <c r="G2565">
        <v>202005</v>
      </c>
      <c r="H2565" t="s">
        <v>75</v>
      </c>
      <c r="I2565" t="s">
        <v>76</v>
      </c>
      <c r="J2565" t="s">
        <v>77</v>
      </c>
      <c r="K2565" t="s">
        <v>78</v>
      </c>
      <c r="L2565" t="s">
        <v>75</v>
      </c>
      <c r="M2565" t="s">
        <v>76</v>
      </c>
      <c r="N2565" t="s">
        <v>199</v>
      </c>
      <c r="O2565" t="s">
        <v>82</v>
      </c>
      <c r="P2565" t="str">
        <f>"2170716319                    "</f>
        <v xml:space="preserve">2170716319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6.71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0.7</v>
      </c>
      <c r="BJ2565">
        <v>1.9</v>
      </c>
      <c r="BK2565">
        <v>2</v>
      </c>
      <c r="BL2565" s="4">
        <v>39.42</v>
      </c>
      <c r="BM2565" s="4">
        <v>5.91</v>
      </c>
      <c r="BN2565" s="4">
        <v>45.33</v>
      </c>
      <c r="BO2565" s="4">
        <v>45.33</v>
      </c>
      <c r="BQ2565" t="s">
        <v>200</v>
      </c>
      <c r="BR2565" t="s">
        <v>84</v>
      </c>
      <c r="BS2565" s="3">
        <v>43791</v>
      </c>
      <c r="BT2565" s="5">
        <v>0.32847222222222222</v>
      </c>
      <c r="BU2565" t="s">
        <v>1555</v>
      </c>
      <c r="BV2565" t="s">
        <v>86</v>
      </c>
      <c r="BY2565">
        <v>9444.43</v>
      </c>
      <c r="CA2565" t="s">
        <v>1498</v>
      </c>
      <c r="CC2565" t="s">
        <v>76</v>
      </c>
      <c r="CD2565">
        <v>1600</v>
      </c>
      <c r="CE2565" t="s">
        <v>147</v>
      </c>
      <c r="CF2565" s="3">
        <v>43794</v>
      </c>
      <c r="CI2565">
        <v>1</v>
      </c>
      <c r="CJ2565">
        <v>1</v>
      </c>
      <c r="CK2565">
        <v>22</v>
      </c>
      <c r="CL2565" t="s">
        <v>89</v>
      </c>
    </row>
    <row r="2566" spans="1:90">
      <c r="A2566" t="s">
        <v>72</v>
      </c>
      <c r="B2566" t="s">
        <v>73</v>
      </c>
      <c r="C2566" t="s">
        <v>74</v>
      </c>
      <c r="E2566" t="str">
        <f>"FES1162724419"</f>
        <v>FES1162724419</v>
      </c>
      <c r="F2566" s="3">
        <v>43790</v>
      </c>
      <c r="G2566">
        <v>202005</v>
      </c>
      <c r="H2566" t="s">
        <v>75</v>
      </c>
      <c r="I2566" t="s">
        <v>76</v>
      </c>
      <c r="J2566" t="s">
        <v>77</v>
      </c>
      <c r="K2566" t="s">
        <v>78</v>
      </c>
      <c r="L2566" t="s">
        <v>344</v>
      </c>
      <c r="M2566" t="s">
        <v>345</v>
      </c>
      <c r="N2566" t="s">
        <v>550</v>
      </c>
      <c r="O2566" t="s">
        <v>82</v>
      </c>
      <c r="P2566" t="str">
        <f>"2170716484                    "</f>
        <v xml:space="preserve">2170716484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6.71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0.2</v>
      </c>
      <c r="BJ2566">
        <v>0.7</v>
      </c>
      <c r="BK2566">
        <v>1</v>
      </c>
      <c r="BL2566" s="4">
        <v>39.42</v>
      </c>
      <c r="BM2566" s="4">
        <v>5.91</v>
      </c>
      <c r="BN2566" s="4">
        <v>45.33</v>
      </c>
      <c r="BO2566" s="4">
        <v>45.33</v>
      </c>
      <c r="BQ2566" t="s">
        <v>109</v>
      </c>
      <c r="BR2566" t="s">
        <v>84</v>
      </c>
      <c r="BS2566" s="3">
        <v>43791</v>
      </c>
      <c r="BT2566" s="5">
        <v>0.3833333333333333</v>
      </c>
      <c r="BU2566" t="s">
        <v>1163</v>
      </c>
      <c r="BV2566" t="s">
        <v>86</v>
      </c>
      <c r="BY2566">
        <v>3421.47</v>
      </c>
      <c r="CA2566" t="s">
        <v>348</v>
      </c>
      <c r="CC2566" t="s">
        <v>345</v>
      </c>
      <c r="CD2566">
        <v>2163</v>
      </c>
      <c r="CE2566" t="s">
        <v>147</v>
      </c>
      <c r="CF2566" s="3">
        <v>43795</v>
      </c>
      <c r="CI2566">
        <v>1</v>
      </c>
      <c r="CJ2566">
        <v>1</v>
      </c>
      <c r="CK2566">
        <v>22</v>
      </c>
      <c r="CL2566" t="s">
        <v>89</v>
      </c>
    </row>
    <row r="2567" spans="1:90">
      <c r="A2567" t="s">
        <v>72</v>
      </c>
      <c r="B2567" t="s">
        <v>73</v>
      </c>
      <c r="C2567" t="s">
        <v>74</v>
      </c>
      <c r="E2567" t="str">
        <f>"FES1162724516"</f>
        <v>FES1162724516</v>
      </c>
      <c r="F2567" s="3">
        <v>43790</v>
      </c>
      <c r="G2567">
        <v>202005</v>
      </c>
      <c r="H2567" t="s">
        <v>75</v>
      </c>
      <c r="I2567" t="s">
        <v>76</v>
      </c>
      <c r="J2567" t="s">
        <v>77</v>
      </c>
      <c r="K2567" t="s">
        <v>78</v>
      </c>
      <c r="L2567" t="s">
        <v>106</v>
      </c>
      <c r="M2567" t="s">
        <v>107</v>
      </c>
      <c r="N2567" t="s">
        <v>2714</v>
      </c>
      <c r="O2567" t="s">
        <v>82</v>
      </c>
      <c r="P2567" t="str">
        <f>"2170718293                    "</f>
        <v xml:space="preserve">2170718293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8.58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0.2</v>
      </c>
      <c r="BJ2567">
        <v>1.6</v>
      </c>
      <c r="BK2567">
        <v>2</v>
      </c>
      <c r="BL2567" s="4">
        <v>50.45</v>
      </c>
      <c r="BM2567" s="4">
        <v>7.57</v>
      </c>
      <c r="BN2567" s="4">
        <v>58.02</v>
      </c>
      <c r="BO2567" s="4">
        <v>58.02</v>
      </c>
      <c r="BR2567" t="s">
        <v>84</v>
      </c>
      <c r="BS2567" s="3">
        <v>43791</v>
      </c>
      <c r="BT2567" s="5">
        <v>0.35694444444444445</v>
      </c>
      <c r="BU2567" t="s">
        <v>2715</v>
      </c>
      <c r="BV2567" t="s">
        <v>86</v>
      </c>
      <c r="BY2567">
        <v>8007</v>
      </c>
      <c r="CA2567" t="s">
        <v>2716</v>
      </c>
      <c r="CC2567" t="s">
        <v>107</v>
      </c>
      <c r="CD2567">
        <v>6001</v>
      </c>
      <c r="CE2567" t="s">
        <v>147</v>
      </c>
      <c r="CF2567" s="3">
        <v>43794</v>
      </c>
      <c r="CI2567">
        <v>1</v>
      </c>
      <c r="CJ2567">
        <v>1</v>
      </c>
      <c r="CK2567">
        <v>21</v>
      </c>
      <c r="CL2567" t="s">
        <v>89</v>
      </c>
    </row>
    <row r="2568" spans="1:90">
      <c r="A2568" t="s">
        <v>72</v>
      </c>
      <c r="B2568" t="s">
        <v>73</v>
      </c>
      <c r="C2568" t="s">
        <v>74</v>
      </c>
      <c r="E2568" t="str">
        <f>"FES1162724479"</f>
        <v>FES1162724479</v>
      </c>
      <c r="F2568" s="3">
        <v>43790</v>
      </c>
      <c r="G2568">
        <v>202005</v>
      </c>
      <c r="H2568" t="s">
        <v>75</v>
      </c>
      <c r="I2568" t="s">
        <v>76</v>
      </c>
      <c r="J2568" t="s">
        <v>77</v>
      </c>
      <c r="K2568" t="s">
        <v>78</v>
      </c>
      <c r="L2568" t="s">
        <v>106</v>
      </c>
      <c r="M2568" t="s">
        <v>107</v>
      </c>
      <c r="N2568" t="s">
        <v>308</v>
      </c>
      <c r="O2568" t="s">
        <v>82</v>
      </c>
      <c r="P2568" t="str">
        <f>"2170741832                    "</f>
        <v xml:space="preserve">2170741832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8.58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1.9</v>
      </c>
      <c r="BK2568">
        <v>2</v>
      </c>
      <c r="BL2568" s="4">
        <v>50.45</v>
      </c>
      <c r="BM2568" s="4">
        <v>7.57</v>
      </c>
      <c r="BN2568" s="4">
        <v>58.02</v>
      </c>
      <c r="BO2568" s="4">
        <v>58.02</v>
      </c>
      <c r="BQ2568" t="s">
        <v>121</v>
      </c>
      <c r="BR2568" t="s">
        <v>84</v>
      </c>
      <c r="BS2568" s="3">
        <v>43791</v>
      </c>
      <c r="BT2568" s="5">
        <v>0.41666666666666669</v>
      </c>
      <c r="BU2568" t="s">
        <v>1568</v>
      </c>
      <c r="BV2568" t="s">
        <v>86</v>
      </c>
      <c r="BY2568">
        <v>9569.2800000000007</v>
      </c>
      <c r="CA2568" t="s">
        <v>111</v>
      </c>
      <c r="CC2568" t="s">
        <v>107</v>
      </c>
      <c r="CD2568">
        <v>6001</v>
      </c>
      <c r="CE2568" t="s">
        <v>147</v>
      </c>
      <c r="CF2568" s="3">
        <v>43794</v>
      </c>
      <c r="CI2568">
        <v>1</v>
      </c>
      <c r="CJ2568">
        <v>1</v>
      </c>
      <c r="CK2568">
        <v>21</v>
      </c>
      <c r="CL2568" t="s">
        <v>89</v>
      </c>
    </row>
    <row r="2569" spans="1:90">
      <c r="A2569" t="s">
        <v>72</v>
      </c>
      <c r="B2569" t="s">
        <v>73</v>
      </c>
      <c r="C2569" t="s">
        <v>74</v>
      </c>
      <c r="E2569" t="str">
        <f>"FES1162724339"</f>
        <v>FES1162724339</v>
      </c>
      <c r="F2569" s="3">
        <v>43790</v>
      </c>
      <c r="G2569">
        <v>202005</v>
      </c>
      <c r="H2569" t="s">
        <v>75</v>
      </c>
      <c r="I2569" t="s">
        <v>76</v>
      </c>
      <c r="J2569" t="s">
        <v>77</v>
      </c>
      <c r="K2569" t="s">
        <v>78</v>
      </c>
      <c r="L2569" t="s">
        <v>90</v>
      </c>
      <c r="M2569" t="s">
        <v>91</v>
      </c>
      <c r="N2569" t="s">
        <v>538</v>
      </c>
      <c r="O2569" t="s">
        <v>82</v>
      </c>
      <c r="P2569" t="str">
        <f>"2170715186                    "</f>
        <v xml:space="preserve">2170715186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10.73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1.5</v>
      </c>
      <c r="BJ2569">
        <v>2.1</v>
      </c>
      <c r="BK2569">
        <v>2.5</v>
      </c>
      <c r="BL2569" s="4">
        <v>63.06</v>
      </c>
      <c r="BM2569" s="4">
        <v>9.4600000000000009</v>
      </c>
      <c r="BN2569" s="4">
        <v>72.52</v>
      </c>
      <c r="BO2569" s="4">
        <v>72.52</v>
      </c>
      <c r="BQ2569" t="s">
        <v>109</v>
      </c>
      <c r="BR2569" t="s">
        <v>84</v>
      </c>
      <c r="BS2569" s="3">
        <v>43791</v>
      </c>
      <c r="BT2569" s="5">
        <v>0.29583333333333334</v>
      </c>
      <c r="BU2569" t="s">
        <v>1577</v>
      </c>
      <c r="BV2569" t="s">
        <v>86</v>
      </c>
      <c r="BY2569">
        <v>10266.75</v>
      </c>
      <c r="CA2569" t="s">
        <v>140</v>
      </c>
      <c r="CC2569" t="s">
        <v>91</v>
      </c>
      <c r="CD2569">
        <v>7530</v>
      </c>
      <c r="CE2569" t="s">
        <v>147</v>
      </c>
      <c r="CF2569" s="3">
        <v>43794</v>
      </c>
      <c r="CI2569">
        <v>1</v>
      </c>
      <c r="CJ2569">
        <v>1</v>
      </c>
      <c r="CK2569">
        <v>21</v>
      </c>
      <c r="CL2569" t="s">
        <v>89</v>
      </c>
    </row>
    <row r="2570" spans="1:90">
      <c r="A2570" t="s">
        <v>72</v>
      </c>
      <c r="B2570" t="s">
        <v>73</v>
      </c>
      <c r="C2570" t="s">
        <v>74</v>
      </c>
      <c r="E2570" t="str">
        <f>"FES1162724411"</f>
        <v>FES1162724411</v>
      </c>
      <c r="F2570" s="3">
        <v>43790</v>
      </c>
      <c r="G2570">
        <v>202005</v>
      </c>
      <c r="H2570" t="s">
        <v>75</v>
      </c>
      <c r="I2570" t="s">
        <v>76</v>
      </c>
      <c r="J2570" t="s">
        <v>77</v>
      </c>
      <c r="K2570" t="s">
        <v>78</v>
      </c>
      <c r="L2570" t="s">
        <v>106</v>
      </c>
      <c r="M2570" t="s">
        <v>107</v>
      </c>
      <c r="N2570" t="s">
        <v>700</v>
      </c>
      <c r="O2570" t="s">
        <v>82</v>
      </c>
      <c r="P2570" t="str">
        <f>"2170716361                    "</f>
        <v xml:space="preserve">2170716361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8.58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 s="4">
        <v>50.45</v>
      </c>
      <c r="BM2570" s="4">
        <v>7.57</v>
      </c>
      <c r="BN2570" s="4">
        <v>58.02</v>
      </c>
      <c r="BO2570" s="4">
        <v>58.02</v>
      </c>
      <c r="BQ2570" t="s">
        <v>109</v>
      </c>
      <c r="BR2570" t="s">
        <v>84</v>
      </c>
      <c r="BS2570" s="3">
        <v>43791</v>
      </c>
      <c r="BT2570" s="5">
        <v>0.33333333333333331</v>
      </c>
      <c r="BU2570" t="s">
        <v>2717</v>
      </c>
      <c r="BV2570" t="s">
        <v>86</v>
      </c>
      <c r="BY2570">
        <v>1200</v>
      </c>
      <c r="CA2570" t="s">
        <v>773</v>
      </c>
      <c r="CC2570" t="s">
        <v>107</v>
      </c>
      <c r="CD2570">
        <v>6001</v>
      </c>
      <c r="CE2570" t="s">
        <v>147</v>
      </c>
      <c r="CF2570" s="3">
        <v>43794</v>
      </c>
      <c r="CI2570">
        <v>1</v>
      </c>
      <c r="CJ2570">
        <v>1</v>
      </c>
      <c r="CK2570">
        <v>21</v>
      </c>
      <c r="CL2570" t="s">
        <v>89</v>
      </c>
    </row>
    <row r="2571" spans="1:90">
      <c r="A2571" t="s">
        <v>72</v>
      </c>
      <c r="B2571" t="s">
        <v>73</v>
      </c>
      <c r="C2571" t="s">
        <v>74</v>
      </c>
      <c r="E2571" t="str">
        <f>"FES1162724355"</f>
        <v>FES1162724355</v>
      </c>
      <c r="F2571" s="3">
        <v>43790</v>
      </c>
      <c r="G2571">
        <v>202005</v>
      </c>
      <c r="H2571" t="s">
        <v>75</v>
      </c>
      <c r="I2571" t="s">
        <v>76</v>
      </c>
      <c r="J2571" t="s">
        <v>77</v>
      </c>
      <c r="K2571" t="s">
        <v>78</v>
      </c>
      <c r="L2571" t="s">
        <v>79</v>
      </c>
      <c r="M2571" t="s">
        <v>80</v>
      </c>
      <c r="N2571" t="s">
        <v>511</v>
      </c>
      <c r="O2571" t="s">
        <v>82</v>
      </c>
      <c r="P2571" t="str">
        <f>"217071473                     "</f>
        <v xml:space="preserve">217071473 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8.58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0.2</v>
      </c>
      <c r="BJ2571">
        <v>0.8</v>
      </c>
      <c r="BK2571">
        <v>1</v>
      </c>
      <c r="BL2571" s="4">
        <v>50.45</v>
      </c>
      <c r="BM2571" s="4">
        <v>7.57</v>
      </c>
      <c r="BN2571" s="4">
        <v>58.02</v>
      </c>
      <c r="BO2571" s="4">
        <v>58.02</v>
      </c>
      <c r="BQ2571" t="s">
        <v>109</v>
      </c>
      <c r="BR2571" t="s">
        <v>84</v>
      </c>
      <c r="BS2571" s="3">
        <v>43791</v>
      </c>
      <c r="BT2571" s="5">
        <v>0.31944444444444448</v>
      </c>
      <c r="BU2571" t="s">
        <v>2718</v>
      </c>
      <c r="BV2571" t="s">
        <v>86</v>
      </c>
      <c r="BY2571">
        <v>3876.6</v>
      </c>
      <c r="CA2571" t="s">
        <v>87</v>
      </c>
      <c r="CC2571" t="s">
        <v>80</v>
      </c>
      <c r="CD2571">
        <v>6229</v>
      </c>
      <c r="CE2571" t="s">
        <v>147</v>
      </c>
      <c r="CF2571" s="3">
        <v>43794</v>
      </c>
      <c r="CI2571">
        <v>1</v>
      </c>
      <c r="CJ2571">
        <v>1</v>
      </c>
      <c r="CK2571">
        <v>21</v>
      </c>
      <c r="CL2571" t="s">
        <v>89</v>
      </c>
    </row>
    <row r="2572" spans="1:90">
      <c r="A2572" t="s">
        <v>72</v>
      </c>
      <c r="B2572" t="s">
        <v>73</v>
      </c>
      <c r="C2572" t="s">
        <v>74</v>
      </c>
      <c r="E2572" t="str">
        <f>"FES1162724364"</f>
        <v>FES1162724364</v>
      </c>
      <c r="F2572" s="3">
        <v>43790</v>
      </c>
      <c r="G2572">
        <v>202005</v>
      </c>
      <c r="H2572" t="s">
        <v>75</v>
      </c>
      <c r="I2572" t="s">
        <v>76</v>
      </c>
      <c r="J2572" t="s">
        <v>77</v>
      </c>
      <c r="K2572" t="s">
        <v>78</v>
      </c>
      <c r="L2572" t="s">
        <v>106</v>
      </c>
      <c r="M2572" t="s">
        <v>107</v>
      </c>
      <c r="N2572" t="s">
        <v>1311</v>
      </c>
      <c r="O2572" t="s">
        <v>82</v>
      </c>
      <c r="P2572" t="str">
        <f>"2170715598                    "</f>
        <v xml:space="preserve">2170715598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8.58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0.2</v>
      </c>
      <c r="BJ2572">
        <v>1.5</v>
      </c>
      <c r="BK2572">
        <v>1.5</v>
      </c>
      <c r="BL2572" s="4">
        <v>50.45</v>
      </c>
      <c r="BM2572" s="4">
        <v>7.57</v>
      </c>
      <c r="BN2572" s="4">
        <v>58.02</v>
      </c>
      <c r="BO2572" s="4">
        <v>58.02</v>
      </c>
      <c r="BQ2572" t="s">
        <v>109</v>
      </c>
      <c r="BR2572" t="s">
        <v>84</v>
      </c>
      <c r="BS2572" s="3">
        <v>43791</v>
      </c>
      <c r="BT2572" s="5">
        <v>0.35000000000000003</v>
      </c>
      <c r="BU2572" t="s">
        <v>2518</v>
      </c>
      <c r="BV2572" t="s">
        <v>86</v>
      </c>
      <c r="BY2572">
        <v>7322.07</v>
      </c>
      <c r="CA2572" t="s">
        <v>773</v>
      </c>
      <c r="CC2572" t="s">
        <v>107</v>
      </c>
      <c r="CD2572">
        <v>6001</v>
      </c>
      <c r="CE2572" t="s">
        <v>147</v>
      </c>
      <c r="CF2572" s="3">
        <v>43794</v>
      </c>
      <c r="CI2572">
        <v>1</v>
      </c>
      <c r="CJ2572">
        <v>1</v>
      </c>
      <c r="CK2572">
        <v>21</v>
      </c>
      <c r="CL2572" t="s">
        <v>89</v>
      </c>
    </row>
    <row r="2573" spans="1:90">
      <c r="A2573" t="s">
        <v>72</v>
      </c>
      <c r="B2573" t="s">
        <v>73</v>
      </c>
      <c r="C2573" t="s">
        <v>74</v>
      </c>
      <c r="E2573" t="str">
        <f>"FES1162724233"</f>
        <v>FES1162724233</v>
      </c>
      <c r="F2573" s="3">
        <v>43790</v>
      </c>
      <c r="G2573">
        <v>202005</v>
      </c>
      <c r="H2573" t="s">
        <v>75</v>
      </c>
      <c r="I2573" t="s">
        <v>76</v>
      </c>
      <c r="J2573" t="s">
        <v>77</v>
      </c>
      <c r="K2573" t="s">
        <v>78</v>
      </c>
      <c r="L2573" t="s">
        <v>112</v>
      </c>
      <c r="M2573" t="s">
        <v>113</v>
      </c>
      <c r="N2573" t="s">
        <v>160</v>
      </c>
      <c r="O2573" t="s">
        <v>82</v>
      </c>
      <c r="P2573" t="str">
        <f>"2170715830                    "</f>
        <v xml:space="preserve">2170715830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8.58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0.9</v>
      </c>
      <c r="BJ2573">
        <v>1.3</v>
      </c>
      <c r="BK2573">
        <v>1.5</v>
      </c>
      <c r="BL2573" s="4">
        <v>50.45</v>
      </c>
      <c r="BM2573" s="4">
        <v>7.57</v>
      </c>
      <c r="BN2573" s="4">
        <v>58.02</v>
      </c>
      <c r="BO2573" s="4">
        <v>58.02</v>
      </c>
      <c r="BQ2573" t="s">
        <v>161</v>
      </c>
      <c r="BR2573" t="s">
        <v>84</v>
      </c>
      <c r="BS2573" s="3">
        <v>43791</v>
      </c>
      <c r="BT2573" s="5">
        <v>0.3520833333333333</v>
      </c>
      <c r="BU2573" t="s">
        <v>2719</v>
      </c>
      <c r="BV2573" t="s">
        <v>86</v>
      </c>
      <c r="BY2573">
        <v>6748.3</v>
      </c>
      <c r="CA2573" t="s">
        <v>2490</v>
      </c>
      <c r="CC2573" t="s">
        <v>113</v>
      </c>
      <c r="CD2573">
        <v>4000</v>
      </c>
      <c r="CE2573" t="s">
        <v>147</v>
      </c>
      <c r="CF2573" s="3">
        <v>43794</v>
      </c>
      <c r="CI2573">
        <v>1</v>
      </c>
      <c r="CJ2573">
        <v>1</v>
      </c>
      <c r="CK2573">
        <v>21</v>
      </c>
      <c r="CL2573" t="s">
        <v>89</v>
      </c>
    </row>
    <row r="2574" spans="1:90">
      <c r="A2574" t="s">
        <v>72</v>
      </c>
      <c r="B2574" t="s">
        <v>73</v>
      </c>
      <c r="C2574" t="s">
        <v>74</v>
      </c>
      <c r="E2574" t="str">
        <f>"FES1162724236"</f>
        <v>FES1162724236</v>
      </c>
      <c r="F2574" s="3">
        <v>43790</v>
      </c>
      <c r="G2574">
        <v>202005</v>
      </c>
      <c r="H2574" t="s">
        <v>75</v>
      </c>
      <c r="I2574" t="s">
        <v>76</v>
      </c>
      <c r="J2574" t="s">
        <v>77</v>
      </c>
      <c r="K2574" t="s">
        <v>78</v>
      </c>
      <c r="L2574" t="s">
        <v>118</v>
      </c>
      <c r="M2574" t="s">
        <v>119</v>
      </c>
      <c r="N2574" t="s">
        <v>2720</v>
      </c>
      <c r="O2574" t="s">
        <v>82</v>
      </c>
      <c r="P2574" t="str">
        <f>"2170715884                    "</f>
        <v xml:space="preserve">2170715884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8.58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0.2</v>
      </c>
      <c r="BJ2574">
        <v>0.8</v>
      </c>
      <c r="BK2574">
        <v>1</v>
      </c>
      <c r="BL2574" s="4">
        <v>50.45</v>
      </c>
      <c r="BM2574" s="4">
        <v>7.57</v>
      </c>
      <c r="BN2574" s="4">
        <v>58.02</v>
      </c>
      <c r="BO2574" s="4">
        <v>58.02</v>
      </c>
      <c r="BQ2574" t="s">
        <v>142</v>
      </c>
      <c r="BR2574" t="s">
        <v>84</v>
      </c>
      <c r="BS2574" s="3">
        <v>43791</v>
      </c>
      <c r="BT2574" s="5">
        <v>0.4236111111111111</v>
      </c>
      <c r="BU2574" t="s">
        <v>2570</v>
      </c>
      <c r="BV2574" t="s">
        <v>86</v>
      </c>
      <c r="BY2574">
        <v>3917.16</v>
      </c>
      <c r="CA2574" t="s">
        <v>171</v>
      </c>
      <c r="CC2574" t="s">
        <v>119</v>
      </c>
      <c r="CD2574">
        <v>3201</v>
      </c>
      <c r="CE2574" t="s">
        <v>147</v>
      </c>
      <c r="CF2574" s="3">
        <v>43794</v>
      </c>
      <c r="CI2574">
        <v>1</v>
      </c>
      <c r="CJ2574">
        <v>1</v>
      </c>
      <c r="CK2574">
        <v>21</v>
      </c>
      <c r="CL2574" t="s">
        <v>89</v>
      </c>
    </row>
    <row r="2575" spans="1:90">
      <c r="A2575" t="s">
        <v>72</v>
      </c>
      <c r="B2575" t="s">
        <v>73</v>
      </c>
      <c r="C2575" t="s">
        <v>74</v>
      </c>
      <c r="E2575" t="str">
        <f>"FES1162724230"</f>
        <v>FES1162724230</v>
      </c>
      <c r="F2575" s="3">
        <v>43790</v>
      </c>
      <c r="G2575">
        <v>202005</v>
      </c>
      <c r="H2575" t="s">
        <v>75</v>
      </c>
      <c r="I2575" t="s">
        <v>76</v>
      </c>
      <c r="J2575" t="s">
        <v>77</v>
      </c>
      <c r="K2575" t="s">
        <v>78</v>
      </c>
      <c r="L2575" t="s">
        <v>176</v>
      </c>
      <c r="M2575" t="s">
        <v>177</v>
      </c>
      <c r="N2575" t="s">
        <v>419</v>
      </c>
      <c r="O2575" t="s">
        <v>82</v>
      </c>
      <c r="P2575" t="str">
        <f>"217071578                     "</f>
        <v xml:space="preserve">217071578 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8.58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0.5</v>
      </c>
      <c r="BJ2575">
        <v>1.7</v>
      </c>
      <c r="BK2575">
        <v>2</v>
      </c>
      <c r="BL2575" s="4">
        <v>50.45</v>
      </c>
      <c r="BM2575" s="4">
        <v>7.57</v>
      </c>
      <c r="BN2575" s="4">
        <v>58.02</v>
      </c>
      <c r="BO2575" s="4">
        <v>58.02</v>
      </c>
      <c r="BQ2575" t="s">
        <v>109</v>
      </c>
      <c r="BR2575" t="s">
        <v>84</v>
      </c>
      <c r="BS2575" s="3">
        <v>43791</v>
      </c>
      <c r="BT2575" s="5">
        <v>0.39027777777777778</v>
      </c>
      <c r="BU2575" t="s">
        <v>2721</v>
      </c>
      <c r="BV2575" t="s">
        <v>86</v>
      </c>
      <c r="BY2575">
        <v>8741.0400000000009</v>
      </c>
      <c r="CA2575" t="s">
        <v>224</v>
      </c>
      <c r="CC2575" t="s">
        <v>177</v>
      </c>
      <c r="CD2575">
        <v>3620</v>
      </c>
      <c r="CE2575" t="s">
        <v>147</v>
      </c>
      <c r="CF2575" s="3">
        <v>43794</v>
      </c>
      <c r="CI2575">
        <v>1</v>
      </c>
      <c r="CJ2575">
        <v>1</v>
      </c>
      <c r="CK2575">
        <v>21</v>
      </c>
      <c r="CL2575" t="s">
        <v>89</v>
      </c>
    </row>
    <row r="2576" spans="1:90">
      <c r="A2576" t="s">
        <v>72</v>
      </c>
      <c r="B2576" t="s">
        <v>73</v>
      </c>
      <c r="C2576" t="s">
        <v>74</v>
      </c>
      <c r="E2576" t="str">
        <f>"FES1162724297"</f>
        <v>FES1162724297</v>
      </c>
      <c r="F2576" s="3">
        <v>43790</v>
      </c>
      <c r="G2576">
        <v>202005</v>
      </c>
      <c r="H2576" t="s">
        <v>75</v>
      </c>
      <c r="I2576" t="s">
        <v>76</v>
      </c>
      <c r="J2576" t="s">
        <v>77</v>
      </c>
      <c r="K2576" t="s">
        <v>78</v>
      </c>
      <c r="L2576" t="s">
        <v>106</v>
      </c>
      <c r="M2576" t="s">
        <v>107</v>
      </c>
      <c r="N2576" t="s">
        <v>108</v>
      </c>
      <c r="O2576" t="s">
        <v>82</v>
      </c>
      <c r="P2576" t="str">
        <f>"2170717872                    "</f>
        <v xml:space="preserve">2170717872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8.58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1.7</v>
      </c>
      <c r="BJ2576">
        <v>1.5</v>
      </c>
      <c r="BK2576">
        <v>2</v>
      </c>
      <c r="BL2576" s="4">
        <v>50.45</v>
      </c>
      <c r="BM2576" s="4">
        <v>7.57</v>
      </c>
      <c r="BN2576" s="4">
        <v>58.02</v>
      </c>
      <c r="BO2576" s="4">
        <v>58.02</v>
      </c>
      <c r="BQ2576" t="s">
        <v>109</v>
      </c>
      <c r="BR2576" t="s">
        <v>84</v>
      </c>
      <c r="BS2576" s="3">
        <v>43791</v>
      </c>
      <c r="BT2576" s="5">
        <v>0.37152777777777773</v>
      </c>
      <c r="BU2576" t="s">
        <v>110</v>
      </c>
      <c r="BV2576" t="s">
        <v>86</v>
      </c>
      <c r="BY2576">
        <v>7526.2</v>
      </c>
      <c r="CA2576" t="s">
        <v>111</v>
      </c>
      <c r="CC2576" t="s">
        <v>107</v>
      </c>
      <c r="CD2576">
        <v>6001</v>
      </c>
      <c r="CE2576" t="s">
        <v>88</v>
      </c>
      <c r="CF2576" s="3">
        <v>43794</v>
      </c>
      <c r="CI2576">
        <v>1</v>
      </c>
      <c r="CJ2576">
        <v>1</v>
      </c>
      <c r="CK2576">
        <v>21</v>
      </c>
      <c r="CL2576" t="s">
        <v>89</v>
      </c>
    </row>
    <row r="2577" spans="1:90">
      <c r="A2577" t="s">
        <v>72</v>
      </c>
      <c r="B2577" t="s">
        <v>73</v>
      </c>
      <c r="C2577" t="s">
        <v>74</v>
      </c>
      <c r="E2577" t="str">
        <f>"FES1162724332"</f>
        <v>FES1162724332</v>
      </c>
      <c r="F2577" s="3">
        <v>43790</v>
      </c>
      <c r="G2577">
        <v>202005</v>
      </c>
      <c r="H2577" t="s">
        <v>75</v>
      </c>
      <c r="I2577" t="s">
        <v>76</v>
      </c>
      <c r="J2577" t="s">
        <v>77</v>
      </c>
      <c r="K2577" t="s">
        <v>78</v>
      </c>
      <c r="L2577" t="s">
        <v>2722</v>
      </c>
      <c r="M2577" t="s">
        <v>2723</v>
      </c>
      <c r="N2577" t="s">
        <v>2724</v>
      </c>
      <c r="O2577" t="s">
        <v>82</v>
      </c>
      <c r="P2577" t="str">
        <f>"2170714730                    "</f>
        <v xml:space="preserve">2170714730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8.58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1.8</v>
      </c>
      <c r="BJ2577">
        <v>1.8</v>
      </c>
      <c r="BK2577">
        <v>2</v>
      </c>
      <c r="BL2577" s="4">
        <v>50.45</v>
      </c>
      <c r="BM2577" s="4">
        <v>7.57</v>
      </c>
      <c r="BN2577" s="4">
        <v>58.02</v>
      </c>
      <c r="BO2577" s="4">
        <v>58.02</v>
      </c>
      <c r="BQ2577" t="s">
        <v>109</v>
      </c>
      <c r="BR2577" t="s">
        <v>84</v>
      </c>
      <c r="BS2577" s="3">
        <v>43791</v>
      </c>
      <c r="BT2577" s="5">
        <v>0.36874999999999997</v>
      </c>
      <c r="BU2577" t="s">
        <v>2725</v>
      </c>
      <c r="BV2577" t="s">
        <v>86</v>
      </c>
      <c r="BY2577">
        <v>9018.16</v>
      </c>
      <c r="CA2577" t="s">
        <v>1052</v>
      </c>
      <c r="CC2577" t="s">
        <v>2723</v>
      </c>
      <c r="CD2577">
        <v>4126</v>
      </c>
      <c r="CE2577" t="s">
        <v>147</v>
      </c>
      <c r="CI2577">
        <v>1</v>
      </c>
      <c r="CJ2577">
        <v>1</v>
      </c>
      <c r="CK2577">
        <v>21</v>
      </c>
      <c r="CL2577" t="s">
        <v>89</v>
      </c>
    </row>
    <row r="2578" spans="1:90">
      <c r="A2578" t="s">
        <v>72</v>
      </c>
      <c r="B2578" t="s">
        <v>73</v>
      </c>
      <c r="C2578" t="s">
        <v>74</v>
      </c>
      <c r="E2578" t="str">
        <f>"FES1162724350"</f>
        <v>FES1162724350</v>
      </c>
      <c r="F2578" s="3">
        <v>43790</v>
      </c>
      <c r="G2578">
        <v>202005</v>
      </c>
      <c r="H2578" t="s">
        <v>75</v>
      </c>
      <c r="I2578" t="s">
        <v>76</v>
      </c>
      <c r="J2578" t="s">
        <v>77</v>
      </c>
      <c r="K2578" t="s">
        <v>78</v>
      </c>
      <c r="L2578" t="s">
        <v>106</v>
      </c>
      <c r="M2578" t="s">
        <v>107</v>
      </c>
      <c r="N2578" t="s">
        <v>395</v>
      </c>
      <c r="O2578" t="s">
        <v>82</v>
      </c>
      <c r="P2578" t="str">
        <f>"2170715131                    "</f>
        <v xml:space="preserve">2170715131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8.58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0.2</v>
      </c>
      <c r="BJ2578">
        <v>1.8</v>
      </c>
      <c r="BK2578">
        <v>2</v>
      </c>
      <c r="BL2578" s="4">
        <v>50.45</v>
      </c>
      <c r="BM2578" s="4">
        <v>7.57</v>
      </c>
      <c r="BN2578" s="4">
        <v>58.02</v>
      </c>
      <c r="BO2578" s="4">
        <v>58.02</v>
      </c>
      <c r="BQ2578" t="s">
        <v>121</v>
      </c>
      <c r="BR2578" t="s">
        <v>84</v>
      </c>
      <c r="BS2578" s="3">
        <v>43791</v>
      </c>
      <c r="BT2578" s="5">
        <v>0.4055555555555555</v>
      </c>
      <c r="BU2578" t="s">
        <v>563</v>
      </c>
      <c r="BV2578" t="s">
        <v>86</v>
      </c>
      <c r="BY2578">
        <v>9235.2800000000007</v>
      </c>
      <c r="CA2578" t="s">
        <v>244</v>
      </c>
      <c r="CC2578" t="s">
        <v>107</v>
      </c>
      <c r="CD2578">
        <v>6001</v>
      </c>
      <c r="CE2578" t="s">
        <v>147</v>
      </c>
      <c r="CF2578" s="3">
        <v>43794</v>
      </c>
      <c r="CI2578">
        <v>1</v>
      </c>
      <c r="CJ2578">
        <v>1</v>
      </c>
      <c r="CK2578">
        <v>21</v>
      </c>
      <c r="CL2578" t="s">
        <v>89</v>
      </c>
    </row>
    <row r="2579" spans="1:90">
      <c r="A2579" t="s">
        <v>72</v>
      </c>
      <c r="B2579" t="s">
        <v>73</v>
      </c>
      <c r="C2579" t="s">
        <v>74</v>
      </c>
      <c r="E2579" t="str">
        <f>"FES1162724219"</f>
        <v>FES1162724219</v>
      </c>
      <c r="F2579" s="3">
        <v>43790</v>
      </c>
      <c r="G2579">
        <v>202005</v>
      </c>
      <c r="H2579" t="s">
        <v>75</v>
      </c>
      <c r="I2579" t="s">
        <v>76</v>
      </c>
      <c r="J2579" t="s">
        <v>77</v>
      </c>
      <c r="K2579" t="s">
        <v>78</v>
      </c>
      <c r="L2579" t="s">
        <v>133</v>
      </c>
      <c r="M2579" t="s">
        <v>134</v>
      </c>
      <c r="N2579" t="s">
        <v>135</v>
      </c>
      <c r="O2579" t="s">
        <v>82</v>
      </c>
      <c r="P2579" t="str">
        <f>"2170715620                    "</f>
        <v xml:space="preserve">2170715620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15.02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3.1</v>
      </c>
      <c r="BJ2579">
        <v>3.2</v>
      </c>
      <c r="BK2579">
        <v>3.5</v>
      </c>
      <c r="BL2579" s="4">
        <v>88.27</v>
      </c>
      <c r="BM2579" s="4">
        <v>13.24</v>
      </c>
      <c r="BN2579" s="4">
        <v>101.51</v>
      </c>
      <c r="BO2579" s="4">
        <v>101.51</v>
      </c>
      <c r="BQ2579" t="s">
        <v>109</v>
      </c>
      <c r="BR2579" t="s">
        <v>84</v>
      </c>
      <c r="BS2579" s="3">
        <v>43791</v>
      </c>
      <c r="BT2579" s="5">
        <v>0.38958333333333334</v>
      </c>
      <c r="BU2579" t="s">
        <v>2078</v>
      </c>
      <c r="BV2579" t="s">
        <v>86</v>
      </c>
      <c r="BY2579">
        <v>16204.58</v>
      </c>
      <c r="CA2579" t="s">
        <v>912</v>
      </c>
      <c r="CC2579" t="s">
        <v>134</v>
      </c>
      <c r="CD2579">
        <v>5201</v>
      </c>
      <c r="CE2579" t="s">
        <v>88</v>
      </c>
      <c r="CF2579" s="3">
        <v>43794</v>
      </c>
      <c r="CI2579">
        <v>1</v>
      </c>
      <c r="CJ2579">
        <v>1</v>
      </c>
      <c r="CK2579">
        <v>21</v>
      </c>
      <c r="CL2579" t="s">
        <v>89</v>
      </c>
    </row>
    <row r="2580" spans="1:90">
      <c r="A2580" t="s">
        <v>72</v>
      </c>
      <c r="B2580" t="s">
        <v>73</v>
      </c>
      <c r="C2580" t="s">
        <v>74</v>
      </c>
      <c r="E2580" t="str">
        <f>"FES1162724251"</f>
        <v>FES1162724251</v>
      </c>
      <c r="F2580" s="3">
        <v>43790</v>
      </c>
      <c r="G2580">
        <v>202005</v>
      </c>
      <c r="H2580" t="s">
        <v>75</v>
      </c>
      <c r="I2580" t="s">
        <v>76</v>
      </c>
      <c r="J2580" t="s">
        <v>77</v>
      </c>
      <c r="K2580" t="s">
        <v>78</v>
      </c>
      <c r="L2580" t="s">
        <v>90</v>
      </c>
      <c r="M2580" t="s">
        <v>91</v>
      </c>
      <c r="N2580" t="s">
        <v>2726</v>
      </c>
      <c r="O2580" t="s">
        <v>82</v>
      </c>
      <c r="P2580" t="str">
        <f>"2170716057                    "</f>
        <v xml:space="preserve">2170716057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8.58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0.2</v>
      </c>
      <c r="BJ2580">
        <v>1.2</v>
      </c>
      <c r="BK2580">
        <v>1.5</v>
      </c>
      <c r="BL2580" s="4">
        <v>50.45</v>
      </c>
      <c r="BM2580" s="4">
        <v>7.57</v>
      </c>
      <c r="BN2580" s="4">
        <v>58.02</v>
      </c>
      <c r="BO2580" s="4">
        <v>58.02</v>
      </c>
      <c r="BQ2580" t="s">
        <v>109</v>
      </c>
      <c r="BR2580" t="s">
        <v>84</v>
      </c>
      <c r="BS2580" t="s">
        <v>201</v>
      </c>
      <c r="BW2580" t="s">
        <v>956</v>
      </c>
      <c r="BX2580" t="s">
        <v>2576</v>
      </c>
      <c r="BY2580">
        <v>6067.67</v>
      </c>
      <c r="CC2580" t="s">
        <v>91</v>
      </c>
      <c r="CD2580">
        <v>7480</v>
      </c>
      <c r="CE2580" t="s">
        <v>88</v>
      </c>
      <c r="CI2580">
        <v>1</v>
      </c>
      <c r="CJ2580" t="s">
        <v>201</v>
      </c>
      <c r="CK2580">
        <v>21</v>
      </c>
      <c r="CL2580" t="s">
        <v>89</v>
      </c>
    </row>
    <row r="2581" spans="1:90">
      <c r="A2581" t="s">
        <v>72</v>
      </c>
      <c r="B2581" t="s">
        <v>73</v>
      </c>
      <c r="C2581" t="s">
        <v>74</v>
      </c>
      <c r="E2581" t="str">
        <f>"FES1162724153"</f>
        <v>FES1162724153</v>
      </c>
      <c r="F2581" s="3">
        <v>43790</v>
      </c>
      <c r="G2581">
        <v>202005</v>
      </c>
      <c r="H2581" t="s">
        <v>75</v>
      </c>
      <c r="I2581" t="s">
        <v>76</v>
      </c>
      <c r="J2581" t="s">
        <v>77</v>
      </c>
      <c r="K2581" t="s">
        <v>78</v>
      </c>
      <c r="L2581" t="s">
        <v>339</v>
      </c>
      <c r="M2581" t="s">
        <v>340</v>
      </c>
      <c r="N2581" t="s">
        <v>341</v>
      </c>
      <c r="O2581" t="s">
        <v>82</v>
      </c>
      <c r="P2581" t="str">
        <f>"2170715657                    "</f>
        <v xml:space="preserve">2170715657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8.58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0.2</v>
      </c>
      <c r="BJ2581">
        <v>0.6</v>
      </c>
      <c r="BK2581">
        <v>1</v>
      </c>
      <c r="BL2581" s="4">
        <v>50.45</v>
      </c>
      <c r="BM2581" s="4">
        <v>7.57</v>
      </c>
      <c r="BN2581" s="4">
        <v>58.02</v>
      </c>
      <c r="BO2581" s="4">
        <v>58.02</v>
      </c>
      <c r="BQ2581" t="s">
        <v>109</v>
      </c>
      <c r="BR2581" t="s">
        <v>84</v>
      </c>
      <c r="BS2581" s="3">
        <v>43791</v>
      </c>
      <c r="BT2581" s="5">
        <v>0.37847222222222227</v>
      </c>
      <c r="BU2581" t="s">
        <v>342</v>
      </c>
      <c r="BV2581" t="s">
        <v>86</v>
      </c>
      <c r="BY2581">
        <v>2908.71</v>
      </c>
      <c r="CA2581" t="s">
        <v>343</v>
      </c>
      <c r="CC2581" t="s">
        <v>340</v>
      </c>
      <c r="CD2581">
        <v>157</v>
      </c>
      <c r="CE2581" t="s">
        <v>147</v>
      </c>
      <c r="CF2581" s="3">
        <v>43794</v>
      </c>
      <c r="CI2581">
        <v>1</v>
      </c>
      <c r="CJ2581">
        <v>1</v>
      </c>
      <c r="CK2581">
        <v>21</v>
      </c>
      <c r="CL2581" t="s">
        <v>89</v>
      </c>
    </row>
    <row r="2582" spans="1:90">
      <c r="A2582" t="s">
        <v>72</v>
      </c>
      <c r="B2582" t="s">
        <v>73</v>
      </c>
      <c r="C2582" t="s">
        <v>74</v>
      </c>
      <c r="E2582" t="str">
        <f>"FES1162724267"</f>
        <v>FES1162724267</v>
      </c>
      <c r="F2582" s="3">
        <v>43790</v>
      </c>
      <c r="G2582">
        <v>202005</v>
      </c>
      <c r="H2582" t="s">
        <v>75</v>
      </c>
      <c r="I2582" t="s">
        <v>76</v>
      </c>
      <c r="J2582" t="s">
        <v>77</v>
      </c>
      <c r="K2582" t="s">
        <v>78</v>
      </c>
      <c r="L2582" t="s">
        <v>90</v>
      </c>
      <c r="M2582" t="s">
        <v>91</v>
      </c>
      <c r="N2582" t="s">
        <v>715</v>
      </c>
      <c r="O2582" t="s">
        <v>82</v>
      </c>
      <c r="P2582" t="str">
        <f>"2170716189                    "</f>
        <v xml:space="preserve">2170716189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8.58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0.2</v>
      </c>
      <c r="BJ2582">
        <v>1.2</v>
      </c>
      <c r="BK2582">
        <v>1.5</v>
      </c>
      <c r="BL2582" s="4">
        <v>50.45</v>
      </c>
      <c r="BM2582" s="4">
        <v>7.57</v>
      </c>
      <c r="BN2582" s="4">
        <v>58.02</v>
      </c>
      <c r="BO2582" s="4">
        <v>58.02</v>
      </c>
      <c r="BQ2582" t="s">
        <v>109</v>
      </c>
      <c r="BR2582" t="s">
        <v>84</v>
      </c>
      <c r="BS2582" s="3">
        <v>43791</v>
      </c>
      <c r="BT2582" s="5">
        <v>0.36319444444444443</v>
      </c>
      <c r="BU2582" t="s">
        <v>2727</v>
      </c>
      <c r="BV2582" t="s">
        <v>86</v>
      </c>
      <c r="BY2582">
        <v>5928.55</v>
      </c>
      <c r="CA2582" t="s">
        <v>717</v>
      </c>
      <c r="CC2582" t="s">
        <v>91</v>
      </c>
      <c r="CD2582">
        <v>7925</v>
      </c>
      <c r="CE2582" t="s">
        <v>88</v>
      </c>
      <c r="CF2582" s="3">
        <v>43794</v>
      </c>
      <c r="CI2582">
        <v>1</v>
      </c>
      <c r="CJ2582">
        <v>1</v>
      </c>
      <c r="CK2582">
        <v>21</v>
      </c>
      <c r="CL2582" t="s">
        <v>89</v>
      </c>
    </row>
    <row r="2583" spans="1:90">
      <c r="A2583" t="s">
        <v>72</v>
      </c>
      <c r="B2583" t="s">
        <v>73</v>
      </c>
      <c r="C2583" t="s">
        <v>74</v>
      </c>
      <c r="E2583" t="str">
        <f>"FES1162724372"</f>
        <v>FES1162724372</v>
      </c>
      <c r="F2583" s="3">
        <v>43790</v>
      </c>
      <c r="G2583">
        <v>202005</v>
      </c>
      <c r="H2583" t="s">
        <v>75</v>
      </c>
      <c r="I2583" t="s">
        <v>76</v>
      </c>
      <c r="J2583" t="s">
        <v>77</v>
      </c>
      <c r="K2583" t="s">
        <v>78</v>
      </c>
      <c r="L2583" t="s">
        <v>124</v>
      </c>
      <c r="M2583" t="s">
        <v>125</v>
      </c>
      <c r="N2583" t="s">
        <v>230</v>
      </c>
      <c r="O2583" t="s">
        <v>82</v>
      </c>
      <c r="P2583" t="str">
        <f>"2170715673                    "</f>
        <v xml:space="preserve">2170715673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14.74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6.7</v>
      </c>
      <c r="BJ2583">
        <v>3</v>
      </c>
      <c r="BK2583">
        <v>7</v>
      </c>
      <c r="BL2583" s="4">
        <v>86.65</v>
      </c>
      <c r="BM2583" s="4">
        <v>13</v>
      </c>
      <c r="BN2583" s="4">
        <v>99.65</v>
      </c>
      <c r="BO2583" s="4">
        <v>99.65</v>
      </c>
      <c r="BQ2583" t="s">
        <v>109</v>
      </c>
      <c r="BR2583" t="s">
        <v>84</v>
      </c>
      <c r="BS2583" s="3">
        <v>43791</v>
      </c>
      <c r="BT2583" s="5">
        <v>0.4375</v>
      </c>
      <c r="BU2583" t="s">
        <v>694</v>
      </c>
      <c r="BV2583" t="s">
        <v>86</v>
      </c>
      <c r="BY2583">
        <v>14903.15</v>
      </c>
      <c r="CA2583" t="s">
        <v>2186</v>
      </c>
      <c r="CC2583" t="s">
        <v>125</v>
      </c>
      <c r="CD2583">
        <v>2091</v>
      </c>
      <c r="CE2583" t="s">
        <v>88</v>
      </c>
      <c r="CF2583" s="3">
        <v>43794</v>
      </c>
      <c r="CI2583">
        <v>1</v>
      </c>
      <c r="CJ2583">
        <v>1</v>
      </c>
      <c r="CK2583">
        <v>22</v>
      </c>
      <c r="CL2583" t="s">
        <v>89</v>
      </c>
    </row>
    <row r="2584" spans="1:90">
      <c r="A2584" t="s">
        <v>72</v>
      </c>
      <c r="B2584" t="s">
        <v>73</v>
      </c>
      <c r="C2584" t="s">
        <v>74</v>
      </c>
      <c r="E2584" t="str">
        <f>"FES1162724490"</f>
        <v>FES1162724490</v>
      </c>
      <c r="F2584" s="3">
        <v>43790</v>
      </c>
      <c r="G2584">
        <v>202005</v>
      </c>
      <c r="H2584" t="s">
        <v>75</v>
      </c>
      <c r="I2584" t="s">
        <v>76</v>
      </c>
      <c r="J2584" t="s">
        <v>77</v>
      </c>
      <c r="K2584" t="s">
        <v>78</v>
      </c>
      <c r="L2584" t="s">
        <v>482</v>
      </c>
      <c r="M2584" t="s">
        <v>483</v>
      </c>
      <c r="N2584" t="s">
        <v>1054</v>
      </c>
      <c r="O2584" t="s">
        <v>82</v>
      </c>
      <c r="P2584" t="str">
        <f>"2170718261                    "</f>
        <v xml:space="preserve">2170718261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6.71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0.2</v>
      </c>
      <c r="BJ2584">
        <v>0.8</v>
      </c>
      <c r="BK2584">
        <v>1</v>
      </c>
      <c r="BL2584" s="4">
        <v>39.42</v>
      </c>
      <c r="BM2584" s="4">
        <v>5.91</v>
      </c>
      <c r="BN2584" s="4">
        <v>45.33</v>
      </c>
      <c r="BO2584" s="4">
        <v>45.33</v>
      </c>
      <c r="BQ2584" t="s">
        <v>109</v>
      </c>
      <c r="BR2584" t="s">
        <v>84</v>
      </c>
      <c r="BS2584" s="3">
        <v>43791</v>
      </c>
      <c r="BT2584" s="5">
        <v>0.33888888888888885</v>
      </c>
      <c r="BU2584" t="s">
        <v>877</v>
      </c>
      <c r="BV2584" t="s">
        <v>86</v>
      </c>
      <c r="BY2584">
        <v>4218.0600000000004</v>
      </c>
      <c r="CA2584" t="s">
        <v>486</v>
      </c>
      <c r="CC2584" t="s">
        <v>483</v>
      </c>
      <c r="CD2584">
        <v>1459</v>
      </c>
      <c r="CE2584" t="s">
        <v>147</v>
      </c>
      <c r="CF2584" s="3">
        <v>43794</v>
      </c>
      <c r="CI2584">
        <v>1</v>
      </c>
      <c r="CJ2584">
        <v>1</v>
      </c>
      <c r="CK2584">
        <v>22</v>
      </c>
      <c r="CL2584" t="s">
        <v>89</v>
      </c>
    </row>
    <row r="2585" spans="1:90">
      <c r="A2585" t="s">
        <v>72</v>
      </c>
      <c r="B2585" t="s">
        <v>73</v>
      </c>
      <c r="C2585" t="s">
        <v>74</v>
      </c>
      <c r="E2585" t="str">
        <f>"FES1162724171"</f>
        <v>FES1162724171</v>
      </c>
      <c r="F2585" s="3">
        <v>43790</v>
      </c>
      <c r="G2585">
        <v>202005</v>
      </c>
      <c r="H2585" t="s">
        <v>75</v>
      </c>
      <c r="I2585" t="s">
        <v>76</v>
      </c>
      <c r="J2585" t="s">
        <v>77</v>
      </c>
      <c r="K2585" t="s">
        <v>78</v>
      </c>
      <c r="L2585" t="s">
        <v>112</v>
      </c>
      <c r="M2585" t="s">
        <v>113</v>
      </c>
      <c r="N2585" t="s">
        <v>444</v>
      </c>
      <c r="O2585" t="s">
        <v>82</v>
      </c>
      <c r="P2585" t="str">
        <f>"2170718003                    "</f>
        <v xml:space="preserve">2170718003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8.58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0.6</v>
      </c>
      <c r="BJ2585">
        <v>1</v>
      </c>
      <c r="BK2585">
        <v>1</v>
      </c>
      <c r="BL2585" s="4">
        <v>50.45</v>
      </c>
      <c r="BM2585" s="4">
        <v>7.57</v>
      </c>
      <c r="BN2585" s="4">
        <v>58.02</v>
      </c>
      <c r="BO2585" s="4">
        <v>58.02</v>
      </c>
      <c r="BQ2585" t="s">
        <v>187</v>
      </c>
      <c r="BR2585" t="s">
        <v>84</v>
      </c>
      <c r="BS2585" s="3">
        <v>43791</v>
      </c>
      <c r="BT2585" s="5">
        <v>0.39583333333333331</v>
      </c>
      <c r="BU2585" t="s">
        <v>445</v>
      </c>
      <c r="BV2585" t="s">
        <v>86</v>
      </c>
      <c r="BY2585">
        <v>5217.3</v>
      </c>
      <c r="CA2585" t="s">
        <v>428</v>
      </c>
      <c r="CC2585" t="s">
        <v>113</v>
      </c>
      <c r="CD2585">
        <v>4052</v>
      </c>
      <c r="CE2585" t="s">
        <v>147</v>
      </c>
      <c r="CF2585" s="3">
        <v>43794</v>
      </c>
      <c r="CI2585">
        <v>1</v>
      </c>
      <c r="CJ2585">
        <v>1</v>
      </c>
      <c r="CK2585">
        <v>21</v>
      </c>
      <c r="CL2585" t="s">
        <v>89</v>
      </c>
    </row>
    <row r="2586" spans="1:90">
      <c r="A2586" t="s">
        <v>72</v>
      </c>
      <c r="B2586" t="s">
        <v>73</v>
      </c>
      <c r="C2586" t="s">
        <v>74</v>
      </c>
      <c r="E2586" t="str">
        <f>"FES1162724514"</f>
        <v>FES1162724514</v>
      </c>
      <c r="F2586" s="3">
        <v>43790</v>
      </c>
      <c r="G2586">
        <v>202005</v>
      </c>
      <c r="H2586" t="s">
        <v>75</v>
      </c>
      <c r="I2586" t="s">
        <v>76</v>
      </c>
      <c r="J2586" t="s">
        <v>77</v>
      </c>
      <c r="K2586" t="s">
        <v>78</v>
      </c>
      <c r="L2586" t="s">
        <v>691</v>
      </c>
      <c r="M2586" t="s">
        <v>692</v>
      </c>
      <c r="N2586" t="s">
        <v>1100</v>
      </c>
      <c r="O2586" t="s">
        <v>82</v>
      </c>
      <c r="P2586" t="str">
        <f>"2170718291                    "</f>
        <v xml:space="preserve">2170718291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6.71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0.9</v>
      </c>
      <c r="BJ2586">
        <v>2</v>
      </c>
      <c r="BK2586">
        <v>2</v>
      </c>
      <c r="BL2586" s="4">
        <v>39.42</v>
      </c>
      <c r="BM2586" s="4">
        <v>5.91</v>
      </c>
      <c r="BN2586" s="4">
        <v>45.33</v>
      </c>
      <c r="BO2586" s="4">
        <v>45.33</v>
      </c>
      <c r="BQ2586" t="s">
        <v>1101</v>
      </c>
      <c r="BR2586" t="s">
        <v>84</v>
      </c>
      <c r="BS2586" s="3">
        <v>43791</v>
      </c>
      <c r="BT2586" s="5">
        <v>0.33333333333333331</v>
      </c>
      <c r="BU2586" t="s">
        <v>2728</v>
      </c>
      <c r="BV2586" t="s">
        <v>86</v>
      </c>
      <c r="BY2586">
        <v>9796.85</v>
      </c>
      <c r="CC2586" t="s">
        <v>692</v>
      </c>
      <c r="CD2586">
        <v>1559</v>
      </c>
      <c r="CE2586" t="s">
        <v>147</v>
      </c>
      <c r="CF2586" s="3">
        <v>43795</v>
      </c>
      <c r="CI2586">
        <v>1</v>
      </c>
      <c r="CJ2586">
        <v>1</v>
      </c>
      <c r="CK2586">
        <v>22</v>
      </c>
      <c r="CL2586" t="s">
        <v>89</v>
      </c>
    </row>
    <row r="2587" spans="1:90">
      <c r="A2587" t="s">
        <v>72</v>
      </c>
      <c r="B2587" t="s">
        <v>73</v>
      </c>
      <c r="C2587" t="s">
        <v>74</v>
      </c>
      <c r="E2587" t="str">
        <f>"FES1162724491"</f>
        <v>FES1162724491</v>
      </c>
      <c r="F2587" s="3">
        <v>43790</v>
      </c>
      <c r="G2587">
        <v>202005</v>
      </c>
      <c r="H2587" t="s">
        <v>75</v>
      </c>
      <c r="I2587" t="s">
        <v>76</v>
      </c>
      <c r="J2587" t="s">
        <v>77</v>
      </c>
      <c r="K2587" t="s">
        <v>78</v>
      </c>
      <c r="L2587" t="s">
        <v>133</v>
      </c>
      <c r="M2587" t="s">
        <v>134</v>
      </c>
      <c r="N2587" t="s">
        <v>135</v>
      </c>
      <c r="O2587" t="s">
        <v>82</v>
      </c>
      <c r="P2587" t="str">
        <f>"217071626                     "</f>
        <v xml:space="preserve">217071626 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8.58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0.7</v>
      </c>
      <c r="BJ2587">
        <v>2</v>
      </c>
      <c r="BK2587">
        <v>2</v>
      </c>
      <c r="BL2587" s="4">
        <v>50.45</v>
      </c>
      <c r="BM2587" s="4">
        <v>7.57</v>
      </c>
      <c r="BN2587" s="4">
        <v>58.02</v>
      </c>
      <c r="BO2587" s="4">
        <v>58.02</v>
      </c>
      <c r="BQ2587" t="s">
        <v>109</v>
      </c>
      <c r="BR2587" t="s">
        <v>84</v>
      </c>
      <c r="BS2587" s="3">
        <v>43791</v>
      </c>
      <c r="BT2587" s="5">
        <v>0.38958333333333334</v>
      </c>
      <c r="BU2587" t="s">
        <v>2078</v>
      </c>
      <c r="BV2587" t="s">
        <v>86</v>
      </c>
      <c r="BY2587">
        <v>9988.16</v>
      </c>
      <c r="CA2587" t="s">
        <v>912</v>
      </c>
      <c r="CC2587" t="s">
        <v>134</v>
      </c>
      <c r="CD2587">
        <v>5201</v>
      </c>
      <c r="CE2587" t="s">
        <v>147</v>
      </c>
      <c r="CF2587" s="3">
        <v>43794</v>
      </c>
      <c r="CI2587">
        <v>1</v>
      </c>
      <c r="CJ2587">
        <v>1</v>
      </c>
      <c r="CK2587">
        <v>21</v>
      </c>
      <c r="CL2587" t="s">
        <v>89</v>
      </c>
    </row>
    <row r="2588" spans="1:90">
      <c r="A2588" t="s">
        <v>72</v>
      </c>
      <c r="B2588" t="s">
        <v>73</v>
      </c>
      <c r="C2588" t="s">
        <v>74</v>
      </c>
      <c r="E2588" t="str">
        <f>"FES1162724555"</f>
        <v>FES1162724555</v>
      </c>
      <c r="F2588" s="3">
        <v>43790</v>
      </c>
      <c r="G2588">
        <v>202005</v>
      </c>
      <c r="H2588" t="s">
        <v>75</v>
      </c>
      <c r="I2588" t="s">
        <v>76</v>
      </c>
      <c r="J2588" t="s">
        <v>77</v>
      </c>
      <c r="K2588" t="s">
        <v>78</v>
      </c>
      <c r="L2588" t="s">
        <v>270</v>
      </c>
      <c r="M2588" t="s">
        <v>271</v>
      </c>
      <c r="N2588" t="s">
        <v>618</v>
      </c>
      <c r="O2588" t="s">
        <v>82</v>
      </c>
      <c r="P2588" t="str">
        <f>"217071813                     "</f>
        <v xml:space="preserve">217071813 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10.73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0.9</v>
      </c>
      <c r="BJ2588">
        <v>2.4</v>
      </c>
      <c r="BK2588">
        <v>2.5</v>
      </c>
      <c r="BL2588" s="4">
        <v>63.06</v>
      </c>
      <c r="BM2588" s="4">
        <v>9.4600000000000009</v>
      </c>
      <c r="BN2588" s="4">
        <v>72.52</v>
      </c>
      <c r="BO2588" s="4">
        <v>72.52</v>
      </c>
      <c r="BQ2588" t="s">
        <v>121</v>
      </c>
      <c r="BR2588" t="s">
        <v>84</v>
      </c>
      <c r="BS2588" s="3">
        <v>43791</v>
      </c>
      <c r="BT2588" s="5">
        <v>0.40763888888888888</v>
      </c>
      <c r="BU2588" t="s">
        <v>619</v>
      </c>
      <c r="BV2588" t="s">
        <v>86</v>
      </c>
      <c r="BY2588">
        <v>12239.5</v>
      </c>
      <c r="CA2588" t="s">
        <v>773</v>
      </c>
      <c r="CC2588" t="s">
        <v>271</v>
      </c>
      <c r="CD2588">
        <v>6220</v>
      </c>
      <c r="CE2588" t="s">
        <v>147</v>
      </c>
      <c r="CF2588" s="3">
        <v>43794</v>
      </c>
      <c r="CI2588">
        <v>1</v>
      </c>
      <c r="CJ2588">
        <v>1</v>
      </c>
      <c r="CK2588">
        <v>21</v>
      </c>
      <c r="CL2588" t="s">
        <v>89</v>
      </c>
    </row>
    <row r="2589" spans="1:90">
      <c r="A2589" t="s">
        <v>72</v>
      </c>
      <c r="B2589" t="s">
        <v>73</v>
      </c>
      <c r="C2589" t="s">
        <v>74</v>
      </c>
      <c r="E2589" t="str">
        <f>"FES1162724238"</f>
        <v>FES1162724238</v>
      </c>
      <c r="F2589" s="3">
        <v>43790</v>
      </c>
      <c r="G2589">
        <v>202005</v>
      </c>
      <c r="H2589" t="s">
        <v>75</v>
      </c>
      <c r="I2589" t="s">
        <v>76</v>
      </c>
      <c r="J2589" t="s">
        <v>77</v>
      </c>
      <c r="K2589" t="s">
        <v>78</v>
      </c>
      <c r="L2589" t="s">
        <v>133</v>
      </c>
      <c r="M2589" t="s">
        <v>134</v>
      </c>
      <c r="N2589" t="s">
        <v>310</v>
      </c>
      <c r="O2589" t="s">
        <v>82</v>
      </c>
      <c r="P2589" t="str">
        <f>"2170715904                    "</f>
        <v xml:space="preserve">2170715904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19.3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4.3</v>
      </c>
      <c r="BJ2589">
        <v>2</v>
      </c>
      <c r="BK2589">
        <v>4.5</v>
      </c>
      <c r="BL2589" s="4">
        <v>113.47</v>
      </c>
      <c r="BM2589" s="4">
        <v>17.02</v>
      </c>
      <c r="BN2589" s="4">
        <v>130.49</v>
      </c>
      <c r="BO2589" s="4">
        <v>130.49</v>
      </c>
      <c r="BQ2589" t="s">
        <v>121</v>
      </c>
      <c r="BR2589" t="s">
        <v>84</v>
      </c>
      <c r="BS2589" s="3">
        <v>43791</v>
      </c>
      <c r="BT2589" s="5">
        <v>0.38472222222222219</v>
      </c>
      <c r="BU2589" t="s">
        <v>2729</v>
      </c>
      <c r="BV2589" t="s">
        <v>86</v>
      </c>
      <c r="BY2589">
        <v>10165.99</v>
      </c>
      <c r="CA2589" t="s">
        <v>2485</v>
      </c>
      <c r="CC2589" t="s">
        <v>134</v>
      </c>
      <c r="CD2589">
        <v>5201</v>
      </c>
      <c r="CE2589" t="s">
        <v>88</v>
      </c>
      <c r="CF2589" s="3">
        <v>43794</v>
      </c>
      <c r="CI2589">
        <v>1</v>
      </c>
      <c r="CJ2589">
        <v>1</v>
      </c>
      <c r="CK2589">
        <v>21</v>
      </c>
      <c r="CL2589" t="s">
        <v>89</v>
      </c>
    </row>
    <row r="2590" spans="1:90">
      <c r="A2590" t="s">
        <v>72</v>
      </c>
      <c r="B2590" t="s">
        <v>73</v>
      </c>
      <c r="C2590" t="s">
        <v>74</v>
      </c>
      <c r="E2590" t="str">
        <f>"FES1162724459"</f>
        <v>FES1162724459</v>
      </c>
      <c r="F2590" s="3">
        <v>43790</v>
      </c>
      <c r="G2590">
        <v>202005</v>
      </c>
      <c r="H2590" t="s">
        <v>75</v>
      </c>
      <c r="I2590" t="s">
        <v>76</v>
      </c>
      <c r="J2590" t="s">
        <v>77</v>
      </c>
      <c r="K2590" t="s">
        <v>78</v>
      </c>
      <c r="L2590" t="s">
        <v>202</v>
      </c>
      <c r="M2590" t="s">
        <v>203</v>
      </c>
      <c r="N2590" t="s">
        <v>2730</v>
      </c>
      <c r="O2590" t="s">
        <v>82</v>
      </c>
      <c r="P2590" t="str">
        <f>"2170718214                    "</f>
        <v xml:space="preserve">2170718214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9.92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2.7</v>
      </c>
      <c r="BJ2590">
        <v>3.7</v>
      </c>
      <c r="BK2590">
        <v>4</v>
      </c>
      <c r="BL2590" s="4">
        <v>58.31</v>
      </c>
      <c r="BM2590" s="4">
        <v>8.75</v>
      </c>
      <c r="BN2590" s="4">
        <v>67.06</v>
      </c>
      <c r="BO2590" s="4">
        <v>67.06</v>
      </c>
      <c r="BQ2590" t="s">
        <v>121</v>
      </c>
      <c r="BR2590" t="s">
        <v>84</v>
      </c>
      <c r="BS2590" s="3">
        <v>43791</v>
      </c>
      <c r="BT2590" s="5">
        <v>0.33333333333333331</v>
      </c>
      <c r="BU2590" t="s">
        <v>1218</v>
      </c>
      <c r="BV2590" t="s">
        <v>86</v>
      </c>
      <c r="BY2590">
        <v>18683.22</v>
      </c>
      <c r="CC2590" t="s">
        <v>203</v>
      </c>
      <c r="CD2590">
        <v>1428</v>
      </c>
      <c r="CE2590" t="s">
        <v>88</v>
      </c>
      <c r="CF2590" s="3">
        <v>43794</v>
      </c>
      <c r="CI2590">
        <v>1</v>
      </c>
      <c r="CJ2590">
        <v>1</v>
      </c>
      <c r="CK2590">
        <v>22</v>
      </c>
      <c r="CL2590" t="s">
        <v>89</v>
      </c>
    </row>
    <row r="2591" spans="1:90">
      <c r="A2591" t="s">
        <v>72</v>
      </c>
      <c r="B2591" t="s">
        <v>73</v>
      </c>
      <c r="C2591" t="s">
        <v>74</v>
      </c>
      <c r="E2591" t="str">
        <f>"FES1162724197"</f>
        <v>FES1162724197</v>
      </c>
      <c r="F2591" s="3">
        <v>43790</v>
      </c>
      <c r="G2591">
        <v>202005</v>
      </c>
      <c r="H2591" t="s">
        <v>75</v>
      </c>
      <c r="I2591" t="s">
        <v>76</v>
      </c>
      <c r="J2591" t="s">
        <v>77</v>
      </c>
      <c r="K2591" t="s">
        <v>78</v>
      </c>
      <c r="L2591" t="s">
        <v>106</v>
      </c>
      <c r="M2591" t="s">
        <v>107</v>
      </c>
      <c r="N2591" t="s">
        <v>574</v>
      </c>
      <c r="O2591" t="s">
        <v>82</v>
      </c>
      <c r="P2591" t="str">
        <f>"2170718151                    "</f>
        <v xml:space="preserve">2170718151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8.58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0.2</v>
      </c>
      <c r="BJ2591">
        <v>1.4</v>
      </c>
      <c r="BK2591">
        <v>1.5</v>
      </c>
      <c r="BL2591" s="4">
        <v>50.45</v>
      </c>
      <c r="BM2591" s="4">
        <v>7.57</v>
      </c>
      <c r="BN2591" s="4">
        <v>58.02</v>
      </c>
      <c r="BO2591" s="4">
        <v>58.02</v>
      </c>
      <c r="BQ2591" t="s">
        <v>142</v>
      </c>
      <c r="BR2591" t="s">
        <v>84</v>
      </c>
      <c r="BS2591" s="3">
        <v>43791</v>
      </c>
      <c r="BT2591" s="5">
        <v>0.40416666666666662</v>
      </c>
      <c r="BU2591" t="s">
        <v>418</v>
      </c>
      <c r="BV2591" t="s">
        <v>86</v>
      </c>
      <c r="BY2591">
        <v>7198.45</v>
      </c>
      <c r="CA2591" t="s">
        <v>773</v>
      </c>
      <c r="CC2591" t="s">
        <v>107</v>
      </c>
      <c r="CD2591">
        <v>6012</v>
      </c>
      <c r="CE2591" t="s">
        <v>88</v>
      </c>
      <c r="CF2591" s="3">
        <v>43794</v>
      </c>
      <c r="CI2591">
        <v>1</v>
      </c>
      <c r="CJ2591">
        <v>1</v>
      </c>
      <c r="CK2591">
        <v>21</v>
      </c>
      <c r="CL2591" t="s">
        <v>89</v>
      </c>
    </row>
    <row r="2592" spans="1:90">
      <c r="A2592" t="s">
        <v>72</v>
      </c>
      <c r="B2592" t="s">
        <v>73</v>
      </c>
      <c r="C2592" t="s">
        <v>74</v>
      </c>
      <c r="E2592" t="str">
        <f>"FES1162724456"</f>
        <v>FES1162724456</v>
      </c>
      <c r="F2592" s="3">
        <v>43790</v>
      </c>
      <c r="G2592">
        <v>202005</v>
      </c>
      <c r="H2592" t="s">
        <v>75</v>
      </c>
      <c r="I2592" t="s">
        <v>76</v>
      </c>
      <c r="J2592" t="s">
        <v>77</v>
      </c>
      <c r="K2592" t="s">
        <v>78</v>
      </c>
      <c r="L2592" t="s">
        <v>101</v>
      </c>
      <c r="M2592" t="s">
        <v>102</v>
      </c>
      <c r="N2592" t="s">
        <v>2731</v>
      </c>
      <c r="O2592" t="s">
        <v>82</v>
      </c>
      <c r="P2592" t="str">
        <f>"2170718207                    "</f>
        <v xml:space="preserve">2170718207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15.02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0.2</v>
      </c>
      <c r="BJ2592">
        <v>3.2</v>
      </c>
      <c r="BK2592">
        <v>3.5</v>
      </c>
      <c r="BL2592" s="4">
        <v>88.27</v>
      </c>
      <c r="BM2592" s="4">
        <v>13.24</v>
      </c>
      <c r="BN2592" s="4">
        <v>101.51</v>
      </c>
      <c r="BO2592" s="4">
        <v>101.51</v>
      </c>
      <c r="BQ2592" t="s">
        <v>121</v>
      </c>
      <c r="BR2592" t="s">
        <v>84</v>
      </c>
      <c r="BS2592" s="3">
        <v>43791</v>
      </c>
      <c r="BT2592" s="5">
        <v>0.41666666666666669</v>
      </c>
      <c r="BU2592" t="s">
        <v>1639</v>
      </c>
      <c r="BV2592" t="s">
        <v>86</v>
      </c>
      <c r="BY2592">
        <v>16007.23</v>
      </c>
      <c r="CC2592" t="s">
        <v>102</v>
      </c>
      <c r="CD2592">
        <v>30</v>
      </c>
      <c r="CE2592" t="s">
        <v>88</v>
      </c>
      <c r="CF2592" s="3">
        <v>43794</v>
      </c>
      <c r="CI2592">
        <v>1</v>
      </c>
      <c r="CJ2592">
        <v>1</v>
      </c>
      <c r="CK2592">
        <v>21</v>
      </c>
      <c r="CL2592" t="s">
        <v>89</v>
      </c>
    </row>
    <row r="2593" spans="1:90">
      <c r="A2593" t="s">
        <v>72</v>
      </c>
      <c r="B2593" t="s">
        <v>73</v>
      </c>
      <c r="C2593" t="s">
        <v>74</v>
      </c>
      <c r="E2593" t="str">
        <f>"FES1162724368"</f>
        <v>FES1162724368</v>
      </c>
      <c r="F2593" s="3">
        <v>43790</v>
      </c>
      <c r="G2593">
        <v>202005</v>
      </c>
      <c r="H2593" t="s">
        <v>75</v>
      </c>
      <c r="I2593" t="s">
        <v>76</v>
      </c>
      <c r="J2593" t="s">
        <v>77</v>
      </c>
      <c r="K2593" t="s">
        <v>78</v>
      </c>
      <c r="L2593" t="s">
        <v>75</v>
      </c>
      <c r="M2593" t="s">
        <v>76</v>
      </c>
      <c r="N2593" t="s">
        <v>391</v>
      </c>
      <c r="O2593" t="s">
        <v>82</v>
      </c>
      <c r="P2593" t="str">
        <f>"2170715618                    "</f>
        <v xml:space="preserve">2170715618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6.71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0.2</v>
      </c>
      <c r="BJ2593">
        <v>0.9</v>
      </c>
      <c r="BK2593">
        <v>1</v>
      </c>
      <c r="BL2593" s="4">
        <v>39.42</v>
      </c>
      <c r="BM2593" s="4">
        <v>5.91</v>
      </c>
      <c r="BN2593" s="4">
        <v>45.33</v>
      </c>
      <c r="BO2593" s="4">
        <v>45.33</v>
      </c>
      <c r="BQ2593" t="s">
        <v>109</v>
      </c>
      <c r="BR2593" t="s">
        <v>84</v>
      </c>
      <c r="BS2593" s="3">
        <v>43791</v>
      </c>
      <c r="BT2593" s="5">
        <v>0.2951388888888889</v>
      </c>
      <c r="BU2593" t="s">
        <v>2732</v>
      </c>
      <c r="BV2593" t="s">
        <v>86</v>
      </c>
      <c r="BY2593">
        <v>4404.58</v>
      </c>
      <c r="CA2593" t="s">
        <v>1498</v>
      </c>
      <c r="CC2593" t="s">
        <v>76</v>
      </c>
      <c r="CD2593">
        <v>1600</v>
      </c>
      <c r="CE2593" t="s">
        <v>88</v>
      </c>
      <c r="CF2593" s="3">
        <v>43794</v>
      </c>
      <c r="CI2593">
        <v>1</v>
      </c>
      <c r="CJ2593">
        <v>1</v>
      </c>
      <c r="CK2593">
        <v>22</v>
      </c>
      <c r="CL2593" t="s">
        <v>89</v>
      </c>
    </row>
    <row r="2594" spans="1:90">
      <c r="A2594" t="s">
        <v>72</v>
      </c>
      <c r="B2594" t="s">
        <v>73</v>
      </c>
      <c r="C2594" t="s">
        <v>74</v>
      </c>
      <c r="E2594" t="str">
        <f>"FES1162724152"</f>
        <v>FES1162724152</v>
      </c>
      <c r="F2594" s="3">
        <v>43790</v>
      </c>
      <c r="G2594">
        <v>202005</v>
      </c>
      <c r="H2594" t="s">
        <v>75</v>
      </c>
      <c r="I2594" t="s">
        <v>76</v>
      </c>
      <c r="J2594" t="s">
        <v>77</v>
      </c>
      <c r="K2594" t="s">
        <v>78</v>
      </c>
      <c r="L2594" t="s">
        <v>101</v>
      </c>
      <c r="M2594" t="s">
        <v>102</v>
      </c>
      <c r="N2594" t="s">
        <v>2435</v>
      </c>
      <c r="O2594" t="s">
        <v>82</v>
      </c>
      <c r="P2594" t="str">
        <f>"2170715612                    "</f>
        <v xml:space="preserve">2170715612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8.58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0.2</v>
      </c>
      <c r="BJ2594">
        <v>1.3</v>
      </c>
      <c r="BK2594">
        <v>1.5</v>
      </c>
      <c r="BL2594" s="4">
        <v>50.45</v>
      </c>
      <c r="BM2594" s="4">
        <v>7.57</v>
      </c>
      <c r="BN2594" s="4">
        <v>58.02</v>
      </c>
      <c r="BO2594" s="4">
        <v>58.02</v>
      </c>
      <c r="BQ2594" t="s">
        <v>121</v>
      </c>
      <c r="BR2594" t="s">
        <v>84</v>
      </c>
      <c r="BS2594" s="3">
        <v>43791</v>
      </c>
      <c r="BT2594" s="5">
        <v>0.40277777777777773</v>
      </c>
      <c r="BU2594" t="s">
        <v>2733</v>
      </c>
      <c r="BV2594" t="s">
        <v>86</v>
      </c>
      <c r="BY2594">
        <v>6396.22</v>
      </c>
      <c r="CC2594" t="s">
        <v>102</v>
      </c>
      <c r="CD2594">
        <v>183</v>
      </c>
      <c r="CE2594" t="s">
        <v>88</v>
      </c>
      <c r="CF2594" s="3">
        <v>43794</v>
      </c>
      <c r="CI2594">
        <v>1</v>
      </c>
      <c r="CJ2594">
        <v>1</v>
      </c>
      <c r="CK2594">
        <v>21</v>
      </c>
      <c r="CL2594" t="s">
        <v>89</v>
      </c>
    </row>
    <row r="2595" spans="1:90">
      <c r="A2595" t="s">
        <v>72</v>
      </c>
      <c r="B2595" t="s">
        <v>73</v>
      </c>
      <c r="C2595" t="s">
        <v>74</v>
      </c>
      <c r="E2595" t="str">
        <f>"FES1162724302"</f>
        <v>FES1162724302</v>
      </c>
      <c r="F2595" s="3">
        <v>43790</v>
      </c>
      <c r="G2595">
        <v>202005</v>
      </c>
      <c r="H2595" t="s">
        <v>75</v>
      </c>
      <c r="I2595" t="s">
        <v>76</v>
      </c>
      <c r="J2595" t="s">
        <v>77</v>
      </c>
      <c r="K2595" t="s">
        <v>78</v>
      </c>
      <c r="L2595" t="s">
        <v>95</v>
      </c>
      <c r="M2595" t="s">
        <v>96</v>
      </c>
      <c r="N2595" t="s">
        <v>330</v>
      </c>
      <c r="O2595" t="s">
        <v>82</v>
      </c>
      <c r="P2595" t="str">
        <f>"2170718165                    "</f>
        <v xml:space="preserve">2170718165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6.71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0.2</v>
      </c>
      <c r="BJ2595">
        <v>0.6</v>
      </c>
      <c r="BK2595">
        <v>1</v>
      </c>
      <c r="BL2595" s="4">
        <v>39.42</v>
      </c>
      <c r="BM2595" s="4">
        <v>5.91</v>
      </c>
      <c r="BN2595" s="4">
        <v>45.33</v>
      </c>
      <c r="BO2595" s="4">
        <v>45.33</v>
      </c>
      <c r="BQ2595" t="s">
        <v>109</v>
      </c>
      <c r="BR2595" t="s">
        <v>84</v>
      </c>
      <c r="BS2595" s="3">
        <v>43791</v>
      </c>
      <c r="BT2595" s="5">
        <v>0.36249999999999999</v>
      </c>
      <c r="BU2595" t="s">
        <v>1542</v>
      </c>
      <c r="BV2595" t="s">
        <v>86</v>
      </c>
      <c r="BY2595">
        <v>3047.56</v>
      </c>
      <c r="CA2595" t="s">
        <v>123</v>
      </c>
      <c r="CC2595" t="s">
        <v>96</v>
      </c>
      <c r="CD2595">
        <v>1451</v>
      </c>
      <c r="CE2595" t="s">
        <v>88</v>
      </c>
      <c r="CF2595" s="3">
        <v>43795</v>
      </c>
      <c r="CI2595">
        <v>1</v>
      </c>
      <c r="CJ2595">
        <v>1</v>
      </c>
      <c r="CK2595">
        <v>22</v>
      </c>
      <c r="CL2595" t="s">
        <v>89</v>
      </c>
    </row>
    <row r="2596" spans="1:90">
      <c r="A2596" t="s">
        <v>72</v>
      </c>
      <c r="B2596" t="s">
        <v>73</v>
      </c>
      <c r="C2596" t="s">
        <v>74</v>
      </c>
      <c r="E2596" t="str">
        <f>"FES1162724384"</f>
        <v>FES1162724384</v>
      </c>
      <c r="F2596" s="3">
        <v>43790</v>
      </c>
      <c r="G2596">
        <v>202005</v>
      </c>
      <c r="H2596" t="s">
        <v>75</v>
      </c>
      <c r="I2596" t="s">
        <v>76</v>
      </c>
      <c r="J2596" t="s">
        <v>77</v>
      </c>
      <c r="K2596" t="s">
        <v>78</v>
      </c>
      <c r="L2596" t="s">
        <v>214</v>
      </c>
      <c r="M2596" t="s">
        <v>214</v>
      </c>
      <c r="N2596" t="s">
        <v>312</v>
      </c>
      <c r="O2596" t="s">
        <v>82</v>
      </c>
      <c r="P2596" t="str">
        <f>"2170715936                    "</f>
        <v xml:space="preserve">2170715936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16.63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0.2</v>
      </c>
      <c r="BJ2596">
        <v>1.4</v>
      </c>
      <c r="BK2596">
        <v>1.5</v>
      </c>
      <c r="BL2596" s="4">
        <v>97.75</v>
      </c>
      <c r="BM2596" s="4">
        <v>14.66</v>
      </c>
      <c r="BN2596" s="4">
        <v>112.41</v>
      </c>
      <c r="BO2596" s="4">
        <v>112.41</v>
      </c>
      <c r="BQ2596" t="s">
        <v>121</v>
      </c>
      <c r="BR2596" t="s">
        <v>84</v>
      </c>
      <c r="BS2596" s="3">
        <v>43791</v>
      </c>
      <c r="BT2596" s="5">
        <v>0.4909722222222222</v>
      </c>
      <c r="BU2596" t="s">
        <v>313</v>
      </c>
      <c r="BV2596" t="s">
        <v>86</v>
      </c>
      <c r="BY2596">
        <v>7074.16</v>
      </c>
      <c r="CA2596" t="s">
        <v>217</v>
      </c>
      <c r="CC2596" t="s">
        <v>214</v>
      </c>
      <c r="CD2596">
        <v>7646</v>
      </c>
      <c r="CE2596" t="s">
        <v>88</v>
      </c>
      <c r="CF2596" s="3">
        <v>43794</v>
      </c>
      <c r="CI2596">
        <v>1</v>
      </c>
      <c r="CJ2596">
        <v>1</v>
      </c>
      <c r="CK2596">
        <v>23</v>
      </c>
      <c r="CL2596" t="s">
        <v>89</v>
      </c>
    </row>
    <row r="2597" spans="1:90">
      <c r="A2597" t="s">
        <v>72</v>
      </c>
      <c r="B2597" t="s">
        <v>73</v>
      </c>
      <c r="C2597" t="s">
        <v>74</v>
      </c>
      <c r="E2597" t="str">
        <f>"009935723350"</f>
        <v>009935723350</v>
      </c>
      <c r="F2597" s="3">
        <v>43790</v>
      </c>
      <c r="G2597">
        <v>202005</v>
      </c>
      <c r="H2597" t="s">
        <v>75</v>
      </c>
      <c r="I2597" t="s">
        <v>76</v>
      </c>
      <c r="J2597" t="s">
        <v>77</v>
      </c>
      <c r="K2597" t="s">
        <v>78</v>
      </c>
      <c r="L2597" t="s">
        <v>106</v>
      </c>
      <c r="M2597" t="s">
        <v>107</v>
      </c>
      <c r="N2597" t="s">
        <v>262</v>
      </c>
      <c r="O2597" t="s">
        <v>82</v>
      </c>
      <c r="P2597" t="str">
        <f>"21707171TONY                  "</f>
        <v xml:space="preserve">21707171TONY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8.58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0.2</v>
      </c>
      <c r="BJ2597">
        <v>0.5</v>
      </c>
      <c r="BK2597">
        <v>0.5</v>
      </c>
      <c r="BL2597" s="4">
        <v>50.45</v>
      </c>
      <c r="BM2597" s="4">
        <v>7.57</v>
      </c>
      <c r="BN2597" s="4">
        <v>58.02</v>
      </c>
      <c r="BO2597" s="4">
        <v>58.02</v>
      </c>
      <c r="BQ2597" t="s">
        <v>2734</v>
      </c>
      <c r="BR2597" t="s">
        <v>84</v>
      </c>
      <c r="BS2597" s="3">
        <v>43791</v>
      </c>
      <c r="BT2597" s="5">
        <v>0.33402777777777781</v>
      </c>
      <c r="BU2597" t="s">
        <v>264</v>
      </c>
      <c r="BV2597" t="s">
        <v>86</v>
      </c>
      <c r="BY2597">
        <v>2737.82</v>
      </c>
      <c r="CA2597" t="s">
        <v>1247</v>
      </c>
      <c r="CC2597" t="s">
        <v>107</v>
      </c>
      <c r="CD2597">
        <v>6045</v>
      </c>
      <c r="CE2597" t="s">
        <v>147</v>
      </c>
      <c r="CF2597" s="3">
        <v>43794</v>
      </c>
      <c r="CI2597">
        <v>1</v>
      </c>
      <c r="CJ2597">
        <v>1</v>
      </c>
      <c r="CK2597">
        <v>21</v>
      </c>
      <c r="CL2597" t="s">
        <v>89</v>
      </c>
    </row>
    <row r="2598" spans="1:90">
      <c r="A2598" t="s">
        <v>72</v>
      </c>
      <c r="B2598" t="s">
        <v>73</v>
      </c>
      <c r="C2598" t="s">
        <v>74</v>
      </c>
      <c r="E2598" t="str">
        <f>"FES1162724389"</f>
        <v>FES1162724389</v>
      </c>
      <c r="F2598" s="3">
        <v>43790</v>
      </c>
      <c r="G2598">
        <v>202005</v>
      </c>
      <c r="H2598" t="s">
        <v>75</v>
      </c>
      <c r="I2598" t="s">
        <v>76</v>
      </c>
      <c r="J2598" t="s">
        <v>77</v>
      </c>
      <c r="K2598" t="s">
        <v>78</v>
      </c>
      <c r="L2598" t="s">
        <v>101</v>
      </c>
      <c r="M2598" t="s">
        <v>102</v>
      </c>
      <c r="N2598" t="s">
        <v>707</v>
      </c>
      <c r="O2598" t="s">
        <v>82</v>
      </c>
      <c r="P2598" t="str">
        <f>"2170716142                    "</f>
        <v xml:space="preserve">2170716142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8.58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1.3</v>
      </c>
      <c r="BJ2598">
        <v>1.6</v>
      </c>
      <c r="BK2598">
        <v>2</v>
      </c>
      <c r="BL2598" s="4">
        <v>50.45</v>
      </c>
      <c r="BM2598" s="4">
        <v>7.57</v>
      </c>
      <c r="BN2598" s="4">
        <v>58.02</v>
      </c>
      <c r="BO2598" s="4">
        <v>58.02</v>
      </c>
      <c r="BQ2598" t="s">
        <v>121</v>
      </c>
      <c r="BR2598" t="s">
        <v>84</v>
      </c>
      <c r="BS2598" s="3">
        <v>43791</v>
      </c>
      <c r="BT2598" s="5">
        <v>0.34583333333333338</v>
      </c>
      <c r="BU2598" t="s">
        <v>708</v>
      </c>
      <c r="BV2598" t="s">
        <v>86</v>
      </c>
      <c r="BY2598">
        <v>8248.64</v>
      </c>
      <c r="CA2598" t="s">
        <v>709</v>
      </c>
      <c r="CC2598" t="s">
        <v>102</v>
      </c>
      <c r="CD2598">
        <v>1</v>
      </c>
      <c r="CE2598" t="s">
        <v>147</v>
      </c>
      <c r="CF2598" s="3">
        <v>43795</v>
      </c>
      <c r="CI2598">
        <v>1</v>
      </c>
      <c r="CJ2598">
        <v>1</v>
      </c>
      <c r="CK2598">
        <v>21</v>
      </c>
      <c r="CL2598" t="s">
        <v>89</v>
      </c>
    </row>
    <row r="2599" spans="1:90">
      <c r="A2599" t="s">
        <v>72</v>
      </c>
      <c r="B2599" t="s">
        <v>73</v>
      </c>
      <c r="C2599" t="s">
        <v>74</v>
      </c>
      <c r="E2599" t="str">
        <f>"FES1162724228"</f>
        <v>FES1162724228</v>
      </c>
      <c r="F2599" s="3">
        <v>43790</v>
      </c>
      <c r="G2599">
        <v>202005</v>
      </c>
      <c r="H2599" t="s">
        <v>75</v>
      </c>
      <c r="I2599" t="s">
        <v>76</v>
      </c>
      <c r="J2599" t="s">
        <v>77</v>
      </c>
      <c r="K2599" t="s">
        <v>78</v>
      </c>
      <c r="L2599" t="s">
        <v>925</v>
      </c>
      <c r="M2599" t="s">
        <v>926</v>
      </c>
      <c r="N2599" t="s">
        <v>927</v>
      </c>
      <c r="O2599" t="s">
        <v>82</v>
      </c>
      <c r="P2599" t="str">
        <f>"21707157+65                   "</f>
        <v xml:space="preserve">21707157+65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12.07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 s="4">
        <v>70.95</v>
      </c>
      <c r="BM2599" s="4">
        <v>10.64</v>
      </c>
      <c r="BN2599" s="4">
        <v>81.59</v>
      </c>
      <c r="BO2599" s="4">
        <v>81.59</v>
      </c>
      <c r="BQ2599" t="s">
        <v>109</v>
      </c>
      <c r="BR2599" t="s">
        <v>84</v>
      </c>
      <c r="BS2599" s="3">
        <v>43794</v>
      </c>
      <c r="BT2599" s="5">
        <v>0.63888888888888895</v>
      </c>
      <c r="BU2599" t="s">
        <v>1313</v>
      </c>
      <c r="BV2599" t="s">
        <v>89</v>
      </c>
      <c r="BW2599" t="s">
        <v>2735</v>
      </c>
      <c r="BX2599" t="s">
        <v>2576</v>
      </c>
      <c r="BY2599">
        <v>1200</v>
      </c>
      <c r="CA2599" t="s">
        <v>929</v>
      </c>
      <c r="CC2599" t="s">
        <v>926</v>
      </c>
      <c r="CD2599">
        <v>1028</v>
      </c>
      <c r="CE2599" t="s">
        <v>147</v>
      </c>
      <c r="CF2599" s="3">
        <v>43795</v>
      </c>
      <c r="CI2599">
        <v>1</v>
      </c>
      <c r="CJ2599">
        <v>2</v>
      </c>
      <c r="CK2599">
        <v>24</v>
      </c>
      <c r="CL2599" t="s">
        <v>89</v>
      </c>
    </row>
    <row r="2600" spans="1:90">
      <c r="A2600" t="s">
        <v>72</v>
      </c>
      <c r="B2600" t="s">
        <v>73</v>
      </c>
      <c r="C2600" t="s">
        <v>74</v>
      </c>
      <c r="E2600" t="str">
        <f>"FES1162724399"</f>
        <v>FES1162724399</v>
      </c>
      <c r="F2600" s="3">
        <v>43790</v>
      </c>
      <c r="G2600">
        <v>202005</v>
      </c>
      <c r="H2600" t="s">
        <v>75</v>
      </c>
      <c r="I2600" t="s">
        <v>76</v>
      </c>
      <c r="J2600" t="s">
        <v>77</v>
      </c>
      <c r="K2600" t="s">
        <v>78</v>
      </c>
      <c r="L2600" t="s">
        <v>214</v>
      </c>
      <c r="M2600" t="s">
        <v>214</v>
      </c>
      <c r="N2600" t="s">
        <v>403</v>
      </c>
      <c r="O2600" t="s">
        <v>82</v>
      </c>
      <c r="P2600" t="str">
        <f>"2170716291                    "</f>
        <v xml:space="preserve">2170716291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69.209999999999994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8.6999999999999993</v>
      </c>
      <c r="BJ2600">
        <v>4.9000000000000004</v>
      </c>
      <c r="BK2600">
        <v>9</v>
      </c>
      <c r="BL2600" s="4">
        <v>406.81</v>
      </c>
      <c r="BM2600" s="4">
        <v>61.02</v>
      </c>
      <c r="BN2600" s="4">
        <v>467.83</v>
      </c>
      <c r="BO2600" s="4">
        <v>467.83</v>
      </c>
      <c r="BQ2600" t="s">
        <v>121</v>
      </c>
      <c r="BR2600" t="s">
        <v>84</v>
      </c>
      <c r="BS2600" s="3">
        <v>43791</v>
      </c>
      <c r="BT2600" s="5">
        <v>0.4826388888888889</v>
      </c>
      <c r="BU2600" t="s">
        <v>1150</v>
      </c>
      <c r="BV2600" t="s">
        <v>86</v>
      </c>
      <c r="BY2600">
        <v>24289.86</v>
      </c>
      <c r="CA2600" t="s">
        <v>217</v>
      </c>
      <c r="CC2600" t="s">
        <v>214</v>
      </c>
      <c r="CD2600">
        <v>7646</v>
      </c>
      <c r="CE2600" t="s">
        <v>88</v>
      </c>
      <c r="CF2600" s="3">
        <v>43794</v>
      </c>
      <c r="CI2600">
        <v>1</v>
      </c>
      <c r="CJ2600">
        <v>1</v>
      </c>
      <c r="CK2600">
        <v>23</v>
      </c>
      <c r="CL2600" t="s">
        <v>89</v>
      </c>
    </row>
    <row r="2601" spans="1:90">
      <c r="A2601" t="s">
        <v>72</v>
      </c>
      <c r="B2601" t="s">
        <v>73</v>
      </c>
      <c r="C2601" t="s">
        <v>74</v>
      </c>
      <c r="E2601" t="str">
        <f>"FES1162724511"</f>
        <v>FES1162724511</v>
      </c>
      <c r="F2601" s="3">
        <v>43790</v>
      </c>
      <c r="G2601">
        <v>202005</v>
      </c>
      <c r="H2601" t="s">
        <v>75</v>
      </c>
      <c r="I2601" t="s">
        <v>76</v>
      </c>
      <c r="J2601" t="s">
        <v>77</v>
      </c>
      <c r="K2601" t="s">
        <v>78</v>
      </c>
      <c r="L2601" t="s">
        <v>292</v>
      </c>
      <c r="M2601" t="s">
        <v>293</v>
      </c>
      <c r="N2601" t="s">
        <v>2736</v>
      </c>
      <c r="O2601" t="s">
        <v>82</v>
      </c>
      <c r="P2601" t="str">
        <f>"2170718283                    "</f>
        <v xml:space="preserve">2170718283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16.63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0.2</v>
      </c>
      <c r="BJ2601">
        <v>1.3</v>
      </c>
      <c r="BK2601">
        <v>1.5</v>
      </c>
      <c r="BL2601" s="4">
        <v>97.75</v>
      </c>
      <c r="BM2601" s="4">
        <v>14.66</v>
      </c>
      <c r="BN2601" s="4">
        <v>112.41</v>
      </c>
      <c r="BO2601" s="4">
        <v>112.41</v>
      </c>
      <c r="BQ2601" t="s">
        <v>109</v>
      </c>
      <c r="BR2601" t="s">
        <v>84</v>
      </c>
      <c r="BS2601" s="3">
        <v>43791</v>
      </c>
      <c r="BT2601" s="5">
        <v>0.33333333333333331</v>
      </c>
      <c r="BU2601" t="s">
        <v>2737</v>
      </c>
      <c r="BV2601" t="s">
        <v>86</v>
      </c>
      <c r="BY2601">
        <v>6434.28</v>
      </c>
      <c r="CC2601" t="s">
        <v>293</v>
      </c>
      <c r="CD2601">
        <v>1949</v>
      </c>
      <c r="CE2601" t="s">
        <v>147</v>
      </c>
      <c r="CF2601" s="3">
        <v>43794</v>
      </c>
      <c r="CI2601">
        <v>1</v>
      </c>
      <c r="CJ2601">
        <v>1</v>
      </c>
      <c r="CK2601">
        <v>23</v>
      </c>
      <c r="CL2601" t="s">
        <v>89</v>
      </c>
    </row>
    <row r="2602" spans="1:90">
      <c r="A2602" t="s">
        <v>72</v>
      </c>
      <c r="B2602" t="s">
        <v>73</v>
      </c>
      <c r="C2602" t="s">
        <v>74</v>
      </c>
      <c r="E2602" t="str">
        <f>"FES1162724370"</f>
        <v>FES1162724370</v>
      </c>
      <c r="F2602" s="3">
        <v>43790</v>
      </c>
      <c r="G2602">
        <v>202005</v>
      </c>
      <c r="H2602" t="s">
        <v>75</v>
      </c>
      <c r="I2602" t="s">
        <v>76</v>
      </c>
      <c r="J2602" t="s">
        <v>77</v>
      </c>
      <c r="K2602" t="s">
        <v>78</v>
      </c>
      <c r="L2602" t="s">
        <v>75</v>
      </c>
      <c r="M2602" t="s">
        <v>76</v>
      </c>
      <c r="N2602" t="s">
        <v>236</v>
      </c>
      <c r="O2602" t="s">
        <v>82</v>
      </c>
      <c r="P2602" t="str">
        <f>"2170716450                    "</f>
        <v xml:space="preserve">2170716450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6.71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0.2</v>
      </c>
      <c r="BJ2602">
        <v>1.6</v>
      </c>
      <c r="BK2602">
        <v>2</v>
      </c>
      <c r="BL2602" s="4">
        <v>39.42</v>
      </c>
      <c r="BM2602" s="4">
        <v>5.91</v>
      </c>
      <c r="BN2602" s="4">
        <v>45.33</v>
      </c>
      <c r="BO2602" s="4">
        <v>45.33</v>
      </c>
      <c r="BQ2602" t="s">
        <v>109</v>
      </c>
      <c r="BR2602" t="s">
        <v>84</v>
      </c>
      <c r="BS2602" s="3">
        <v>43791</v>
      </c>
      <c r="BT2602" s="5">
        <v>0.2986111111111111</v>
      </c>
      <c r="BU2602" t="s">
        <v>2738</v>
      </c>
      <c r="BV2602" t="s">
        <v>86</v>
      </c>
      <c r="BY2602">
        <v>7887.23</v>
      </c>
      <c r="CA2602" t="s">
        <v>238</v>
      </c>
      <c r="CC2602" t="s">
        <v>76</v>
      </c>
      <c r="CD2602">
        <v>1665</v>
      </c>
      <c r="CE2602" t="s">
        <v>147</v>
      </c>
      <c r="CF2602" s="3">
        <v>43794</v>
      </c>
      <c r="CI2602">
        <v>1</v>
      </c>
      <c r="CJ2602">
        <v>1</v>
      </c>
      <c r="CK2602">
        <v>22</v>
      </c>
      <c r="CL2602" t="s">
        <v>89</v>
      </c>
    </row>
    <row r="2603" spans="1:90">
      <c r="A2603" t="s">
        <v>72</v>
      </c>
      <c r="B2603" t="s">
        <v>73</v>
      </c>
      <c r="C2603" t="s">
        <v>74</v>
      </c>
      <c r="E2603" t="str">
        <f>"FES1162724421"</f>
        <v>FES1162724421</v>
      </c>
      <c r="F2603" s="3">
        <v>43790</v>
      </c>
      <c r="G2603">
        <v>202005</v>
      </c>
      <c r="H2603" t="s">
        <v>75</v>
      </c>
      <c r="I2603" t="s">
        <v>76</v>
      </c>
      <c r="J2603" t="s">
        <v>77</v>
      </c>
      <c r="K2603" t="s">
        <v>78</v>
      </c>
      <c r="L2603" t="s">
        <v>90</v>
      </c>
      <c r="M2603" t="s">
        <v>91</v>
      </c>
      <c r="N2603" t="s">
        <v>2073</v>
      </c>
      <c r="O2603" t="s">
        <v>82</v>
      </c>
      <c r="P2603" t="str">
        <f>"2170716649                    "</f>
        <v xml:space="preserve">2170716649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34.31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7.7</v>
      </c>
      <c r="BJ2603">
        <v>3</v>
      </c>
      <c r="BK2603">
        <v>8</v>
      </c>
      <c r="BL2603" s="4">
        <v>201.7</v>
      </c>
      <c r="BM2603" s="4">
        <v>30.26</v>
      </c>
      <c r="BN2603" s="4">
        <v>231.96</v>
      </c>
      <c r="BO2603" s="4">
        <v>231.96</v>
      </c>
      <c r="BQ2603" t="s">
        <v>121</v>
      </c>
      <c r="BR2603" t="s">
        <v>84</v>
      </c>
      <c r="BS2603" s="3">
        <v>43791</v>
      </c>
      <c r="BT2603" s="5">
        <v>0.3444444444444445</v>
      </c>
      <c r="BU2603" t="s">
        <v>2074</v>
      </c>
      <c r="BV2603" t="s">
        <v>86</v>
      </c>
      <c r="BY2603">
        <v>14868.64</v>
      </c>
      <c r="CA2603" t="s">
        <v>515</v>
      </c>
      <c r="CC2603" t="s">
        <v>91</v>
      </c>
      <c r="CD2603">
        <v>7500</v>
      </c>
      <c r="CE2603" t="s">
        <v>88</v>
      </c>
      <c r="CF2603" s="3">
        <v>43794</v>
      </c>
      <c r="CI2603">
        <v>1</v>
      </c>
      <c r="CJ2603">
        <v>1</v>
      </c>
      <c r="CK2603">
        <v>21</v>
      </c>
      <c r="CL2603" t="s">
        <v>89</v>
      </c>
    </row>
    <row r="2604" spans="1:90">
      <c r="A2604" t="s">
        <v>72</v>
      </c>
      <c r="B2604" t="s">
        <v>73</v>
      </c>
      <c r="C2604" t="s">
        <v>74</v>
      </c>
      <c r="E2604" t="str">
        <f>"FES1162724231"</f>
        <v>FES1162724231</v>
      </c>
      <c r="F2604" s="3">
        <v>43790</v>
      </c>
      <c r="G2604">
        <v>202005</v>
      </c>
      <c r="H2604" t="s">
        <v>75</v>
      </c>
      <c r="I2604" t="s">
        <v>76</v>
      </c>
      <c r="J2604" t="s">
        <v>77</v>
      </c>
      <c r="K2604" t="s">
        <v>78</v>
      </c>
      <c r="L2604" t="s">
        <v>106</v>
      </c>
      <c r="M2604" t="s">
        <v>107</v>
      </c>
      <c r="N2604" t="s">
        <v>1401</v>
      </c>
      <c r="O2604" t="s">
        <v>82</v>
      </c>
      <c r="P2604" t="str">
        <f>"2170715788                    "</f>
        <v xml:space="preserve">2170715788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19.3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2.6</v>
      </c>
      <c r="BJ2604">
        <v>4.2</v>
      </c>
      <c r="BK2604">
        <v>4.5</v>
      </c>
      <c r="BL2604" s="4">
        <v>113.47</v>
      </c>
      <c r="BM2604" s="4">
        <v>17.02</v>
      </c>
      <c r="BN2604" s="4">
        <v>130.49</v>
      </c>
      <c r="BO2604" s="4">
        <v>130.49</v>
      </c>
      <c r="BQ2604" t="s">
        <v>109</v>
      </c>
      <c r="BR2604" t="s">
        <v>84</v>
      </c>
      <c r="BS2604" s="3">
        <v>43791</v>
      </c>
      <c r="BT2604" s="5">
        <v>0.40972222222222227</v>
      </c>
      <c r="BU2604" t="s">
        <v>1402</v>
      </c>
      <c r="BV2604" t="s">
        <v>86</v>
      </c>
      <c r="BY2604">
        <v>20891.52</v>
      </c>
      <c r="CA2604" t="s">
        <v>87</v>
      </c>
      <c r="CC2604" t="s">
        <v>107</v>
      </c>
      <c r="CD2604">
        <v>6001</v>
      </c>
      <c r="CE2604" t="s">
        <v>88</v>
      </c>
      <c r="CF2604" s="3">
        <v>43794</v>
      </c>
      <c r="CI2604">
        <v>1</v>
      </c>
      <c r="CJ2604">
        <v>1</v>
      </c>
      <c r="CK2604">
        <v>21</v>
      </c>
      <c r="CL2604" t="s">
        <v>89</v>
      </c>
    </row>
    <row r="2605" spans="1:90">
      <c r="A2605" t="s">
        <v>72</v>
      </c>
      <c r="B2605" t="s">
        <v>73</v>
      </c>
      <c r="C2605" t="s">
        <v>74</v>
      </c>
      <c r="E2605" t="str">
        <f>"FES1162724467"</f>
        <v>FES1162724467</v>
      </c>
      <c r="F2605" s="3">
        <v>43790</v>
      </c>
      <c r="G2605">
        <v>202005</v>
      </c>
      <c r="H2605" t="s">
        <v>75</v>
      </c>
      <c r="I2605" t="s">
        <v>76</v>
      </c>
      <c r="J2605" t="s">
        <v>77</v>
      </c>
      <c r="K2605" t="s">
        <v>78</v>
      </c>
      <c r="L2605" t="s">
        <v>176</v>
      </c>
      <c r="M2605" t="s">
        <v>177</v>
      </c>
      <c r="N2605" t="s">
        <v>600</v>
      </c>
      <c r="O2605" t="s">
        <v>82</v>
      </c>
      <c r="P2605" t="str">
        <f>"2170718226                    "</f>
        <v xml:space="preserve">2170718226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8.58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0.2</v>
      </c>
      <c r="BJ2605">
        <v>0.8</v>
      </c>
      <c r="BK2605">
        <v>1</v>
      </c>
      <c r="BL2605" s="4">
        <v>50.45</v>
      </c>
      <c r="BM2605" s="4">
        <v>7.57</v>
      </c>
      <c r="BN2605" s="4">
        <v>58.02</v>
      </c>
      <c r="BO2605" s="4">
        <v>58.02</v>
      </c>
      <c r="BQ2605" t="s">
        <v>109</v>
      </c>
      <c r="BR2605" t="s">
        <v>84</v>
      </c>
      <c r="BS2605" s="3">
        <v>43791</v>
      </c>
      <c r="BT2605" s="5">
        <v>0.30486111111111108</v>
      </c>
      <c r="BU2605" t="s">
        <v>601</v>
      </c>
      <c r="BV2605" t="s">
        <v>86</v>
      </c>
      <c r="BY2605">
        <v>3891.6</v>
      </c>
      <c r="CA2605" t="s">
        <v>224</v>
      </c>
      <c r="CC2605" t="s">
        <v>177</v>
      </c>
      <c r="CD2605">
        <v>3610</v>
      </c>
      <c r="CE2605" t="s">
        <v>147</v>
      </c>
      <c r="CF2605" s="3">
        <v>43794</v>
      </c>
      <c r="CI2605">
        <v>1</v>
      </c>
      <c r="CJ2605">
        <v>1</v>
      </c>
      <c r="CK2605">
        <v>21</v>
      </c>
      <c r="CL2605" t="s">
        <v>89</v>
      </c>
    </row>
    <row r="2606" spans="1:90">
      <c r="A2606" t="s">
        <v>72</v>
      </c>
      <c r="B2606" t="s">
        <v>73</v>
      </c>
      <c r="C2606" t="s">
        <v>74</v>
      </c>
      <c r="E2606" t="str">
        <f>"FES1162724535"</f>
        <v>FES1162724535</v>
      </c>
      <c r="F2606" s="3">
        <v>43790</v>
      </c>
      <c r="G2606">
        <v>202005</v>
      </c>
      <c r="H2606" t="s">
        <v>75</v>
      </c>
      <c r="I2606" t="s">
        <v>76</v>
      </c>
      <c r="J2606" t="s">
        <v>77</v>
      </c>
      <c r="K2606" t="s">
        <v>78</v>
      </c>
      <c r="L2606" t="s">
        <v>172</v>
      </c>
      <c r="M2606" t="s">
        <v>173</v>
      </c>
      <c r="N2606" t="s">
        <v>2608</v>
      </c>
      <c r="O2606" t="s">
        <v>82</v>
      </c>
      <c r="P2606" t="str">
        <f>"2170718317                    "</f>
        <v xml:space="preserve">2170718317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12.07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0.2</v>
      </c>
      <c r="BJ2606">
        <v>1.3</v>
      </c>
      <c r="BK2606">
        <v>1.5</v>
      </c>
      <c r="BL2606" s="4">
        <v>70.95</v>
      </c>
      <c r="BM2606" s="4">
        <v>10.64</v>
      </c>
      <c r="BN2606" s="4">
        <v>81.59</v>
      </c>
      <c r="BO2606" s="4">
        <v>81.59</v>
      </c>
      <c r="BQ2606" t="s">
        <v>109</v>
      </c>
      <c r="BR2606" t="s">
        <v>84</v>
      </c>
      <c r="BS2606" s="3">
        <v>43791</v>
      </c>
      <c r="BT2606" s="5">
        <v>0.3888888888888889</v>
      </c>
      <c r="BU2606" t="s">
        <v>2739</v>
      </c>
      <c r="BV2606" t="s">
        <v>86</v>
      </c>
      <c r="BY2606">
        <v>6276.6</v>
      </c>
      <c r="CC2606" t="s">
        <v>173</v>
      </c>
      <c r="CD2606">
        <v>1752</v>
      </c>
      <c r="CE2606" t="s">
        <v>147</v>
      </c>
      <c r="CF2606" s="3">
        <v>43794</v>
      </c>
      <c r="CI2606">
        <v>1</v>
      </c>
      <c r="CJ2606">
        <v>1</v>
      </c>
      <c r="CK2606">
        <v>24</v>
      </c>
      <c r="CL2606" t="s">
        <v>89</v>
      </c>
    </row>
    <row r="2607" spans="1:90">
      <c r="A2607" t="s">
        <v>72</v>
      </c>
      <c r="B2607" t="s">
        <v>73</v>
      </c>
      <c r="C2607" t="s">
        <v>74</v>
      </c>
      <c r="E2607" t="str">
        <f>"FES1162724245"</f>
        <v>FES1162724245</v>
      </c>
      <c r="F2607" s="3">
        <v>43790</v>
      </c>
      <c r="G2607">
        <v>202005</v>
      </c>
      <c r="H2607" t="s">
        <v>75</v>
      </c>
      <c r="I2607" t="s">
        <v>76</v>
      </c>
      <c r="J2607" t="s">
        <v>77</v>
      </c>
      <c r="K2607" t="s">
        <v>78</v>
      </c>
      <c r="L2607" t="s">
        <v>106</v>
      </c>
      <c r="M2607" t="s">
        <v>107</v>
      </c>
      <c r="N2607" t="s">
        <v>1401</v>
      </c>
      <c r="O2607" t="s">
        <v>82</v>
      </c>
      <c r="P2607" t="str">
        <f>"2170715977                    "</f>
        <v xml:space="preserve">2170715977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10.73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1.1000000000000001</v>
      </c>
      <c r="BJ2607">
        <v>2.1</v>
      </c>
      <c r="BK2607">
        <v>2.5</v>
      </c>
      <c r="BL2607" s="4">
        <v>63.06</v>
      </c>
      <c r="BM2607" s="4">
        <v>9.4600000000000009</v>
      </c>
      <c r="BN2607" s="4">
        <v>72.52</v>
      </c>
      <c r="BO2607" s="4">
        <v>72.52</v>
      </c>
      <c r="BQ2607" t="s">
        <v>109</v>
      </c>
      <c r="BR2607" t="s">
        <v>84</v>
      </c>
      <c r="BS2607" s="3">
        <v>43791</v>
      </c>
      <c r="BT2607" s="5">
        <v>0.40972222222222227</v>
      </c>
      <c r="BU2607" t="s">
        <v>1402</v>
      </c>
      <c r="BV2607" t="s">
        <v>86</v>
      </c>
      <c r="BY2607">
        <v>10415.209999999999</v>
      </c>
      <c r="CA2607" t="s">
        <v>87</v>
      </c>
      <c r="CC2607" t="s">
        <v>107</v>
      </c>
      <c r="CD2607">
        <v>6001</v>
      </c>
      <c r="CE2607" t="s">
        <v>147</v>
      </c>
      <c r="CF2607" s="3">
        <v>43794</v>
      </c>
      <c r="CI2607">
        <v>1</v>
      </c>
      <c r="CJ2607">
        <v>1</v>
      </c>
      <c r="CK2607">
        <v>21</v>
      </c>
      <c r="CL2607" t="s">
        <v>89</v>
      </c>
    </row>
    <row r="2608" spans="1:90">
      <c r="A2608" t="s">
        <v>72</v>
      </c>
      <c r="B2608" t="s">
        <v>73</v>
      </c>
      <c r="C2608" t="s">
        <v>74</v>
      </c>
      <c r="E2608" t="str">
        <f>"FES1162724412"</f>
        <v>FES1162724412</v>
      </c>
      <c r="F2608" s="3">
        <v>43790</v>
      </c>
      <c r="G2608">
        <v>202005</v>
      </c>
      <c r="H2608" t="s">
        <v>75</v>
      </c>
      <c r="I2608" t="s">
        <v>76</v>
      </c>
      <c r="J2608" t="s">
        <v>77</v>
      </c>
      <c r="K2608" t="s">
        <v>78</v>
      </c>
      <c r="L2608" t="s">
        <v>101</v>
      </c>
      <c r="M2608" t="s">
        <v>102</v>
      </c>
      <c r="N2608" t="s">
        <v>2740</v>
      </c>
      <c r="O2608" t="s">
        <v>82</v>
      </c>
      <c r="P2608" t="str">
        <f>"2170716399                    "</f>
        <v xml:space="preserve">2170716399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12.87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1.9</v>
      </c>
      <c r="BJ2608">
        <v>2.7</v>
      </c>
      <c r="BK2608">
        <v>3</v>
      </c>
      <c r="BL2608" s="4">
        <v>75.66</v>
      </c>
      <c r="BM2608" s="4">
        <v>11.35</v>
      </c>
      <c r="BN2608" s="4">
        <v>87.01</v>
      </c>
      <c r="BO2608" s="4">
        <v>87.01</v>
      </c>
      <c r="BR2608" t="s">
        <v>84</v>
      </c>
      <c r="BS2608" s="3">
        <v>43791</v>
      </c>
      <c r="BT2608" s="5">
        <v>0.4375</v>
      </c>
      <c r="BU2608" t="s">
        <v>2635</v>
      </c>
      <c r="BV2608" t="s">
        <v>86</v>
      </c>
      <c r="BY2608">
        <v>13621.37</v>
      </c>
      <c r="CA2608" t="s">
        <v>183</v>
      </c>
      <c r="CC2608" t="s">
        <v>102</v>
      </c>
      <c r="CD2608">
        <v>200</v>
      </c>
      <c r="CE2608" t="s">
        <v>147</v>
      </c>
      <c r="CF2608" s="3">
        <v>43794</v>
      </c>
      <c r="CI2608">
        <v>1</v>
      </c>
      <c r="CJ2608">
        <v>1</v>
      </c>
      <c r="CK2608">
        <v>21</v>
      </c>
      <c r="CL2608" t="s">
        <v>89</v>
      </c>
    </row>
    <row r="2609" spans="1:90">
      <c r="A2609" t="s">
        <v>72</v>
      </c>
      <c r="B2609" t="s">
        <v>73</v>
      </c>
      <c r="C2609" t="s">
        <v>74</v>
      </c>
      <c r="E2609" t="str">
        <f>"FES1162724214"</f>
        <v>FES1162724214</v>
      </c>
      <c r="F2609" s="3">
        <v>43790</v>
      </c>
      <c r="G2609">
        <v>202005</v>
      </c>
      <c r="H2609" t="s">
        <v>75</v>
      </c>
      <c r="I2609" t="s">
        <v>76</v>
      </c>
      <c r="J2609" t="s">
        <v>77</v>
      </c>
      <c r="K2609" t="s">
        <v>78</v>
      </c>
      <c r="L2609" t="s">
        <v>90</v>
      </c>
      <c r="M2609" t="s">
        <v>91</v>
      </c>
      <c r="N2609" t="s">
        <v>533</v>
      </c>
      <c r="O2609" t="s">
        <v>82</v>
      </c>
      <c r="P2609" t="str">
        <f>"2170715517                    "</f>
        <v xml:space="preserve">2170715517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8.58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0.2</v>
      </c>
      <c r="BJ2609">
        <v>1.7</v>
      </c>
      <c r="BK2609">
        <v>2</v>
      </c>
      <c r="BL2609" s="4">
        <v>50.45</v>
      </c>
      <c r="BM2609" s="4">
        <v>7.57</v>
      </c>
      <c r="BN2609" s="4">
        <v>58.02</v>
      </c>
      <c r="BO2609" s="4">
        <v>58.02</v>
      </c>
      <c r="BQ2609" t="s">
        <v>161</v>
      </c>
      <c r="BR2609" t="s">
        <v>84</v>
      </c>
      <c r="BS2609" s="3">
        <v>43791</v>
      </c>
      <c r="BT2609" s="5">
        <v>0.4375</v>
      </c>
      <c r="BU2609" t="s">
        <v>2632</v>
      </c>
      <c r="BV2609" t="s">
        <v>86</v>
      </c>
      <c r="BY2609">
        <v>8254.5499999999993</v>
      </c>
      <c r="CA2609" t="s">
        <v>323</v>
      </c>
      <c r="CC2609" t="s">
        <v>91</v>
      </c>
      <c r="CD2609">
        <v>7460</v>
      </c>
      <c r="CE2609" t="s">
        <v>88</v>
      </c>
      <c r="CF2609" s="3">
        <v>43794</v>
      </c>
      <c r="CI2609">
        <v>1</v>
      </c>
      <c r="CJ2609">
        <v>1</v>
      </c>
      <c r="CK2609">
        <v>21</v>
      </c>
      <c r="CL2609" t="s">
        <v>89</v>
      </c>
    </row>
    <row r="2610" spans="1:90">
      <c r="A2610" t="s">
        <v>72</v>
      </c>
      <c r="B2610" t="s">
        <v>73</v>
      </c>
      <c r="C2610" t="s">
        <v>74</v>
      </c>
      <c r="E2610" t="str">
        <f>"FES1162724559"</f>
        <v>FES1162724559</v>
      </c>
      <c r="F2610" s="3">
        <v>43790</v>
      </c>
      <c r="G2610">
        <v>202005</v>
      </c>
      <c r="H2610" t="s">
        <v>75</v>
      </c>
      <c r="I2610" t="s">
        <v>76</v>
      </c>
      <c r="J2610" t="s">
        <v>77</v>
      </c>
      <c r="K2610" t="s">
        <v>78</v>
      </c>
      <c r="L2610" t="s">
        <v>691</v>
      </c>
      <c r="M2610" t="s">
        <v>692</v>
      </c>
      <c r="N2610" t="s">
        <v>693</v>
      </c>
      <c r="O2610" t="s">
        <v>82</v>
      </c>
      <c r="P2610" t="str">
        <f>"2170718347                    "</f>
        <v xml:space="preserve">2170718347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10.72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0.2</v>
      </c>
      <c r="BJ2610">
        <v>4.0999999999999996</v>
      </c>
      <c r="BK2610">
        <v>4.5</v>
      </c>
      <c r="BL2610" s="4">
        <v>63.03</v>
      </c>
      <c r="BM2610" s="4">
        <v>9.4499999999999993</v>
      </c>
      <c r="BN2610" s="4">
        <v>72.48</v>
      </c>
      <c r="BO2610" s="4">
        <v>72.48</v>
      </c>
      <c r="BQ2610" t="s">
        <v>142</v>
      </c>
      <c r="BR2610" t="s">
        <v>84</v>
      </c>
      <c r="BS2610" s="3">
        <v>43791</v>
      </c>
      <c r="BT2610" s="5">
        <v>0.33333333333333331</v>
      </c>
      <c r="BU2610" t="s">
        <v>795</v>
      </c>
      <c r="BV2610" t="s">
        <v>86</v>
      </c>
      <c r="BY2610">
        <v>20309.759999999998</v>
      </c>
      <c r="CC2610" t="s">
        <v>692</v>
      </c>
      <c r="CD2610">
        <v>1559</v>
      </c>
      <c r="CE2610" t="s">
        <v>88</v>
      </c>
      <c r="CF2610" s="3">
        <v>43796</v>
      </c>
      <c r="CI2610">
        <v>1</v>
      </c>
      <c r="CJ2610">
        <v>1</v>
      </c>
      <c r="CK2610">
        <v>22</v>
      </c>
      <c r="CL2610" t="s">
        <v>89</v>
      </c>
    </row>
    <row r="2611" spans="1:90">
      <c r="A2611" t="s">
        <v>72</v>
      </c>
      <c r="B2611" t="s">
        <v>73</v>
      </c>
      <c r="C2611" t="s">
        <v>74</v>
      </c>
      <c r="E2611" t="str">
        <f>"FES1162724525"</f>
        <v>FES1162724525</v>
      </c>
      <c r="F2611" s="3">
        <v>43790</v>
      </c>
      <c r="G2611">
        <v>202005</v>
      </c>
      <c r="H2611" t="s">
        <v>75</v>
      </c>
      <c r="I2611" t="s">
        <v>76</v>
      </c>
      <c r="J2611" t="s">
        <v>77</v>
      </c>
      <c r="K2611" t="s">
        <v>78</v>
      </c>
      <c r="L2611" t="s">
        <v>124</v>
      </c>
      <c r="M2611" t="s">
        <v>125</v>
      </c>
      <c r="N2611" t="s">
        <v>2741</v>
      </c>
      <c r="O2611" t="s">
        <v>82</v>
      </c>
      <c r="P2611" t="str">
        <f>"2170715494                    "</f>
        <v xml:space="preserve">2170715494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6.71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0.2</v>
      </c>
      <c r="BJ2611">
        <v>1.2</v>
      </c>
      <c r="BK2611">
        <v>1.5</v>
      </c>
      <c r="BL2611" s="4">
        <v>39.42</v>
      </c>
      <c r="BM2611" s="4">
        <v>5.91</v>
      </c>
      <c r="BN2611" s="4">
        <v>45.33</v>
      </c>
      <c r="BO2611" s="4">
        <v>45.33</v>
      </c>
      <c r="BQ2611" t="s">
        <v>187</v>
      </c>
      <c r="BR2611" t="s">
        <v>84</v>
      </c>
      <c r="BS2611" s="3">
        <v>43791</v>
      </c>
      <c r="BT2611" s="5">
        <v>0.33333333333333331</v>
      </c>
      <c r="BU2611" t="s">
        <v>2742</v>
      </c>
      <c r="BV2611" t="s">
        <v>86</v>
      </c>
      <c r="BY2611">
        <v>6172.1</v>
      </c>
      <c r="CA2611" t="s">
        <v>470</v>
      </c>
      <c r="CC2611" t="s">
        <v>125</v>
      </c>
      <c r="CD2611">
        <v>2090</v>
      </c>
      <c r="CE2611" t="s">
        <v>147</v>
      </c>
      <c r="CF2611" s="3">
        <v>43795</v>
      </c>
      <c r="CI2611">
        <v>1</v>
      </c>
      <c r="CJ2611">
        <v>1</v>
      </c>
      <c r="CK2611">
        <v>22</v>
      </c>
      <c r="CL2611" t="s">
        <v>89</v>
      </c>
    </row>
    <row r="2612" spans="1:90">
      <c r="A2612" t="s">
        <v>72</v>
      </c>
      <c r="B2612" t="s">
        <v>73</v>
      </c>
      <c r="C2612" t="s">
        <v>74</v>
      </c>
      <c r="E2612" t="str">
        <f>"FES1162724367"</f>
        <v>FES1162724367</v>
      </c>
      <c r="F2612" s="3">
        <v>43790</v>
      </c>
      <c r="G2612">
        <v>202005</v>
      </c>
      <c r="H2612" t="s">
        <v>75</v>
      </c>
      <c r="I2612" t="s">
        <v>76</v>
      </c>
      <c r="J2612" t="s">
        <v>77</v>
      </c>
      <c r="K2612" t="s">
        <v>78</v>
      </c>
      <c r="L2612" t="s">
        <v>75</v>
      </c>
      <c r="M2612" t="s">
        <v>76</v>
      </c>
      <c r="N2612" t="s">
        <v>2451</v>
      </c>
      <c r="O2612" t="s">
        <v>82</v>
      </c>
      <c r="P2612" t="str">
        <f>"2170715615                    "</f>
        <v xml:space="preserve">2170715615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6.71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0.5</v>
      </c>
      <c r="BJ2612">
        <v>1.3</v>
      </c>
      <c r="BK2612">
        <v>1.5</v>
      </c>
      <c r="BL2612" s="4">
        <v>39.42</v>
      </c>
      <c r="BM2612" s="4">
        <v>5.91</v>
      </c>
      <c r="BN2612" s="4">
        <v>45.33</v>
      </c>
      <c r="BO2612" s="4">
        <v>45.33</v>
      </c>
      <c r="BR2612" t="s">
        <v>84</v>
      </c>
      <c r="BS2612" s="3">
        <v>43791</v>
      </c>
      <c r="BT2612" s="5">
        <v>0.33680555555555558</v>
      </c>
      <c r="BU2612" t="s">
        <v>408</v>
      </c>
      <c r="BV2612" t="s">
        <v>86</v>
      </c>
      <c r="BY2612">
        <v>6585.6</v>
      </c>
      <c r="CA2612" t="s">
        <v>238</v>
      </c>
      <c r="CC2612" t="s">
        <v>76</v>
      </c>
      <c r="CD2612">
        <v>1666</v>
      </c>
      <c r="CE2612" t="s">
        <v>147</v>
      </c>
      <c r="CF2612" s="3">
        <v>43794</v>
      </c>
      <c r="CI2612">
        <v>1</v>
      </c>
      <c r="CJ2612">
        <v>1</v>
      </c>
      <c r="CK2612">
        <v>22</v>
      </c>
      <c r="CL2612" t="s">
        <v>89</v>
      </c>
    </row>
    <row r="2613" spans="1:90">
      <c r="A2613" t="s">
        <v>72</v>
      </c>
      <c r="B2613" t="s">
        <v>73</v>
      </c>
      <c r="C2613" t="s">
        <v>74</v>
      </c>
      <c r="E2613" t="str">
        <f>"FES1162724308"</f>
        <v>FES1162724308</v>
      </c>
      <c r="F2613" s="3">
        <v>43790</v>
      </c>
      <c r="G2613">
        <v>202005</v>
      </c>
      <c r="H2613" t="s">
        <v>75</v>
      </c>
      <c r="I2613" t="s">
        <v>76</v>
      </c>
      <c r="J2613" t="s">
        <v>77</v>
      </c>
      <c r="K2613" t="s">
        <v>78</v>
      </c>
      <c r="L2613" t="s">
        <v>172</v>
      </c>
      <c r="M2613" t="s">
        <v>173</v>
      </c>
      <c r="N2613" t="s">
        <v>2743</v>
      </c>
      <c r="O2613" t="s">
        <v>82</v>
      </c>
      <c r="P2613" t="str">
        <f>"2170717690                    "</f>
        <v xml:space="preserve">2170717690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12.07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0.2</v>
      </c>
      <c r="BJ2613">
        <v>1.5</v>
      </c>
      <c r="BK2613">
        <v>1.5</v>
      </c>
      <c r="BL2613" s="4">
        <v>70.95</v>
      </c>
      <c r="BM2613" s="4">
        <v>10.64</v>
      </c>
      <c r="BN2613" s="4">
        <v>81.59</v>
      </c>
      <c r="BO2613" s="4">
        <v>81.59</v>
      </c>
      <c r="BQ2613" t="s">
        <v>2744</v>
      </c>
      <c r="BR2613" t="s">
        <v>84</v>
      </c>
      <c r="BS2613" s="3">
        <v>43791</v>
      </c>
      <c r="BT2613" s="5">
        <v>0.375</v>
      </c>
      <c r="BU2613" t="s">
        <v>2745</v>
      </c>
      <c r="BV2613" t="s">
        <v>86</v>
      </c>
      <c r="BY2613">
        <v>7367.58</v>
      </c>
      <c r="CC2613" t="s">
        <v>173</v>
      </c>
      <c r="CD2613">
        <v>1739</v>
      </c>
      <c r="CE2613" t="s">
        <v>88</v>
      </c>
      <c r="CF2613" s="3">
        <v>43794</v>
      </c>
      <c r="CI2613">
        <v>1</v>
      </c>
      <c r="CJ2613">
        <v>1</v>
      </c>
      <c r="CK2613">
        <v>24</v>
      </c>
      <c r="CL2613" t="s">
        <v>89</v>
      </c>
    </row>
    <row r="2614" spans="1:90">
      <c r="A2614" t="s">
        <v>72</v>
      </c>
      <c r="B2614" t="s">
        <v>73</v>
      </c>
      <c r="C2614" t="s">
        <v>74</v>
      </c>
      <c r="E2614" t="str">
        <f>"FES1162724561"</f>
        <v>FES1162724561</v>
      </c>
      <c r="F2614" s="3">
        <v>43790</v>
      </c>
      <c r="G2614">
        <v>202005</v>
      </c>
      <c r="H2614" t="s">
        <v>75</v>
      </c>
      <c r="I2614" t="s">
        <v>76</v>
      </c>
      <c r="J2614" t="s">
        <v>77</v>
      </c>
      <c r="K2614" t="s">
        <v>78</v>
      </c>
      <c r="L2614" t="s">
        <v>202</v>
      </c>
      <c r="M2614" t="s">
        <v>203</v>
      </c>
      <c r="N2614" t="s">
        <v>2746</v>
      </c>
      <c r="O2614" t="s">
        <v>82</v>
      </c>
      <c r="P2614" t="str">
        <f>"2170718349                    "</f>
        <v xml:space="preserve">2170718349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6.71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0.2</v>
      </c>
      <c r="BJ2614">
        <v>1.7</v>
      </c>
      <c r="BK2614">
        <v>2</v>
      </c>
      <c r="BL2614" s="4">
        <v>39.42</v>
      </c>
      <c r="BM2614" s="4">
        <v>5.91</v>
      </c>
      <c r="BN2614" s="4">
        <v>45.33</v>
      </c>
      <c r="BO2614" s="4">
        <v>45.33</v>
      </c>
      <c r="BQ2614" t="s">
        <v>121</v>
      </c>
      <c r="BR2614" t="s">
        <v>84</v>
      </c>
      <c r="BS2614" s="3">
        <v>43791</v>
      </c>
      <c r="BT2614" s="5">
        <v>0.33333333333333331</v>
      </c>
      <c r="BU2614" t="s">
        <v>2747</v>
      </c>
      <c r="BV2614" t="s">
        <v>86</v>
      </c>
      <c r="BY2614">
        <v>8267.67</v>
      </c>
      <c r="CC2614" t="s">
        <v>203</v>
      </c>
      <c r="CD2614">
        <v>1406</v>
      </c>
      <c r="CE2614" t="s">
        <v>88</v>
      </c>
      <c r="CF2614" s="3">
        <v>43794</v>
      </c>
      <c r="CI2614">
        <v>1</v>
      </c>
      <c r="CJ2614">
        <v>1</v>
      </c>
      <c r="CK2614">
        <v>22</v>
      </c>
      <c r="CL2614" t="s">
        <v>89</v>
      </c>
    </row>
    <row r="2615" spans="1:90">
      <c r="A2615" t="s">
        <v>72</v>
      </c>
      <c r="B2615" t="s">
        <v>73</v>
      </c>
      <c r="C2615" t="s">
        <v>74</v>
      </c>
      <c r="E2615" t="str">
        <f>"FES1162724569"</f>
        <v>FES1162724569</v>
      </c>
      <c r="F2615" s="3">
        <v>43790</v>
      </c>
      <c r="G2615">
        <v>202005</v>
      </c>
      <c r="H2615" t="s">
        <v>75</v>
      </c>
      <c r="I2615" t="s">
        <v>76</v>
      </c>
      <c r="J2615" t="s">
        <v>77</v>
      </c>
      <c r="K2615" t="s">
        <v>78</v>
      </c>
      <c r="L2615" t="s">
        <v>106</v>
      </c>
      <c r="M2615" t="s">
        <v>107</v>
      </c>
      <c r="N2615" t="s">
        <v>128</v>
      </c>
      <c r="O2615" t="s">
        <v>82</v>
      </c>
      <c r="P2615" t="str">
        <f>"2170706643                    "</f>
        <v xml:space="preserve">2170706643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8.58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0.6</v>
      </c>
      <c r="BJ2615">
        <v>1.5</v>
      </c>
      <c r="BK2615">
        <v>1.5</v>
      </c>
      <c r="BL2615" s="4">
        <v>50.45</v>
      </c>
      <c r="BM2615" s="4">
        <v>7.57</v>
      </c>
      <c r="BN2615" s="4">
        <v>58.02</v>
      </c>
      <c r="BO2615" s="4">
        <v>58.02</v>
      </c>
      <c r="BQ2615" t="s">
        <v>121</v>
      </c>
      <c r="BR2615" t="s">
        <v>84</v>
      </c>
      <c r="BS2615" s="3">
        <v>43791</v>
      </c>
      <c r="BT2615" s="5">
        <v>0.35347222222222219</v>
      </c>
      <c r="BU2615" t="s">
        <v>714</v>
      </c>
      <c r="BV2615" t="s">
        <v>86</v>
      </c>
      <c r="BY2615">
        <v>7473.67</v>
      </c>
      <c r="CA2615" t="s">
        <v>87</v>
      </c>
      <c r="CC2615" t="s">
        <v>107</v>
      </c>
      <c r="CD2615">
        <v>6001</v>
      </c>
      <c r="CE2615" t="s">
        <v>88</v>
      </c>
      <c r="CF2615" s="3">
        <v>43794</v>
      </c>
      <c r="CI2615">
        <v>1</v>
      </c>
      <c r="CJ2615">
        <v>1</v>
      </c>
      <c r="CK2615">
        <v>21</v>
      </c>
      <c r="CL2615" t="s">
        <v>89</v>
      </c>
    </row>
    <row r="2616" spans="1:90">
      <c r="A2616" t="s">
        <v>72</v>
      </c>
      <c r="B2616" t="s">
        <v>73</v>
      </c>
      <c r="C2616" t="s">
        <v>74</v>
      </c>
      <c r="E2616" t="str">
        <f>"FES1162724477"</f>
        <v>FES1162724477</v>
      </c>
      <c r="F2616" s="3">
        <v>43790</v>
      </c>
      <c r="G2616">
        <v>202005</v>
      </c>
      <c r="H2616" t="s">
        <v>75</v>
      </c>
      <c r="I2616" t="s">
        <v>76</v>
      </c>
      <c r="J2616" t="s">
        <v>77</v>
      </c>
      <c r="K2616" t="s">
        <v>78</v>
      </c>
      <c r="L2616" t="s">
        <v>176</v>
      </c>
      <c r="M2616" t="s">
        <v>177</v>
      </c>
      <c r="N2616" t="s">
        <v>178</v>
      </c>
      <c r="O2616" t="s">
        <v>82</v>
      </c>
      <c r="P2616" t="str">
        <f>"2170718236                    "</f>
        <v xml:space="preserve">2170718236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8.58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0.2</v>
      </c>
      <c r="BJ2616">
        <v>1.1000000000000001</v>
      </c>
      <c r="BK2616">
        <v>1.5</v>
      </c>
      <c r="BL2616" s="4">
        <v>50.45</v>
      </c>
      <c r="BM2616" s="4">
        <v>7.57</v>
      </c>
      <c r="BN2616" s="4">
        <v>58.02</v>
      </c>
      <c r="BO2616" s="4">
        <v>58.02</v>
      </c>
      <c r="BQ2616" t="s">
        <v>142</v>
      </c>
      <c r="BR2616" t="s">
        <v>84</v>
      </c>
      <c r="BS2616" s="3">
        <v>43791</v>
      </c>
      <c r="BT2616" s="5">
        <v>0.4152777777777778</v>
      </c>
      <c r="BU2616" t="s">
        <v>1053</v>
      </c>
      <c r="BV2616" t="s">
        <v>86</v>
      </c>
      <c r="BY2616">
        <v>5528.95</v>
      </c>
      <c r="CA2616" t="s">
        <v>180</v>
      </c>
      <c r="CC2616" t="s">
        <v>177</v>
      </c>
      <c r="CD2616">
        <v>3610</v>
      </c>
      <c r="CE2616" t="s">
        <v>88</v>
      </c>
      <c r="CF2616" s="3">
        <v>43794</v>
      </c>
      <c r="CI2616">
        <v>1</v>
      </c>
      <c r="CJ2616">
        <v>1</v>
      </c>
      <c r="CK2616">
        <v>21</v>
      </c>
      <c r="CL2616" t="s">
        <v>89</v>
      </c>
    </row>
    <row r="2617" spans="1:90">
      <c r="A2617" t="s">
        <v>72</v>
      </c>
      <c r="B2617" t="s">
        <v>73</v>
      </c>
      <c r="C2617" t="s">
        <v>74</v>
      </c>
      <c r="E2617" t="str">
        <f>"FES1162724564"</f>
        <v>FES1162724564</v>
      </c>
      <c r="F2617" s="3">
        <v>43790</v>
      </c>
      <c r="G2617">
        <v>202005</v>
      </c>
      <c r="H2617" t="s">
        <v>75</v>
      </c>
      <c r="I2617" t="s">
        <v>76</v>
      </c>
      <c r="J2617" t="s">
        <v>77</v>
      </c>
      <c r="K2617" t="s">
        <v>78</v>
      </c>
      <c r="L2617" t="s">
        <v>124</v>
      </c>
      <c r="M2617" t="s">
        <v>125</v>
      </c>
      <c r="N2617" t="s">
        <v>218</v>
      </c>
      <c r="O2617" t="s">
        <v>82</v>
      </c>
      <c r="P2617" t="str">
        <f>"2170718356                    "</f>
        <v xml:space="preserve">2170718356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19.559999999999999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1.2</v>
      </c>
      <c r="BJ2617">
        <v>10</v>
      </c>
      <c r="BK2617">
        <v>10</v>
      </c>
      <c r="BL2617" s="4">
        <v>114.99</v>
      </c>
      <c r="BM2617" s="4">
        <v>17.25</v>
      </c>
      <c r="BN2617" s="4">
        <v>132.24</v>
      </c>
      <c r="BO2617" s="4">
        <v>132.24</v>
      </c>
      <c r="BQ2617" t="s">
        <v>121</v>
      </c>
      <c r="BR2617" t="s">
        <v>84</v>
      </c>
      <c r="BS2617" s="3">
        <v>43791</v>
      </c>
      <c r="BT2617" s="5">
        <v>0.35486111111111113</v>
      </c>
      <c r="BU2617" t="s">
        <v>2668</v>
      </c>
      <c r="BV2617" t="s">
        <v>86</v>
      </c>
      <c r="BY2617">
        <v>49806.02</v>
      </c>
      <c r="CA2617" t="s">
        <v>123</v>
      </c>
      <c r="CC2617" t="s">
        <v>125</v>
      </c>
      <c r="CD2617">
        <v>2094</v>
      </c>
      <c r="CE2617" t="s">
        <v>88</v>
      </c>
      <c r="CF2617" s="3">
        <v>43794</v>
      </c>
      <c r="CI2617">
        <v>1</v>
      </c>
      <c r="CJ2617">
        <v>1</v>
      </c>
      <c r="CK2617">
        <v>22</v>
      </c>
      <c r="CL2617" t="s">
        <v>89</v>
      </c>
    </row>
    <row r="2618" spans="1:90">
      <c r="A2618" t="s">
        <v>72</v>
      </c>
      <c r="B2618" t="s">
        <v>73</v>
      </c>
      <c r="C2618" t="s">
        <v>74</v>
      </c>
      <c r="E2618" t="str">
        <f>"FES1162724359"</f>
        <v>FES1162724359</v>
      </c>
      <c r="F2618" s="3">
        <v>43790</v>
      </c>
      <c r="G2618">
        <v>202005</v>
      </c>
      <c r="H2618" t="s">
        <v>75</v>
      </c>
      <c r="I2618" t="s">
        <v>76</v>
      </c>
      <c r="J2618" t="s">
        <v>77</v>
      </c>
      <c r="K2618" t="s">
        <v>78</v>
      </c>
      <c r="L2618" t="s">
        <v>405</v>
      </c>
      <c r="M2618" t="s">
        <v>406</v>
      </c>
      <c r="N2618" t="s">
        <v>934</v>
      </c>
      <c r="O2618" t="s">
        <v>82</v>
      </c>
      <c r="P2618" t="str">
        <f>"2170715536                    "</f>
        <v xml:space="preserve">2170715536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12.07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0.2</v>
      </c>
      <c r="BJ2618">
        <v>1.3</v>
      </c>
      <c r="BK2618">
        <v>1.5</v>
      </c>
      <c r="BL2618" s="4">
        <v>70.95</v>
      </c>
      <c r="BM2618" s="4">
        <v>10.64</v>
      </c>
      <c r="BN2618" s="4">
        <v>81.59</v>
      </c>
      <c r="BO2618" s="4">
        <v>81.59</v>
      </c>
      <c r="BQ2618" t="s">
        <v>109</v>
      </c>
      <c r="BR2618" t="s">
        <v>84</v>
      </c>
      <c r="BS2618" s="3">
        <v>43791</v>
      </c>
      <c r="BT2618" s="5">
        <v>0.40972222222222227</v>
      </c>
      <c r="BU2618" t="s">
        <v>2748</v>
      </c>
      <c r="BV2618" t="s">
        <v>86</v>
      </c>
      <c r="BY2618">
        <v>6250.94</v>
      </c>
      <c r="CA2618" t="s">
        <v>1501</v>
      </c>
      <c r="CC2618" t="s">
        <v>406</v>
      </c>
      <c r="CD2618">
        <v>250</v>
      </c>
      <c r="CE2618" t="s">
        <v>88</v>
      </c>
      <c r="CF2618" s="3">
        <v>43795</v>
      </c>
      <c r="CI2618">
        <v>1</v>
      </c>
      <c r="CJ2618">
        <v>1</v>
      </c>
      <c r="CK2618">
        <v>24</v>
      </c>
      <c r="CL2618" t="s">
        <v>89</v>
      </c>
    </row>
    <row r="2619" spans="1:90">
      <c r="A2619" t="s">
        <v>72</v>
      </c>
      <c r="B2619" t="s">
        <v>73</v>
      </c>
      <c r="C2619" t="s">
        <v>74</v>
      </c>
      <c r="E2619" t="str">
        <f>"FES1162724420"</f>
        <v>FES1162724420</v>
      </c>
      <c r="F2619" s="3">
        <v>43790</v>
      </c>
      <c r="G2619">
        <v>202005</v>
      </c>
      <c r="H2619" t="s">
        <v>75</v>
      </c>
      <c r="I2619" t="s">
        <v>76</v>
      </c>
      <c r="J2619" t="s">
        <v>77</v>
      </c>
      <c r="K2619" t="s">
        <v>78</v>
      </c>
      <c r="L2619" t="s">
        <v>101</v>
      </c>
      <c r="M2619" t="s">
        <v>102</v>
      </c>
      <c r="N2619" t="s">
        <v>2749</v>
      </c>
      <c r="O2619" t="s">
        <v>82</v>
      </c>
      <c r="P2619" t="str">
        <f>"2170716620                    "</f>
        <v xml:space="preserve">2170716620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8.58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1.2</v>
      </c>
      <c r="BJ2619">
        <v>1.5</v>
      </c>
      <c r="BK2619">
        <v>1.5</v>
      </c>
      <c r="BL2619" s="4">
        <v>50.45</v>
      </c>
      <c r="BM2619" s="4">
        <v>7.57</v>
      </c>
      <c r="BN2619" s="4">
        <v>58.02</v>
      </c>
      <c r="BO2619" s="4">
        <v>58.02</v>
      </c>
      <c r="BQ2619" t="s">
        <v>109</v>
      </c>
      <c r="BR2619" t="s">
        <v>84</v>
      </c>
      <c r="BS2619" s="3">
        <v>43794</v>
      </c>
      <c r="BT2619" s="5">
        <v>0.38541666666666669</v>
      </c>
      <c r="BU2619" t="s">
        <v>295</v>
      </c>
      <c r="BV2619" t="s">
        <v>89</v>
      </c>
      <c r="BW2619" t="s">
        <v>319</v>
      </c>
      <c r="BX2619" t="s">
        <v>474</v>
      </c>
      <c r="BY2619">
        <v>7613.72</v>
      </c>
      <c r="CC2619" t="s">
        <v>102</v>
      </c>
      <c r="CD2619">
        <v>200</v>
      </c>
      <c r="CE2619" t="s">
        <v>88</v>
      </c>
      <c r="CF2619" s="3">
        <v>43795</v>
      </c>
      <c r="CI2619">
        <v>1</v>
      </c>
      <c r="CJ2619">
        <v>2</v>
      </c>
      <c r="CK2619">
        <v>21</v>
      </c>
      <c r="CL2619" t="s">
        <v>89</v>
      </c>
    </row>
    <row r="2620" spans="1:90">
      <c r="A2620" t="s">
        <v>72</v>
      </c>
      <c r="B2620" t="s">
        <v>73</v>
      </c>
      <c r="C2620" t="s">
        <v>74</v>
      </c>
      <c r="E2620" t="str">
        <f>"FES1162724185"</f>
        <v>FES1162724185</v>
      </c>
      <c r="F2620" s="3">
        <v>43790</v>
      </c>
      <c r="G2620">
        <v>202005</v>
      </c>
      <c r="H2620" t="s">
        <v>75</v>
      </c>
      <c r="I2620" t="s">
        <v>76</v>
      </c>
      <c r="J2620" t="s">
        <v>77</v>
      </c>
      <c r="K2620" t="s">
        <v>78</v>
      </c>
      <c r="L2620" t="s">
        <v>176</v>
      </c>
      <c r="M2620" t="s">
        <v>177</v>
      </c>
      <c r="N2620" t="s">
        <v>419</v>
      </c>
      <c r="O2620" t="s">
        <v>82</v>
      </c>
      <c r="P2620" t="str">
        <f>"2170718131                    "</f>
        <v xml:space="preserve">2170718131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30.03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6.7</v>
      </c>
      <c r="BJ2620">
        <v>4.9000000000000004</v>
      </c>
      <c r="BK2620">
        <v>7</v>
      </c>
      <c r="BL2620" s="4">
        <v>176.5</v>
      </c>
      <c r="BM2620" s="4">
        <v>26.48</v>
      </c>
      <c r="BN2620" s="4">
        <v>202.98</v>
      </c>
      <c r="BO2620" s="4">
        <v>202.98</v>
      </c>
      <c r="BQ2620" t="s">
        <v>109</v>
      </c>
      <c r="BR2620" t="s">
        <v>84</v>
      </c>
      <c r="BS2620" s="3">
        <v>43791</v>
      </c>
      <c r="BT2620" s="5">
        <v>0.39027777777777778</v>
      </c>
      <c r="BU2620" t="s">
        <v>2721</v>
      </c>
      <c r="BV2620" t="s">
        <v>86</v>
      </c>
      <c r="BY2620">
        <v>24305.54</v>
      </c>
      <c r="CA2620" t="s">
        <v>224</v>
      </c>
      <c r="CC2620" t="s">
        <v>177</v>
      </c>
      <c r="CD2620">
        <v>3620</v>
      </c>
      <c r="CE2620" t="s">
        <v>88</v>
      </c>
      <c r="CF2620" s="3">
        <v>43794</v>
      </c>
      <c r="CI2620">
        <v>1</v>
      </c>
      <c r="CJ2620">
        <v>1</v>
      </c>
      <c r="CK2620">
        <v>21</v>
      </c>
      <c r="CL2620" t="s">
        <v>89</v>
      </c>
    </row>
    <row r="2621" spans="1:90">
      <c r="A2621" t="s">
        <v>72</v>
      </c>
      <c r="B2621" t="s">
        <v>73</v>
      </c>
      <c r="C2621" t="s">
        <v>74</v>
      </c>
      <c r="E2621" t="str">
        <f>"FES1162724551"</f>
        <v>FES1162724551</v>
      </c>
      <c r="F2621" s="3">
        <v>43790</v>
      </c>
      <c r="G2621">
        <v>202005</v>
      </c>
      <c r="H2621" t="s">
        <v>75</v>
      </c>
      <c r="I2621" t="s">
        <v>76</v>
      </c>
      <c r="J2621" t="s">
        <v>77</v>
      </c>
      <c r="K2621" t="s">
        <v>78</v>
      </c>
      <c r="L2621" t="s">
        <v>482</v>
      </c>
      <c r="M2621" t="s">
        <v>483</v>
      </c>
      <c r="N2621" t="s">
        <v>1734</v>
      </c>
      <c r="O2621" t="s">
        <v>82</v>
      </c>
      <c r="P2621" t="str">
        <f>"2170718734                    "</f>
        <v xml:space="preserve">2170718734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6.71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0.5</v>
      </c>
      <c r="BJ2621">
        <v>1.7</v>
      </c>
      <c r="BK2621">
        <v>2</v>
      </c>
      <c r="BL2621" s="4">
        <v>39.42</v>
      </c>
      <c r="BM2621" s="4">
        <v>5.91</v>
      </c>
      <c r="BN2621" s="4">
        <v>45.33</v>
      </c>
      <c r="BO2621" s="4">
        <v>45.33</v>
      </c>
      <c r="BQ2621" t="s">
        <v>121</v>
      </c>
      <c r="BR2621" t="s">
        <v>84</v>
      </c>
      <c r="BS2621" s="3">
        <v>43791</v>
      </c>
      <c r="BT2621" s="5">
        <v>0.32500000000000001</v>
      </c>
      <c r="BU2621" t="s">
        <v>2750</v>
      </c>
      <c r="BV2621" t="s">
        <v>86</v>
      </c>
      <c r="BY2621">
        <v>8366.4</v>
      </c>
      <c r="CA2621" t="s">
        <v>486</v>
      </c>
      <c r="CC2621" t="s">
        <v>483</v>
      </c>
      <c r="CD2621">
        <v>1459</v>
      </c>
      <c r="CE2621" t="s">
        <v>147</v>
      </c>
      <c r="CF2621" s="3">
        <v>43794</v>
      </c>
      <c r="CI2621">
        <v>1</v>
      </c>
      <c r="CJ2621">
        <v>1</v>
      </c>
      <c r="CK2621">
        <v>22</v>
      </c>
      <c r="CL2621" t="s">
        <v>89</v>
      </c>
    </row>
    <row r="2622" spans="1:90">
      <c r="A2622" t="s">
        <v>72</v>
      </c>
      <c r="B2622" t="s">
        <v>73</v>
      </c>
      <c r="C2622" t="s">
        <v>74</v>
      </c>
      <c r="E2622" t="str">
        <f>"FES1162724504"</f>
        <v>FES1162724504</v>
      </c>
      <c r="F2622" s="3">
        <v>43790</v>
      </c>
      <c r="G2622">
        <v>202005</v>
      </c>
      <c r="H2622" t="s">
        <v>75</v>
      </c>
      <c r="I2622" t="s">
        <v>76</v>
      </c>
      <c r="J2622" t="s">
        <v>77</v>
      </c>
      <c r="K2622" t="s">
        <v>78</v>
      </c>
      <c r="L2622" t="s">
        <v>95</v>
      </c>
      <c r="M2622" t="s">
        <v>96</v>
      </c>
      <c r="N2622" t="s">
        <v>330</v>
      </c>
      <c r="O2622" t="s">
        <v>82</v>
      </c>
      <c r="P2622" t="str">
        <f>"2170718275                    "</f>
        <v xml:space="preserve">2170718275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7.51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1.2</v>
      </c>
      <c r="BJ2622">
        <v>2.2000000000000002</v>
      </c>
      <c r="BK2622">
        <v>2.5</v>
      </c>
      <c r="BL2622" s="4">
        <v>44.14</v>
      </c>
      <c r="BM2622" s="4">
        <v>6.62</v>
      </c>
      <c r="BN2622" s="4">
        <v>50.76</v>
      </c>
      <c r="BO2622" s="4">
        <v>50.76</v>
      </c>
      <c r="BQ2622" t="s">
        <v>109</v>
      </c>
      <c r="BR2622" t="s">
        <v>84</v>
      </c>
      <c r="BS2622" s="3">
        <v>43791</v>
      </c>
      <c r="BT2622" s="5">
        <v>0.36249999999999999</v>
      </c>
      <c r="BU2622" t="s">
        <v>1542</v>
      </c>
      <c r="BV2622" t="s">
        <v>86</v>
      </c>
      <c r="BY2622">
        <v>11220</v>
      </c>
      <c r="CA2622" t="s">
        <v>123</v>
      </c>
      <c r="CC2622" t="s">
        <v>96</v>
      </c>
      <c r="CD2622">
        <v>1451</v>
      </c>
      <c r="CE2622" t="s">
        <v>147</v>
      </c>
      <c r="CF2622" s="3">
        <v>43795</v>
      </c>
      <c r="CI2622">
        <v>1</v>
      </c>
      <c r="CJ2622">
        <v>1</v>
      </c>
      <c r="CK2622">
        <v>22</v>
      </c>
      <c r="CL2622" t="s">
        <v>89</v>
      </c>
    </row>
    <row r="2623" spans="1:90">
      <c r="A2623" t="s">
        <v>72</v>
      </c>
      <c r="B2623" t="s">
        <v>73</v>
      </c>
      <c r="C2623" t="s">
        <v>74</v>
      </c>
      <c r="E2623" t="str">
        <f>"FES1162724527"</f>
        <v>FES1162724527</v>
      </c>
      <c r="F2623" s="3">
        <v>43790</v>
      </c>
      <c r="G2623">
        <v>202005</v>
      </c>
      <c r="H2623" t="s">
        <v>75</v>
      </c>
      <c r="I2623" t="s">
        <v>76</v>
      </c>
      <c r="J2623" t="s">
        <v>77</v>
      </c>
      <c r="K2623" t="s">
        <v>78</v>
      </c>
      <c r="L2623" t="s">
        <v>90</v>
      </c>
      <c r="M2623" t="s">
        <v>91</v>
      </c>
      <c r="N2623" t="s">
        <v>945</v>
      </c>
      <c r="O2623" t="s">
        <v>82</v>
      </c>
      <c r="P2623" t="str">
        <f>"2170711584                    "</f>
        <v xml:space="preserve">2170711584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10.73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0.2</v>
      </c>
      <c r="BJ2623">
        <v>2.5</v>
      </c>
      <c r="BK2623">
        <v>2.5</v>
      </c>
      <c r="BL2623" s="4">
        <v>63.06</v>
      </c>
      <c r="BM2623" s="4">
        <v>9.4600000000000009</v>
      </c>
      <c r="BN2623" s="4">
        <v>72.52</v>
      </c>
      <c r="BO2623" s="4">
        <v>72.52</v>
      </c>
      <c r="BQ2623" t="s">
        <v>121</v>
      </c>
      <c r="BR2623" t="s">
        <v>84</v>
      </c>
      <c r="BS2623" s="3">
        <v>43791</v>
      </c>
      <c r="BT2623" s="5">
        <v>0.4375</v>
      </c>
      <c r="BU2623" t="s">
        <v>1298</v>
      </c>
      <c r="BV2623" t="s">
        <v>86</v>
      </c>
      <c r="BY2623">
        <v>12636</v>
      </c>
      <c r="CA2623" t="s">
        <v>323</v>
      </c>
      <c r="CC2623" t="s">
        <v>91</v>
      </c>
      <c r="CD2623">
        <v>7460</v>
      </c>
      <c r="CE2623" t="s">
        <v>147</v>
      </c>
      <c r="CF2623" s="3">
        <v>43794</v>
      </c>
      <c r="CI2623">
        <v>1</v>
      </c>
      <c r="CJ2623">
        <v>1</v>
      </c>
      <c r="CK2623">
        <v>21</v>
      </c>
      <c r="CL2623" t="s">
        <v>89</v>
      </c>
    </row>
    <row r="2624" spans="1:90">
      <c r="A2624" t="s">
        <v>72</v>
      </c>
      <c r="B2624" t="s">
        <v>73</v>
      </c>
      <c r="C2624" t="s">
        <v>74</v>
      </c>
      <c r="E2624" t="str">
        <f>"FES1162724558"</f>
        <v>FES1162724558</v>
      </c>
      <c r="F2624" s="3">
        <v>43790</v>
      </c>
      <c r="G2624">
        <v>202005</v>
      </c>
      <c r="H2624" t="s">
        <v>75</v>
      </c>
      <c r="I2624" t="s">
        <v>76</v>
      </c>
      <c r="J2624" t="s">
        <v>77</v>
      </c>
      <c r="K2624" t="s">
        <v>78</v>
      </c>
      <c r="L2624" t="s">
        <v>75</v>
      </c>
      <c r="M2624" t="s">
        <v>76</v>
      </c>
      <c r="N2624" t="s">
        <v>1495</v>
      </c>
      <c r="O2624" t="s">
        <v>82</v>
      </c>
      <c r="P2624" t="str">
        <f>"2170718346                    "</f>
        <v xml:space="preserve">2170718346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6.71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0.2</v>
      </c>
      <c r="BJ2624">
        <v>1.1000000000000001</v>
      </c>
      <c r="BK2624">
        <v>1.5</v>
      </c>
      <c r="BL2624" s="4">
        <v>39.42</v>
      </c>
      <c r="BM2624" s="4">
        <v>5.91</v>
      </c>
      <c r="BN2624" s="4">
        <v>45.33</v>
      </c>
      <c r="BO2624" s="4">
        <v>45.33</v>
      </c>
      <c r="BQ2624" t="s">
        <v>1496</v>
      </c>
      <c r="BR2624" t="s">
        <v>84</v>
      </c>
      <c r="BS2624" s="3">
        <v>43791</v>
      </c>
      <c r="BT2624" s="5">
        <v>0.38194444444444442</v>
      </c>
      <c r="BU2624" t="s">
        <v>2751</v>
      </c>
      <c r="BV2624" t="s">
        <v>86</v>
      </c>
      <c r="BY2624">
        <v>5647.95</v>
      </c>
      <c r="CA2624" t="s">
        <v>1498</v>
      </c>
      <c r="CC2624" t="s">
        <v>76</v>
      </c>
      <c r="CD2624">
        <v>1624</v>
      </c>
      <c r="CE2624" t="s">
        <v>147</v>
      </c>
      <c r="CF2624" s="3">
        <v>43794</v>
      </c>
      <c r="CI2624">
        <v>1</v>
      </c>
      <c r="CJ2624">
        <v>1</v>
      </c>
      <c r="CK2624">
        <v>22</v>
      </c>
      <c r="CL2624" t="s">
        <v>89</v>
      </c>
    </row>
    <row r="2625" spans="1:90">
      <c r="A2625" t="s">
        <v>72</v>
      </c>
      <c r="B2625" t="s">
        <v>73</v>
      </c>
      <c r="C2625" t="s">
        <v>74</v>
      </c>
      <c r="E2625" t="str">
        <f>"FES1162724455"</f>
        <v>FES1162724455</v>
      </c>
      <c r="F2625" s="3">
        <v>43790</v>
      </c>
      <c r="G2625">
        <v>202005</v>
      </c>
      <c r="H2625" t="s">
        <v>75</v>
      </c>
      <c r="I2625" t="s">
        <v>76</v>
      </c>
      <c r="J2625" t="s">
        <v>77</v>
      </c>
      <c r="K2625" t="s">
        <v>78</v>
      </c>
      <c r="L2625" t="s">
        <v>112</v>
      </c>
      <c r="M2625" t="s">
        <v>113</v>
      </c>
      <c r="N2625" t="s">
        <v>1380</v>
      </c>
      <c r="O2625" t="s">
        <v>82</v>
      </c>
      <c r="P2625" t="str">
        <f>"2170718206                    "</f>
        <v xml:space="preserve">2170718206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8.58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1.1000000000000001</v>
      </c>
      <c r="BJ2625">
        <v>1.8</v>
      </c>
      <c r="BK2625">
        <v>2</v>
      </c>
      <c r="BL2625" s="4">
        <v>50.45</v>
      </c>
      <c r="BM2625" s="4">
        <v>7.57</v>
      </c>
      <c r="BN2625" s="4">
        <v>58.02</v>
      </c>
      <c r="BO2625" s="4">
        <v>58.02</v>
      </c>
      <c r="BQ2625" t="s">
        <v>121</v>
      </c>
      <c r="BR2625" t="s">
        <v>84</v>
      </c>
      <c r="BS2625" s="3">
        <v>43791</v>
      </c>
      <c r="BT2625" s="5">
        <v>0.46597222222222223</v>
      </c>
      <c r="BU2625" t="s">
        <v>1045</v>
      </c>
      <c r="BV2625" t="s">
        <v>89</v>
      </c>
      <c r="BW2625" t="s">
        <v>144</v>
      </c>
      <c r="BX2625" t="s">
        <v>145</v>
      </c>
      <c r="BY2625">
        <v>8787.9599999999991</v>
      </c>
      <c r="CA2625" t="s">
        <v>1046</v>
      </c>
      <c r="CC2625" t="s">
        <v>113</v>
      </c>
      <c r="CD2625">
        <v>4051</v>
      </c>
      <c r="CE2625" t="s">
        <v>147</v>
      </c>
      <c r="CF2625" s="3">
        <v>43794</v>
      </c>
      <c r="CI2625">
        <v>1</v>
      </c>
      <c r="CJ2625">
        <v>1</v>
      </c>
      <c r="CK2625">
        <v>21</v>
      </c>
      <c r="CL2625" t="s">
        <v>89</v>
      </c>
    </row>
    <row r="2626" spans="1:90">
      <c r="A2626" t="s">
        <v>72</v>
      </c>
      <c r="B2626" t="s">
        <v>73</v>
      </c>
      <c r="C2626" t="s">
        <v>74</v>
      </c>
      <c r="E2626" t="str">
        <f>"FES1162724222"</f>
        <v>FES1162724222</v>
      </c>
      <c r="F2626" s="3">
        <v>43790</v>
      </c>
      <c r="G2626">
        <v>202005</v>
      </c>
      <c r="H2626" t="s">
        <v>75</v>
      </c>
      <c r="I2626" t="s">
        <v>76</v>
      </c>
      <c r="J2626" t="s">
        <v>77</v>
      </c>
      <c r="K2626" t="s">
        <v>78</v>
      </c>
      <c r="L2626" t="s">
        <v>192</v>
      </c>
      <c r="M2626" t="s">
        <v>193</v>
      </c>
      <c r="N2626" t="s">
        <v>194</v>
      </c>
      <c r="O2626" t="s">
        <v>82</v>
      </c>
      <c r="P2626" t="str">
        <f>"2170715716                    "</f>
        <v xml:space="preserve">2170715716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16.63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 s="4">
        <v>97.75</v>
      </c>
      <c r="BM2626" s="4">
        <v>14.66</v>
      </c>
      <c r="BN2626" s="4">
        <v>112.41</v>
      </c>
      <c r="BO2626" s="4">
        <v>112.41</v>
      </c>
      <c r="BQ2626" t="s">
        <v>109</v>
      </c>
      <c r="BR2626" t="s">
        <v>84</v>
      </c>
      <c r="BS2626" s="3">
        <v>43791</v>
      </c>
      <c r="BT2626" s="5">
        <v>0.41666666666666669</v>
      </c>
      <c r="BU2626" t="s">
        <v>195</v>
      </c>
      <c r="BV2626" t="s">
        <v>86</v>
      </c>
      <c r="BY2626">
        <v>1200</v>
      </c>
      <c r="CC2626" t="s">
        <v>193</v>
      </c>
      <c r="CD2626">
        <v>7130</v>
      </c>
      <c r="CE2626" t="s">
        <v>147</v>
      </c>
      <c r="CF2626" s="3">
        <v>43794</v>
      </c>
      <c r="CI2626">
        <v>1</v>
      </c>
      <c r="CJ2626">
        <v>1</v>
      </c>
      <c r="CK2626">
        <v>23</v>
      </c>
      <c r="CL2626" t="s">
        <v>89</v>
      </c>
    </row>
    <row r="2627" spans="1:90">
      <c r="A2627" t="s">
        <v>72</v>
      </c>
      <c r="B2627" t="s">
        <v>73</v>
      </c>
      <c r="C2627" t="s">
        <v>74</v>
      </c>
      <c r="E2627" t="str">
        <f>"FES1162724338"</f>
        <v>FES1162724338</v>
      </c>
      <c r="F2627" s="3">
        <v>43790</v>
      </c>
      <c r="G2627">
        <v>202005</v>
      </c>
      <c r="H2627" t="s">
        <v>75</v>
      </c>
      <c r="I2627" t="s">
        <v>76</v>
      </c>
      <c r="J2627" t="s">
        <v>77</v>
      </c>
      <c r="K2627" t="s">
        <v>78</v>
      </c>
      <c r="L2627" t="s">
        <v>101</v>
      </c>
      <c r="M2627" t="s">
        <v>102</v>
      </c>
      <c r="N2627" t="s">
        <v>867</v>
      </c>
      <c r="O2627" t="s">
        <v>82</v>
      </c>
      <c r="P2627" t="str">
        <f>"2170715155                    "</f>
        <v xml:space="preserve">2170715155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8.58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0.2</v>
      </c>
      <c r="BJ2627">
        <v>0.9</v>
      </c>
      <c r="BK2627">
        <v>1</v>
      </c>
      <c r="BL2627" s="4">
        <v>50.45</v>
      </c>
      <c r="BM2627" s="4">
        <v>7.57</v>
      </c>
      <c r="BN2627" s="4">
        <v>58.02</v>
      </c>
      <c r="BO2627" s="4">
        <v>58.02</v>
      </c>
      <c r="BQ2627" t="s">
        <v>121</v>
      </c>
      <c r="BR2627" t="s">
        <v>84</v>
      </c>
      <c r="BS2627" s="3">
        <v>43791</v>
      </c>
      <c r="BT2627" s="5">
        <v>0.36805555555555558</v>
      </c>
      <c r="BU2627" t="s">
        <v>1599</v>
      </c>
      <c r="BV2627" t="s">
        <v>86</v>
      </c>
      <c r="BY2627">
        <v>4363.5600000000004</v>
      </c>
      <c r="CA2627" t="s">
        <v>343</v>
      </c>
      <c r="CC2627" t="s">
        <v>102</v>
      </c>
      <c r="CD2627">
        <v>1</v>
      </c>
      <c r="CE2627" t="s">
        <v>88</v>
      </c>
      <c r="CF2627" s="3">
        <v>43794</v>
      </c>
      <c r="CI2627">
        <v>1</v>
      </c>
      <c r="CJ2627">
        <v>1</v>
      </c>
      <c r="CK2627">
        <v>21</v>
      </c>
      <c r="CL2627" t="s">
        <v>89</v>
      </c>
    </row>
    <row r="2628" spans="1:90">
      <c r="A2628" t="s">
        <v>72</v>
      </c>
      <c r="B2628" t="s">
        <v>73</v>
      </c>
      <c r="C2628" t="s">
        <v>74</v>
      </c>
      <c r="E2628" t="str">
        <f>"FES1162724166"</f>
        <v>FES1162724166</v>
      </c>
      <c r="F2628" s="3">
        <v>43790</v>
      </c>
      <c r="G2628">
        <v>202005</v>
      </c>
      <c r="H2628" t="s">
        <v>75</v>
      </c>
      <c r="I2628" t="s">
        <v>76</v>
      </c>
      <c r="J2628" t="s">
        <v>77</v>
      </c>
      <c r="K2628" t="s">
        <v>78</v>
      </c>
      <c r="L2628" t="s">
        <v>118</v>
      </c>
      <c r="M2628" t="s">
        <v>119</v>
      </c>
      <c r="N2628" t="s">
        <v>120</v>
      </c>
      <c r="O2628" t="s">
        <v>82</v>
      </c>
      <c r="P2628" t="str">
        <f>"2170717618                    "</f>
        <v xml:space="preserve">2170717618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8.58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0.2</v>
      </c>
      <c r="BJ2628">
        <v>0.8</v>
      </c>
      <c r="BK2628">
        <v>1</v>
      </c>
      <c r="BL2628" s="4">
        <v>50.45</v>
      </c>
      <c r="BM2628" s="4">
        <v>7.57</v>
      </c>
      <c r="BN2628" s="4">
        <v>58.02</v>
      </c>
      <c r="BO2628" s="4">
        <v>58.02</v>
      </c>
      <c r="BQ2628" t="s">
        <v>121</v>
      </c>
      <c r="BR2628" t="s">
        <v>84</v>
      </c>
      <c r="BS2628" s="3">
        <v>43791</v>
      </c>
      <c r="BT2628" s="5">
        <v>0.37152777777777773</v>
      </c>
      <c r="BU2628" t="s">
        <v>623</v>
      </c>
      <c r="BV2628" t="s">
        <v>86</v>
      </c>
      <c r="BY2628">
        <v>4220.96</v>
      </c>
      <c r="CA2628" t="s">
        <v>435</v>
      </c>
      <c r="CC2628" t="s">
        <v>119</v>
      </c>
      <c r="CD2628">
        <v>3201</v>
      </c>
      <c r="CE2628" t="s">
        <v>88</v>
      </c>
      <c r="CF2628" s="3">
        <v>43794</v>
      </c>
      <c r="CI2628">
        <v>1</v>
      </c>
      <c r="CJ2628">
        <v>1</v>
      </c>
      <c r="CK2628">
        <v>21</v>
      </c>
      <c r="CL2628" t="s">
        <v>89</v>
      </c>
    </row>
    <row r="2629" spans="1:90">
      <c r="A2629" t="s">
        <v>72</v>
      </c>
      <c r="B2629" t="s">
        <v>73</v>
      </c>
      <c r="C2629" t="s">
        <v>74</v>
      </c>
      <c r="E2629" t="str">
        <f>"FES1162724478"</f>
        <v>FES1162724478</v>
      </c>
      <c r="F2629" s="3">
        <v>43790</v>
      </c>
      <c r="G2629">
        <v>202005</v>
      </c>
      <c r="H2629" t="s">
        <v>75</v>
      </c>
      <c r="I2629" t="s">
        <v>76</v>
      </c>
      <c r="J2629" t="s">
        <v>77</v>
      </c>
      <c r="K2629" t="s">
        <v>78</v>
      </c>
      <c r="L2629" t="s">
        <v>176</v>
      </c>
      <c r="M2629" t="s">
        <v>177</v>
      </c>
      <c r="N2629" t="s">
        <v>178</v>
      </c>
      <c r="O2629" t="s">
        <v>82</v>
      </c>
      <c r="P2629" t="str">
        <f>"2170718237                    "</f>
        <v xml:space="preserve">2170718237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8.58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0.2</v>
      </c>
      <c r="BJ2629">
        <v>0.7</v>
      </c>
      <c r="BK2629">
        <v>1</v>
      </c>
      <c r="BL2629" s="4">
        <v>50.45</v>
      </c>
      <c r="BM2629" s="4">
        <v>7.57</v>
      </c>
      <c r="BN2629" s="4">
        <v>58.02</v>
      </c>
      <c r="BO2629" s="4">
        <v>58.02</v>
      </c>
      <c r="BQ2629" t="s">
        <v>142</v>
      </c>
      <c r="BR2629" t="s">
        <v>84</v>
      </c>
      <c r="BS2629" s="3">
        <v>43791</v>
      </c>
      <c r="BT2629" s="5">
        <v>0.41597222222222219</v>
      </c>
      <c r="BU2629" t="s">
        <v>1053</v>
      </c>
      <c r="BV2629" t="s">
        <v>86</v>
      </c>
      <c r="BY2629">
        <v>3686.05</v>
      </c>
      <c r="CA2629" t="s">
        <v>180</v>
      </c>
      <c r="CC2629" t="s">
        <v>177</v>
      </c>
      <c r="CD2629">
        <v>3610</v>
      </c>
      <c r="CE2629" t="s">
        <v>88</v>
      </c>
      <c r="CF2629" s="3">
        <v>43794</v>
      </c>
      <c r="CI2629">
        <v>1</v>
      </c>
      <c r="CJ2629">
        <v>1</v>
      </c>
      <c r="CK2629">
        <v>21</v>
      </c>
      <c r="CL2629" t="s">
        <v>89</v>
      </c>
    </row>
    <row r="2630" spans="1:90">
      <c r="A2630" t="s">
        <v>72</v>
      </c>
      <c r="B2630" t="s">
        <v>73</v>
      </c>
      <c r="C2630" t="s">
        <v>74</v>
      </c>
      <c r="E2630" t="str">
        <f>"FES1162724173"</f>
        <v>FES1162724173</v>
      </c>
      <c r="F2630" s="3">
        <v>43790</v>
      </c>
      <c r="G2630">
        <v>202005</v>
      </c>
      <c r="H2630" t="s">
        <v>75</v>
      </c>
      <c r="I2630" t="s">
        <v>76</v>
      </c>
      <c r="J2630" t="s">
        <v>77</v>
      </c>
      <c r="K2630" t="s">
        <v>78</v>
      </c>
      <c r="L2630" t="s">
        <v>1268</v>
      </c>
      <c r="M2630" t="s">
        <v>1269</v>
      </c>
      <c r="N2630" t="s">
        <v>1515</v>
      </c>
      <c r="O2630" t="s">
        <v>82</v>
      </c>
      <c r="P2630" t="str">
        <f>"2170718049                    "</f>
        <v xml:space="preserve">2170718049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8.58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0.2</v>
      </c>
      <c r="BJ2630">
        <v>0.8</v>
      </c>
      <c r="BK2630">
        <v>1</v>
      </c>
      <c r="BL2630" s="4">
        <v>50.45</v>
      </c>
      <c r="BM2630" s="4">
        <v>7.57</v>
      </c>
      <c r="BN2630" s="4">
        <v>58.02</v>
      </c>
      <c r="BO2630" s="4">
        <v>58.02</v>
      </c>
      <c r="BQ2630" t="s">
        <v>161</v>
      </c>
      <c r="BR2630" t="s">
        <v>84</v>
      </c>
      <c r="BS2630" s="3">
        <v>43791</v>
      </c>
      <c r="BT2630" s="5">
        <v>0.59236111111111112</v>
      </c>
      <c r="BU2630" t="s">
        <v>1516</v>
      </c>
      <c r="BV2630" t="s">
        <v>86</v>
      </c>
      <c r="BY2630">
        <v>3937.07</v>
      </c>
      <c r="CA2630" t="s">
        <v>1215</v>
      </c>
      <c r="CC2630" t="s">
        <v>1269</v>
      </c>
      <c r="CD2630">
        <v>3280</v>
      </c>
      <c r="CE2630" t="s">
        <v>88</v>
      </c>
      <c r="CF2630" s="3">
        <v>43794</v>
      </c>
      <c r="CI2630">
        <v>1</v>
      </c>
      <c r="CJ2630">
        <v>1</v>
      </c>
      <c r="CK2630">
        <v>21</v>
      </c>
      <c r="CL2630" t="s">
        <v>89</v>
      </c>
    </row>
    <row r="2631" spans="1:90">
      <c r="A2631" t="s">
        <v>72</v>
      </c>
      <c r="B2631" t="s">
        <v>73</v>
      </c>
      <c r="C2631" t="s">
        <v>74</v>
      </c>
      <c r="E2631" t="str">
        <f>"FES1162724566"</f>
        <v>FES1162724566</v>
      </c>
      <c r="F2631" s="3">
        <v>43790</v>
      </c>
      <c r="G2631">
        <v>202005</v>
      </c>
      <c r="H2631" t="s">
        <v>75</v>
      </c>
      <c r="I2631" t="s">
        <v>76</v>
      </c>
      <c r="J2631" t="s">
        <v>77</v>
      </c>
      <c r="K2631" t="s">
        <v>78</v>
      </c>
      <c r="L2631" t="s">
        <v>106</v>
      </c>
      <c r="M2631" t="s">
        <v>107</v>
      </c>
      <c r="N2631" t="s">
        <v>128</v>
      </c>
      <c r="O2631" t="s">
        <v>82</v>
      </c>
      <c r="P2631" t="str">
        <f>"2170707010                    "</f>
        <v xml:space="preserve">2170707010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8.58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0.2</v>
      </c>
      <c r="BJ2631">
        <v>1.2</v>
      </c>
      <c r="BK2631">
        <v>1.5</v>
      </c>
      <c r="BL2631" s="4">
        <v>50.45</v>
      </c>
      <c r="BM2631" s="4">
        <v>7.57</v>
      </c>
      <c r="BN2631" s="4">
        <v>58.02</v>
      </c>
      <c r="BO2631" s="4">
        <v>58.02</v>
      </c>
      <c r="BQ2631" t="s">
        <v>121</v>
      </c>
      <c r="BR2631" t="s">
        <v>84</v>
      </c>
      <c r="BS2631" s="3">
        <v>43791</v>
      </c>
      <c r="BT2631" s="5">
        <v>0.35347222222222219</v>
      </c>
      <c r="BU2631" t="s">
        <v>714</v>
      </c>
      <c r="BV2631" t="s">
        <v>86</v>
      </c>
      <c r="BY2631">
        <v>5760.9</v>
      </c>
      <c r="CA2631" t="s">
        <v>87</v>
      </c>
      <c r="CC2631" t="s">
        <v>107</v>
      </c>
      <c r="CD2631">
        <v>6001</v>
      </c>
      <c r="CE2631" t="s">
        <v>147</v>
      </c>
      <c r="CF2631" s="3">
        <v>43794</v>
      </c>
      <c r="CI2631">
        <v>1</v>
      </c>
      <c r="CJ2631">
        <v>1</v>
      </c>
      <c r="CK2631">
        <v>21</v>
      </c>
      <c r="CL2631" t="s">
        <v>89</v>
      </c>
    </row>
    <row r="2632" spans="1:90">
      <c r="A2632" t="s">
        <v>72</v>
      </c>
      <c r="B2632" t="s">
        <v>73</v>
      </c>
      <c r="C2632" t="s">
        <v>74</v>
      </c>
      <c r="E2632" t="str">
        <f>"FES11627244252"</f>
        <v>FES11627244252</v>
      </c>
      <c r="F2632" s="3">
        <v>43790</v>
      </c>
      <c r="G2632">
        <v>202005</v>
      </c>
      <c r="H2632" t="s">
        <v>75</v>
      </c>
      <c r="I2632" t="s">
        <v>76</v>
      </c>
      <c r="J2632" t="s">
        <v>77</v>
      </c>
      <c r="K2632" t="s">
        <v>78</v>
      </c>
      <c r="L2632" t="s">
        <v>90</v>
      </c>
      <c r="M2632" t="s">
        <v>91</v>
      </c>
      <c r="N2632" t="s">
        <v>2073</v>
      </c>
      <c r="O2632" t="s">
        <v>82</v>
      </c>
      <c r="P2632" t="str">
        <f>"2170716650                    "</f>
        <v xml:space="preserve">2170716650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47.18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10.7</v>
      </c>
      <c r="BJ2632">
        <v>3.7</v>
      </c>
      <c r="BK2632">
        <v>11</v>
      </c>
      <c r="BL2632" s="4">
        <v>277.33</v>
      </c>
      <c r="BM2632" s="4">
        <v>41.6</v>
      </c>
      <c r="BN2632" s="4">
        <v>318.93</v>
      </c>
      <c r="BO2632" s="4">
        <v>318.93</v>
      </c>
      <c r="BQ2632" t="s">
        <v>121</v>
      </c>
      <c r="BR2632" t="s">
        <v>84</v>
      </c>
      <c r="BS2632" s="3">
        <v>43791</v>
      </c>
      <c r="BT2632" s="5">
        <v>0.3444444444444445</v>
      </c>
      <c r="BU2632" t="s">
        <v>2074</v>
      </c>
      <c r="BV2632" t="s">
        <v>86</v>
      </c>
      <c r="BY2632">
        <v>18339.75</v>
      </c>
      <c r="CA2632" t="s">
        <v>515</v>
      </c>
      <c r="CC2632" t="s">
        <v>91</v>
      </c>
      <c r="CD2632">
        <v>7500</v>
      </c>
      <c r="CE2632" t="s">
        <v>88</v>
      </c>
      <c r="CF2632" s="3">
        <v>43794</v>
      </c>
      <c r="CI2632">
        <v>1</v>
      </c>
      <c r="CJ2632">
        <v>1</v>
      </c>
      <c r="CK2632">
        <v>21</v>
      </c>
      <c r="CL2632" t="s">
        <v>89</v>
      </c>
    </row>
    <row r="2633" spans="1:90">
      <c r="A2633" t="s">
        <v>72</v>
      </c>
      <c r="B2633" t="s">
        <v>73</v>
      </c>
      <c r="C2633" t="s">
        <v>74</v>
      </c>
      <c r="E2633" t="str">
        <f>"FES11627241951"</f>
        <v>FES11627241951</v>
      </c>
      <c r="F2633" s="3">
        <v>43790</v>
      </c>
      <c r="G2633">
        <v>202005</v>
      </c>
      <c r="H2633" t="s">
        <v>75</v>
      </c>
      <c r="I2633" t="s">
        <v>76</v>
      </c>
      <c r="J2633" t="s">
        <v>77</v>
      </c>
      <c r="K2633" t="s">
        <v>78</v>
      </c>
      <c r="L2633" t="s">
        <v>202</v>
      </c>
      <c r="M2633" t="s">
        <v>203</v>
      </c>
      <c r="N2633" t="s">
        <v>521</v>
      </c>
      <c r="O2633" t="s">
        <v>82</v>
      </c>
      <c r="P2633" t="str">
        <f>"2170718145                    "</f>
        <v xml:space="preserve">2170718145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6.71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0.2</v>
      </c>
      <c r="BJ2633">
        <v>1.8</v>
      </c>
      <c r="BK2633">
        <v>2</v>
      </c>
      <c r="BL2633" s="4">
        <v>39.42</v>
      </c>
      <c r="BM2633" s="4">
        <v>5.91</v>
      </c>
      <c r="BN2633" s="4">
        <v>45.33</v>
      </c>
      <c r="BO2633" s="4">
        <v>45.33</v>
      </c>
      <c r="BQ2633" t="s">
        <v>109</v>
      </c>
      <c r="BR2633" t="s">
        <v>84</v>
      </c>
      <c r="BS2633" s="3">
        <v>43791</v>
      </c>
      <c r="BT2633" s="5">
        <v>0.4236111111111111</v>
      </c>
      <c r="BU2633" t="s">
        <v>2455</v>
      </c>
      <c r="BV2633" t="s">
        <v>86</v>
      </c>
      <c r="BY2633">
        <v>8825.5400000000009</v>
      </c>
      <c r="CC2633" t="s">
        <v>203</v>
      </c>
      <c r="CD2633">
        <v>1428</v>
      </c>
      <c r="CE2633" t="s">
        <v>88</v>
      </c>
      <c r="CI2633">
        <v>1</v>
      </c>
      <c r="CJ2633">
        <v>1</v>
      </c>
      <c r="CK2633">
        <v>22</v>
      </c>
      <c r="CL2633" t="s">
        <v>89</v>
      </c>
    </row>
    <row r="2634" spans="1:90">
      <c r="A2634" t="s">
        <v>72</v>
      </c>
      <c r="B2634" t="s">
        <v>73</v>
      </c>
      <c r="C2634" t="s">
        <v>74</v>
      </c>
      <c r="E2634" t="str">
        <f>"FES1162724186"</f>
        <v>FES1162724186</v>
      </c>
      <c r="F2634" s="3">
        <v>43790</v>
      </c>
      <c r="G2634">
        <v>202005</v>
      </c>
      <c r="H2634" t="s">
        <v>75</v>
      </c>
      <c r="I2634" t="s">
        <v>76</v>
      </c>
      <c r="J2634" t="s">
        <v>77</v>
      </c>
      <c r="K2634" t="s">
        <v>78</v>
      </c>
      <c r="L2634" t="s">
        <v>112</v>
      </c>
      <c r="M2634" t="s">
        <v>113</v>
      </c>
      <c r="N2634" t="s">
        <v>2752</v>
      </c>
      <c r="O2634" t="s">
        <v>82</v>
      </c>
      <c r="P2634" t="str">
        <f>"2170718133                    "</f>
        <v xml:space="preserve">2170718133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19.3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1.2</v>
      </c>
      <c r="BJ2634">
        <v>4.0999999999999996</v>
      </c>
      <c r="BK2634">
        <v>4.5</v>
      </c>
      <c r="BL2634" s="4">
        <v>113.47</v>
      </c>
      <c r="BM2634" s="4">
        <v>17.02</v>
      </c>
      <c r="BN2634" s="4">
        <v>130.49</v>
      </c>
      <c r="BO2634" s="4">
        <v>130.49</v>
      </c>
      <c r="BQ2634" t="s">
        <v>109</v>
      </c>
      <c r="BR2634" t="s">
        <v>84</v>
      </c>
      <c r="BS2634" s="3">
        <v>43791</v>
      </c>
      <c r="BT2634" s="5">
        <v>0.31041666666666667</v>
      </c>
      <c r="BU2634" t="s">
        <v>2753</v>
      </c>
      <c r="BV2634" t="s">
        <v>86</v>
      </c>
      <c r="BY2634">
        <v>20748</v>
      </c>
      <c r="CA2634" t="s">
        <v>2071</v>
      </c>
      <c r="CC2634" t="s">
        <v>113</v>
      </c>
      <c r="CD2634">
        <v>4000</v>
      </c>
      <c r="CE2634" t="s">
        <v>147</v>
      </c>
      <c r="CF2634" s="3">
        <v>43794</v>
      </c>
      <c r="CI2634">
        <v>1</v>
      </c>
      <c r="CJ2634">
        <v>1</v>
      </c>
      <c r="CK2634">
        <v>21</v>
      </c>
      <c r="CL2634" t="s">
        <v>89</v>
      </c>
    </row>
    <row r="2635" spans="1:90">
      <c r="A2635" t="s">
        <v>72</v>
      </c>
      <c r="B2635" t="s">
        <v>73</v>
      </c>
      <c r="C2635" t="s">
        <v>74</v>
      </c>
      <c r="E2635" t="str">
        <f>"FES1162724547"</f>
        <v>FES1162724547</v>
      </c>
      <c r="F2635" s="3">
        <v>43790</v>
      </c>
      <c r="G2635">
        <v>202005</v>
      </c>
      <c r="H2635" t="s">
        <v>75</v>
      </c>
      <c r="I2635" t="s">
        <v>76</v>
      </c>
      <c r="J2635" t="s">
        <v>77</v>
      </c>
      <c r="K2635" t="s">
        <v>78</v>
      </c>
      <c r="L2635" t="s">
        <v>106</v>
      </c>
      <c r="M2635" t="s">
        <v>107</v>
      </c>
      <c r="N2635" t="s">
        <v>108</v>
      </c>
      <c r="O2635" t="s">
        <v>82</v>
      </c>
      <c r="P2635" t="str">
        <f>"2170718332                    "</f>
        <v xml:space="preserve">2170718332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19.3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0.2</v>
      </c>
      <c r="BJ2635">
        <v>4.5</v>
      </c>
      <c r="BK2635">
        <v>4.5</v>
      </c>
      <c r="BL2635" s="4">
        <v>113.47</v>
      </c>
      <c r="BM2635" s="4">
        <v>17.02</v>
      </c>
      <c r="BN2635" s="4">
        <v>130.49</v>
      </c>
      <c r="BO2635" s="4">
        <v>130.49</v>
      </c>
      <c r="BQ2635" t="s">
        <v>109</v>
      </c>
      <c r="BR2635" t="s">
        <v>84</v>
      </c>
      <c r="BS2635" s="3">
        <v>43791</v>
      </c>
      <c r="BT2635" s="5">
        <v>0.37152777777777773</v>
      </c>
      <c r="BU2635" t="s">
        <v>110</v>
      </c>
      <c r="BV2635" t="s">
        <v>86</v>
      </c>
      <c r="BY2635">
        <v>22364.34</v>
      </c>
      <c r="CA2635" t="s">
        <v>111</v>
      </c>
      <c r="CC2635" t="s">
        <v>107</v>
      </c>
      <c r="CD2635">
        <v>6001</v>
      </c>
      <c r="CE2635" t="s">
        <v>88</v>
      </c>
      <c r="CF2635" s="3">
        <v>43794</v>
      </c>
      <c r="CI2635">
        <v>1</v>
      </c>
      <c r="CJ2635">
        <v>1</v>
      </c>
      <c r="CK2635">
        <v>21</v>
      </c>
      <c r="CL2635" t="s">
        <v>89</v>
      </c>
    </row>
    <row r="2636" spans="1:90">
      <c r="A2636" t="s">
        <v>72</v>
      </c>
      <c r="B2636" t="s">
        <v>73</v>
      </c>
      <c r="C2636" t="s">
        <v>74</v>
      </c>
      <c r="E2636" t="str">
        <f>"FES1162724427"</f>
        <v>FES1162724427</v>
      </c>
      <c r="F2636" s="3">
        <v>43790</v>
      </c>
      <c r="G2636">
        <v>202005</v>
      </c>
      <c r="H2636" t="s">
        <v>75</v>
      </c>
      <c r="I2636" t="s">
        <v>76</v>
      </c>
      <c r="J2636" t="s">
        <v>77</v>
      </c>
      <c r="K2636" t="s">
        <v>78</v>
      </c>
      <c r="L2636" t="s">
        <v>917</v>
      </c>
      <c r="M2636" t="s">
        <v>918</v>
      </c>
      <c r="N2636" t="s">
        <v>2754</v>
      </c>
      <c r="O2636" t="s">
        <v>82</v>
      </c>
      <c r="P2636" t="str">
        <f>"2170717304                    "</f>
        <v xml:space="preserve">2170717304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12.07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0.2</v>
      </c>
      <c r="BJ2636">
        <v>1.6</v>
      </c>
      <c r="BK2636">
        <v>2</v>
      </c>
      <c r="BL2636" s="4">
        <v>70.95</v>
      </c>
      <c r="BM2636" s="4">
        <v>10.64</v>
      </c>
      <c r="BN2636" s="4">
        <v>81.59</v>
      </c>
      <c r="BO2636" s="4">
        <v>81.59</v>
      </c>
      <c r="BQ2636" t="s">
        <v>2755</v>
      </c>
      <c r="BR2636" t="s">
        <v>84</v>
      </c>
      <c r="BS2636" s="3">
        <v>43791</v>
      </c>
      <c r="BT2636" s="5">
        <v>0.38472222222222219</v>
      </c>
      <c r="BU2636" t="s">
        <v>2756</v>
      </c>
      <c r="BV2636" t="s">
        <v>86</v>
      </c>
      <c r="BY2636">
        <v>7812.93</v>
      </c>
      <c r="CA2636" t="s">
        <v>2710</v>
      </c>
      <c r="CC2636" t="s">
        <v>918</v>
      </c>
      <c r="CD2636">
        <v>2210</v>
      </c>
      <c r="CE2636" t="s">
        <v>88</v>
      </c>
      <c r="CF2636" s="3">
        <v>43794</v>
      </c>
      <c r="CI2636">
        <v>1</v>
      </c>
      <c r="CJ2636">
        <v>1</v>
      </c>
      <c r="CK2636">
        <v>24</v>
      </c>
      <c r="CL2636" t="s">
        <v>89</v>
      </c>
    </row>
    <row r="2637" spans="1:90">
      <c r="A2637" t="s">
        <v>72</v>
      </c>
      <c r="B2637" t="s">
        <v>73</v>
      </c>
      <c r="C2637" t="s">
        <v>74</v>
      </c>
      <c r="E2637" t="str">
        <f>"FES1162724576"</f>
        <v>FES1162724576</v>
      </c>
      <c r="F2637" s="3">
        <v>43790</v>
      </c>
      <c r="G2637">
        <v>202005</v>
      </c>
      <c r="H2637" t="s">
        <v>75</v>
      </c>
      <c r="I2637" t="s">
        <v>76</v>
      </c>
      <c r="J2637" t="s">
        <v>77</v>
      </c>
      <c r="K2637" t="s">
        <v>78</v>
      </c>
      <c r="L2637" t="s">
        <v>75</v>
      </c>
      <c r="M2637" t="s">
        <v>76</v>
      </c>
      <c r="N2637" t="s">
        <v>199</v>
      </c>
      <c r="O2637" t="s">
        <v>82</v>
      </c>
      <c r="P2637" t="str">
        <f>"2170718371                    "</f>
        <v xml:space="preserve">2170718371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6.71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0.5</v>
      </c>
      <c r="BJ2637">
        <v>1.7</v>
      </c>
      <c r="BK2637">
        <v>2</v>
      </c>
      <c r="BL2637" s="4">
        <v>39.42</v>
      </c>
      <c r="BM2637" s="4">
        <v>5.91</v>
      </c>
      <c r="BN2637" s="4">
        <v>45.33</v>
      </c>
      <c r="BO2637" s="4">
        <v>45.33</v>
      </c>
      <c r="BQ2637" t="s">
        <v>200</v>
      </c>
      <c r="BR2637" t="s">
        <v>84</v>
      </c>
      <c r="BS2637" s="3">
        <v>43791</v>
      </c>
      <c r="BT2637" s="5">
        <v>0.32847222222222222</v>
      </c>
      <c r="BU2637" t="s">
        <v>1555</v>
      </c>
      <c r="BV2637" t="s">
        <v>86</v>
      </c>
      <c r="BY2637">
        <v>8524.32</v>
      </c>
      <c r="CA2637" t="s">
        <v>1498</v>
      </c>
      <c r="CC2637" t="s">
        <v>76</v>
      </c>
      <c r="CD2637">
        <v>1600</v>
      </c>
      <c r="CE2637" t="s">
        <v>147</v>
      </c>
      <c r="CF2637" s="3">
        <v>43794</v>
      </c>
      <c r="CI2637">
        <v>1</v>
      </c>
      <c r="CJ2637">
        <v>1</v>
      </c>
      <c r="CK2637">
        <v>22</v>
      </c>
      <c r="CL2637" t="s">
        <v>89</v>
      </c>
    </row>
    <row r="2638" spans="1:90">
      <c r="A2638" t="s">
        <v>72</v>
      </c>
      <c r="B2638" t="s">
        <v>73</v>
      </c>
      <c r="C2638" t="s">
        <v>74</v>
      </c>
      <c r="E2638" t="str">
        <f>"FES1162724492"</f>
        <v>FES1162724492</v>
      </c>
      <c r="F2638" s="3">
        <v>43790</v>
      </c>
      <c r="G2638">
        <v>202005</v>
      </c>
      <c r="H2638" t="s">
        <v>75</v>
      </c>
      <c r="I2638" t="s">
        <v>76</v>
      </c>
      <c r="J2638" t="s">
        <v>77</v>
      </c>
      <c r="K2638" t="s">
        <v>78</v>
      </c>
      <c r="L2638" t="s">
        <v>124</v>
      </c>
      <c r="M2638" t="s">
        <v>125</v>
      </c>
      <c r="N2638" t="s">
        <v>1492</v>
      </c>
      <c r="O2638" t="s">
        <v>82</v>
      </c>
      <c r="P2638" t="str">
        <f>"2170718263                    "</f>
        <v xml:space="preserve">2170718263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6.71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0.2</v>
      </c>
      <c r="BJ2638">
        <v>0.7</v>
      </c>
      <c r="BK2638">
        <v>1</v>
      </c>
      <c r="BL2638" s="4">
        <v>39.42</v>
      </c>
      <c r="BM2638" s="4">
        <v>5.91</v>
      </c>
      <c r="BN2638" s="4">
        <v>45.33</v>
      </c>
      <c r="BO2638" s="4">
        <v>45.33</v>
      </c>
      <c r="BQ2638" t="s">
        <v>109</v>
      </c>
      <c r="BR2638" t="s">
        <v>84</v>
      </c>
      <c r="BS2638" s="3">
        <v>43791</v>
      </c>
      <c r="BT2638" s="5">
        <v>0.33333333333333331</v>
      </c>
      <c r="BU2638" t="s">
        <v>1879</v>
      </c>
      <c r="BV2638" t="s">
        <v>86</v>
      </c>
      <c r="BY2638">
        <v>3593.1</v>
      </c>
      <c r="CA2638" t="s">
        <v>470</v>
      </c>
      <c r="CC2638" t="s">
        <v>125</v>
      </c>
      <c r="CD2638">
        <v>2090</v>
      </c>
      <c r="CE2638" t="s">
        <v>147</v>
      </c>
      <c r="CF2638" s="3">
        <v>43795</v>
      </c>
      <c r="CI2638">
        <v>1</v>
      </c>
      <c r="CJ2638">
        <v>1</v>
      </c>
      <c r="CK2638">
        <v>22</v>
      </c>
      <c r="CL2638" t="s">
        <v>89</v>
      </c>
    </row>
    <row r="2639" spans="1:90">
      <c r="A2639" t="s">
        <v>72</v>
      </c>
      <c r="B2639" t="s">
        <v>73</v>
      </c>
      <c r="C2639" t="s">
        <v>74</v>
      </c>
      <c r="E2639" t="str">
        <f>"FES1162724371"</f>
        <v>FES1162724371</v>
      </c>
      <c r="F2639" s="3">
        <v>43790</v>
      </c>
      <c r="G2639">
        <v>202005</v>
      </c>
      <c r="H2639" t="s">
        <v>75</v>
      </c>
      <c r="I2639" t="s">
        <v>76</v>
      </c>
      <c r="J2639" t="s">
        <v>77</v>
      </c>
      <c r="K2639" t="s">
        <v>78</v>
      </c>
      <c r="L2639" t="s">
        <v>339</v>
      </c>
      <c r="M2639" t="s">
        <v>340</v>
      </c>
      <c r="N2639" t="s">
        <v>341</v>
      </c>
      <c r="O2639" t="s">
        <v>82</v>
      </c>
      <c r="P2639" t="str">
        <f>"2170715657                    "</f>
        <v xml:space="preserve">2170715657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8.58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0.2</v>
      </c>
      <c r="BJ2639">
        <v>1.1000000000000001</v>
      </c>
      <c r="BK2639">
        <v>1.5</v>
      </c>
      <c r="BL2639" s="4">
        <v>50.45</v>
      </c>
      <c r="BM2639" s="4">
        <v>7.57</v>
      </c>
      <c r="BN2639" s="4">
        <v>58.02</v>
      </c>
      <c r="BO2639" s="4">
        <v>58.02</v>
      </c>
      <c r="BQ2639" t="s">
        <v>109</v>
      </c>
      <c r="BR2639" t="s">
        <v>84</v>
      </c>
      <c r="BS2639" s="3">
        <v>43791</v>
      </c>
      <c r="BT2639" s="5">
        <v>0.33680555555555558</v>
      </c>
      <c r="BU2639" t="s">
        <v>342</v>
      </c>
      <c r="BV2639" t="s">
        <v>86</v>
      </c>
      <c r="BY2639">
        <v>5688.25</v>
      </c>
      <c r="CA2639" t="s">
        <v>343</v>
      </c>
      <c r="CC2639" t="s">
        <v>340</v>
      </c>
      <c r="CD2639">
        <v>157</v>
      </c>
      <c r="CE2639" t="s">
        <v>147</v>
      </c>
      <c r="CF2639" s="3">
        <v>43794</v>
      </c>
      <c r="CI2639">
        <v>1</v>
      </c>
      <c r="CJ2639">
        <v>1</v>
      </c>
      <c r="CK2639">
        <v>21</v>
      </c>
      <c r="CL2639" t="s">
        <v>89</v>
      </c>
    </row>
    <row r="2640" spans="1:90">
      <c r="A2640" t="s">
        <v>72</v>
      </c>
      <c r="B2640" t="s">
        <v>73</v>
      </c>
      <c r="C2640" t="s">
        <v>74</v>
      </c>
      <c r="E2640" t="str">
        <f>"FES1162724184"</f>
        <v>FES1162724184</v>
      </c>
      <c r="F2640" s="3">
        <v>43790</v>
      </c>
      <c r="G2640">
        <v>202005</v>
      </c>
      <c r="H2640" t="s">
        <v>75</v>
      </c>
      <c r="I2640" t="s">
        <v>76</v>
      </c>
      <c r="J2640" t="s">
        <v>77</v>
      </c>
      <c r="K2640" t="s">
        <v>78</v>
      </c>
      <c r="L2640" t="s">
        <v>90</v>
      </c>
      <c r="M2640" t="s">
        <v>91</v>
      </c>
      <c r="N2640" t="s">
        <v>2757</v>
      </c>
      <c r="O2640" t="s">
        <v>82</v>
      </c>
      <c r="P2640" t="str">
        <f>"217071830                     "</f>
        <v xml:space="preserve">217071830 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23.59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5.3</v>
      </c>
      <c r="BJ2640">
        <v>4.5999999999999996</v>
      </c>
      <c r="BK2640">
        <v>5.5</v>
      </c>
      <c r="BL2640" s="4">
        <v>138.68</v>
      </c>
      <c r="BM2640" s="4">
        <v>20.8</v>
      </c>
      <c r="BN2640" s="4">
        <v>159.47999999999999</v>
      </c>
      <c r="BO2640" s="4">
        <v>159.47999999999999</v>
      </c>
      <c r="BQ2640" t="s">
        <v>121</v>
      </c>
      <c r="BR2640" t="s">
        <v>84</v>
      </c>
      <c r="BS2640" s="3">
        <v>43791</v>
      </c>
      <c r="BT2640" s="5">
        <v>0.3979166666666667</v>
      </c>
      <c r="BU2640" t="s">
        <v>2758</v>
      </c>
      <c r="BV2640" t="s">
        <v>86</v>
      </c>
      <c r="BY2640">
        <v>22815.8</v>
      </c>
      <c r="CA2640" t="s">
        <v>515</v>
      </c>
      <c r="CC2640" t="s">
        <v>91</v>
      </c>
      <c r="CD2640">
        <v>7493</v>
      </c>
      <c r="CE2640" t="s">
        <v>88</v>
      </c>
      <c r="CF2640" s="3">
        <v>43794</v>
      </c>
      <c r="CI2640">
        <v>1</v>
      </c>
      <c r="CJ2640">
        <v>1</v>
      </c>
      <c r="CK2640">
        <v>21</v>
      </c>
      <c r="CL2640" t="s">
        <v>89</v>
      </c>
    </row>
    <row r="2641" spans="1:90">
      <c r="A2641" t="s">
        <v>72</v>
      </c>
      <c r="B2641" t="s">
        <v>73</v>
      </c>
      <c r="C2641" t="s">
        <v>74</v>
      </c>
      <c r="E2641" t="str">
        <f>"FES1162724213"</f>
        <v>FES1162724213</v>
      </c>
      <c r="F2641" s="3">
        <v>43790</v>
      </c>
      <c r="G2641">
        <v>202005</v>
      </c>
      <c r="H2641" t="s">
        <v>75</v>
      </c>
      <c r="I2641" t="s">
        <v>76</v>
      </c>
      <c r="J2641" t="s">
        <v>77</v>
      </c>
      <c r="K2641" t="s">
        <v>78</v>
      </c>
      <c r="L2641" t="s">
        <v>214</v>
      </c>
      <c r="M2641" t="s">
        <v>214</v>
      </c>
      <c r="N2641" t="s">
        <v>314</v>
      </c>
      <c r="O2641" t="s">
        <v>82</v>
      </c>
      <c r="P2641" t="str">
        <f>"2170715510                    "</f>
        <v xml:space="preserve">2170715510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16.63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0.2</v>
      </c>
      <c r="BJ2641">
        <v>1.5</v>
      </c>
      <c r="BK2641">
        <v>1.5</v>
      </c>
      <c r="BL2641" s="4">
        <v>97.75</v>
      </c>
      <c r="BM2641" s="4">
        <v>14.66</v>
      </c>
      <c r="BN2641" s="4">
        <v>112.41</v>
      </c>
      <c r="BO2641" s="4">
        <v>112.41</v>
      </c>
      <c r="BQ2641" t="s">
        <v>109</v>
      </c>
      <c r="BR2641" t="s">
        <v>84</v>
      </c>
      <c r="BS2641" s="3">
        <v>43791</v>
      </c>
      <c r="BT2641" s="5">
        <v>0.47638888888888892</v>
      </c>
      <c r="BU2641" t="s">
        <v>315</v>
      </c>
      <c r="BV2641" t="s">
        <v>86</v>
      </c>
      <c r="BY2641">
        <v>7558.61</v>
      </c>
      <c r="CA2641" t="s">
        <v>217</v>
      </c>
      <c r="CC2641" t="s">
        <v>214</v>
      </c>
      <c r="CD2641">
        <v>7646</v>
      </c>
      <c r="CE2641" t="s">
        <v>88</v>
      </c>
      <c r="CF2641" s="3">
        <v>43794</v>
      </c>
      <c r="CI2641">
        <v>1</v>
      </c>
      <c r="CJ2641">
        <v>1</v>
      </c>
      <c r="CK2641">
        <v>23</v>
      </c>
      <c r="CL2641" t="s">
        <v>89</v>
      </c>
    </row>
    <row r="2642" spans="1:90">
      <c r="A2642" t="s">
        <v>72</v>
      </c>
      <c r="B2642" t="s">
        <v>73</v>
      </c>
      <c r="C2642" t="s">
        <v>74</v>
      </c>
      <c r="E2642" t="str">
        <f>"FES1162724441"</f>
        <v>FES1162724441</v>
      </c>
      <c r="F2642" s="3">
        <v>43790</v>
      </c>
      <c r="G2642">
        <v>202005</v>
      </c>
      <c r="H2642" t="s">
        <v>75</v>
      </c>
      <c r="I2642" t="s">
        <v>76</v>
      </c>
      <c r="J2642" t="s">
        <v>77</v>
      </c>
      <c r="K2642" t="s">
        <v>78</v>
      </c>
      <c r="L2642" t="s">
        <v>681</v>
      </c>
      <c r="M2642" t="s">
        <v>682</v>
      </c>
      <c r="N2642" t="s">
        <v>1222</v>
      </c>
      <c r="O2642" t="s">
        <v>82</v>
      </c>
      <c r="P2642" t="str">
        <f>"2170718126                    "</f>
        <v xml:space="preserve">2170718126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12.07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0.2</v>
      </c>
      <c r="BJ2642">
        <v>1.1000000000000001</v>
      </c>
      <c r="BK2642">
        <v>1.5</v>
      </c>
      <c r="BL2642" s="4">
        <v>70.95</v>
      </c>
      <c r="BM2642" s="4">
        <v>10.64</v>
      </c>
      <c r="BN2642" s="4">
        <v>81.59</v>
      </c>
      <c r="BO2642" s="4">
        <v>81.59</v>
      </c>
      <c r="BQ2642" t="s">
        <v>121</v>
      </c>
      <c r="BR2642" t="s">
        <v>84</v>
      </c>
      <c r="BS2642" s="3">
        <v>43791</v>
      </c>
      <c r="BT2642" s="5">
        <v>0.41666666666666669</v>
      </c>
      <c r="BU2642" t="s">
        <v>2669</v>
      </c>
      <c r="BV2642" t="s">
        <v>86</v>
      </c>
      <c r="BY2642">
        <v>5624.64</v>
      </c>
      <c r="CA2642" t="s">
        <v>1224</v>
      </c>
      <c r="CC2642" t="s">
        <v>682</v>
      </c>
      <c r="CD2642">
        <v>1930</v>
      </c>
      <c r="CE2642" t="s">
        <v>147</v>
      </c>
      <c r="CF2642" s="3">
        <v>43794</v>
      </c>
      <c r="CI2642">
        <v>1</v>
      </c>
      <c r="CJ2642">
        <v>1</v>
      </c>
      <c r="CK2642">
        <v>24</v>
      </c>
      <c r="CL2642" t="s">
        <v>89</v>
      </c>
    </row>
    <row r="2643" spans="1:90">
      <c r="A2643" t="s">
        <v>72</v>
      </c>
      <c r="B2643" t="s">
        <v>73</v>
      </c>
      <c r="C2643" t="s">
        <v>74</v>
      </c>
      <c r="E2643" t="str">
        <f>"FES1162724493"</f>
        <v>FES1162724493</v>
      </c>
      <c r="F2643" s="3">
        <v>43790</v>
      </c>
      <c r="G2643">
        <v>202005</v>
      </c>
      <c r="H2643" t="s">
        <v>75</v>
      </c>
      <c r="I2643" t="s">
        <v>76</v>
      </c>
      <c r="J2643" t="s">
        <v>77</v>
      </c>
      <c r="K2643" t="s">
        <v>78</v>
      </c>
      <c r="L2643" t="s">
        <v>118</v>
      </c>
      <c r="M2643" t="s">
        <v>119</v>
      </c>
      <c r="N2643" t="s">
        <v>885</v>
      </c>
      <c r="O2643" t="s">
        <v>82</v>
      </c>
      <c r="P2643" t="str">
        <f>"2170717944                    "</f>
        <v xml:space="preserve">2170717944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8.58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0.2</v>
      </c>
      <c r="BJ2643">
        <v>1.1000000000000001</v>
      </c>
      <c r="BK2643">
        <v>1.5</v>
      </c>
      <c r="BL2643" s="4">
        <v>50.45</v>
      </c>
      <c r="BM2643" s="4">
        <v>7.57</v>
      </c>
      <c r="BN2643" s="4">
        <v>58.02</v>
      </c>
      <c r="BO2643" s="4">
        <v>58.02</v>
      </c>
      <c r="BQ2643" t="s">
        <v>109</v>
      </c>
      <c r="BR2643" t="s">
        <v>84</v>
      </c>
      <c r="BS2643" s="3">
        <v>43791</v>
      </c>
      <c r="BT2643" s="5">
        <v>0.37777777777777777</v>
      </c>
      <c r="BU2643" t="s">
        <v>886</v>
      </c>
      <c r="BV2643" t="s">
        <v>86</v>
      </c>
      <c r="BY2643">
        <v>5299.68</v>
      </c>
      <c r="CA2643" t="s">
        <v>435</v>
      </c>
      <c r="CC2643" t="s">
        <v>119</v>
      </c>
      <c r="CD2643">
        <v>3212</v>
      </c>
      <c r="CE2643" t="s">
        <v>147</v>
      </c>
      <c r="CF2643" s="3">
        <v>43794</v>
      </c>
      <c r="CI2643">
        <v>1</v>
      </c>
      <c r="CJ2643">
        <v>1</v>
      </c>
      <c r="CK2643">
        <v>21</v>
      </c>
      <c r="CL2643" t="s">
        <v>89</v>
      </c>
    </row>
    <row r="2644" spans="1:90">
      <c r="A2644" t="s">
        <v>72</v>
      </c>
      <c r="B2644" t="s">
        <v>73</v>
      </c>
      <c r="C2644" t="s">
        <v>74</v>
      </c>
      <c r="E2644" t="str">
        <f>"FES1162724337"</f>
        <v>FES1162724337</v>
      </c>
      <c r="F2644" s="3">
        <v>43790</v>
      </c>
      <c r="G2644">
        <v>202005</v>
      </c>
      <c r="H2644" t="s">
        <v>75</v>
      </c>
      <c r="I2644" t="s">
        <v>76</v>
      </c>
      <c r="J2644" t="s">
        <v>77</v>
      </c>
      <c r="K2644" t="s">
        <v>78</v>
      </c>
      <c r="L2644" t="s">
        <v>90</v>
      </c>
      <c r="M2644" t="s">
        <v>91</v>
      </c>
      <c r="N2644" t="s">
        <v>92</v>
      </c>
      <c r="O2644" t="s">
        <v>82</v>
      </c>
      <c r="P2644" t="str">
        <f>"2170715135                    "</f>
        <v xml:space="preserve">2170715135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8.58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0.2</v>
      </c>
      <c r="BJ2644">
        <v>1.5</v>
      </c>
      <c r="BK2644">
        <v>1.5</v>
      </c>
      <c r="BL2644" s="4">
        <v>50.45</v>
      </c>
      <c r="BM2644" s="4">
        <v>7.57</v>
      </c>
      <c r="BN2644" s="4">
        <v>58.02</v>
      </c>
      <c r="BO2644" s="4">
        <v>58.02</v>
      </c>
      <c r="BQ2644" t="s">
        <v>2759</v>
      </c>
      <c r="BR2644" t="s">
        <v>84</v>
      </c>
      <c r="BS2644" s="3">
        <v>43791</v>
      </c>
      <c r="BT2644" s="5">
        <v>0.3611111111111111</v>
      </c>
      <c r="BU2644" t="s">
        <v>2619</v>
      </c>
      <c r="BV2644" t="s">
        <v>86</v>
      </c>
      <c r="BY2644">
        <v>7326.25</v>
      </c>
      <c r="CA2644" t="s">
        <v>94</v>
      </c>
      <c r="CC2644" t="s">
        <v>91</v>
      </c>
      <c r="CD2644">
        <v>7700</v>
      </c>
      <c r="CE2644" t="s">
        <v>88</v>
      </c>
      <c r="CF2644" s="3">
        <v>43794</v>
      </c>
      <c r="CI2644">
        <v>1</v>
      </c>
      <c r="CJ2644">
        <v>1</v>
      </c>
      <c r="CK2644">
        <v>21</v>
      </c>
      <c r="CL2644" t="s">
        <v>89</v>
      </c>
    </row>
    <row r="2645" spans="1:90">
      <c r="A2645" t="s">
        <v>72</v>
      </c>
      <c r="B2645" t="s">
        <v>73</v>
      </c>
      <c r="C2645" t="s">
        <v>74</v>
      </c>
      <c r="E2645" t="str">
        <f>"FES1162724489"</f>
        <v>FES1162724489</v>
      </c>
      <c r="F2645" s="3">
        <v>43790</v>
      </c>
      <c r="G2645">
        <v>202005</v>
      </c>
      <c r="H2645" t="s">
        <v>75</v>
      </c>
      <c r="I2645" t="s">
        <v>76</v>
      </c>
      <c r="J2645" t="s">
        <v>77</v>
      </c>
      <c r="K2645" t="s">
        <v>78</v>
      </c>
      <c r="L2645" t="s">
        <v>225</v>
      </c>
      <c r="M2645" t="s">
        <v>226</v>
      </c>
      <c r="N2645" t="s">
        <v>227</v>
      </c>
      <c r="O2645" t="s">
        <v>82</v>
      </c>
      <c r="P2645" t="str">
        <f>"2170718259                    "</f>
        <v xml:space="preserve">2170718259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10.73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0.5</v>
      </c>
      <c r="BJ2645">
        <v>2.1</v>
      </c>
      <c r="BK2645">
        <v>2.5</v>
      </c>
      <c r="BL2645" s="4">
        <v>63.06</v>
      </c>
      <c r="BM2645" s="4">
        <v>9.4600000000000009</v>
      </c>
      <c r="BN2645" s="4">
        <v>72.52</v>
      </c>
      <c r="BO2645" s="4">
        <v>72.52</v>
      </c>
      <c r="BQ2645" t="s">
        <v>121</v>
      </c>
      <c r="BR2645" t="s">
        <v>84</v>
      </c>
      <c r="BS2645" s="3">
        <v>43791</v>
      </c>
      <c r="BT2645" s="5">
        <v>0.32430555555555557</v>
      </c>
      <c r="BU2645" t="s">
        <v>2760</v>
      </c>
      <c r="BV2645" t="s">
        <v>86</v>
      </c>
      <c r="BY2645">
        <v>10526.76</v>
      </c>
      <c r="CA2645" t="s">
        <v>229</v>
      </c>
      <c r="CC2645" t="s">
        <v>226</v>
      </c>
      <c r="CD2645">
        <v>4026</v>
      </c>
      <c r="CE2645" t="s">
        <v>147</v>
      </c>
      <c r="CF2645" s="3">
        <v>43794</v>
      </c>
      <c r="CI2645">
        <v>1</v>
      </c>
      <c r="CJ2645">
        <v>1</v>
      </c>
      <c r="CK2645">
        <v>21</v>
      </c>
      <c r="CL2645" t="s">
        <v>89</v>
      </c>
    </row>
    <row r="2646" spans="1:90">
      <c r="A2646" t="s">
        <v>72</v>
      </c>
      <c r="B2646" t="s">
        <v>73</v>
      </c>
      <c r="C2646" t="s">
        <v>74</v>
      </c>
      <c r="E2646" t="str">
        <f>"FES1162724109"</f>
        <v>FES1162724109</v>
      </c>
      <c r="F2646" s="3">
        <v>43790</v>
      </c>
      <c r="G2646">
        <v>202005</v>
      </c>
      <c r="H2646" t="s">
        <v>75</v>
      </c>
      <c r="I2646" t="s">
        <v>76</v>
      </c>
      <c r="J2646" t="s">
        <v>77</v>
      </c>
      <c r="K2646" t="s">
        <v>78</v>
      </c>
      <c r="L2646" t="s">
        <v>701</v>
      </c>
      <c r="M2646" t="s">
        <v>702</v>
      </c>
      <c r="N2646" t="s">
        <v>2761</v>
      </c>
      <c r="O2646" t="s">
        <v>82</v>
      </c>
      <c r="P2646" t="str">
        <f>"2170717979                    "</f>
        <v xml:space="preserve">2170717979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12.07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0.2</v>
      </c>
      <c r="BJ2646">
        <v>1.2</v>
      </c>
      <c r="BK2646">
        <v>1.5</v>
      </c>
      <c r="BL2646" s="4">
        <v>70.95</v>
      </c>
      <c r="BM2646" s="4">
        <v>10.64</v>
      </c>
      <c r="BN2646" s="4">
        <v>81.59</v>
      </c>
      <c r="BO2646" s="4">
        <v>81.59</v>
      </c>
      <c r="BQ2646" t="s">
        <v>109</v>
      </c>
      <c r="BR2646" t="s">
        <v>84</v>
      </c>
      <c r="BS2646" s="3">
        <v>43791</v>
      </c>
      <c r="BT2646" s="5">
        <v>0.35416666666666669</v>
      </c>
      <c r="BU2646" t="s">
        <v>2762</v>
      </c>
      <c r="BV2646" t="s">
        <v>86</v>
      </c>
      <c r="BY2646">
        <v>6090.01</v>
      </c>
      <c r="CA2646" t="s">
        <v>873</v>
      </c>
      <c r="CC2646" t="s">
        <v>702</v>
      </c>
      <c r="CD2646">
        <v>324</v>
      </c>
      <c r="CE2646" t="s">
        <v>88</v>
      </c>
      <c r="CF2646" s="3">
        <v>43795</v>
      </c>
      <c r="CI2646">
        <v>1</v>
      </c>
      <c r="CJ2646">
        <v>1</v>
      </c>
      <c r="CK2646">
        <v>24</v>
      </c>
      <c r="CL2646" t="s">
        <v>89</v>
      </c>
    </row>
    <row r="2647" spans="1:90">
      <c r="A2647" t="s">
        <v>72</v>
      </c>
      <c r="B2647" t="s">
        <v>73</v>
      </c>
      <c r="C2647" t="s">
        <v>74</v>
      </c>
      <c r="E2647" t="str">
        <f>"FES1162724503"</f>
        <v>FES1162724503</v>
      </c>
      <c r="F2647" s="3">
        <v>43790</v>
      </c>
      <c r="G2647">
        <v>202005</v>
      </c>
      <c r="H2647" t="s">
        <v>75</v>
      </c>
      <c r="I2647" t="s">
        <v>76</v>
      </c>
      <c r="J2647" t="s">
        <v>77</v>
      </c>
      <c r="K2647" t="s">
        <v>78</v>
      </c>
      <c r="L2647" t="s">
        <v>112</v>
      </c>
      <c r="M2647" t="s">
        <v>113</v>
      </c>
      <c r="N2647" t="s">
        <v>1083</v>
      </c>
      <c r="O2647" t="s">
        <v>82</v>
      </c>
      <c r="P2647" t="str">
        <f>"2170718273                    "</f>
        <v xml:space="preserve">2170718273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8.58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0.2</v>
      </c>
      <c r="BJ2647">
        <v>1.4</v>
      </c>
      <c r="BK2647">
        <v>1.5</v>
      </c>
      <c r="BL2647" s="4">
        <v>50.45</v>
      </c>
      <c r="BM2647" s="4">
        <v>7.57</v>
      </c>
      <c r="BN2647" s="4">
        <v>58.02</v>
      </c>
      <c r="BO2647" s="4">
        <v>58.02</v>
      </c>
      <c r="BQ2647" t="s">
        <v>121</v>
      </c>
      <c r="BR2647" t="s">
        <v>84</v>
      </c>
      <c r="BS2647" s="3">
        <v>43791</v>
      </c>
      <c r="BT2647" s="5">
        <v>0.34513888888888888</v>
      </c>
      <c r="BU2647" t="s">
        <v>2694</v>
      </c>
      <c r="BV2647" t="s">
        <v>86</v>
      </c>
      <c r="BY2647">
        <v>7167.44</v>
      </c>
      <c r="CA2647" t="s">
        <v>2627</v>
      </c>
      <c r="CC2647" t="s">
        <v>113</v>
      </c>
      <c r="CD2647">
        <v>4001</v>
      </c>
      <c r="CE2647" t="s">
        <v>147</v>
      </c>
      <c r="CF2647" s="3">
        <v>43794</v>
      </c>
      <c r="CI2647">
        <v>1</v>
      </c>
      <c r="CJ2647">
        <v>1</v>
      </c>
      <c r="CK2647">
        <v>21</v>
      </c>
      <c r="CL2647" t="s">
        <v>89</v>
      </c>
    </row>
    <row r="2648" spans="1:90">
      <c r="A2648" t="s">
        <v>72</v>
      </c>
      <c r="B2648" t="s">
        <v>73</v>
      </c>
      <c r="C2648" t="s">
        <v>74</v>
      </c>
      <c r="E2648" t="str">
        <f>"FES1162724495"</f>
        <v>FES1162724495</v>
      </c>
      <c r="F2648" s="3">
        <v>43790</v>
      </c>
      <c r="G2648">
        <v>202005</v>
      </c>
      <c r="H2648" t="s">
        <v>75</v>
      </c>
      <c r="I2648" t="s">
        <v>76</v>
      </c>
      <c r="J2648" t="s">
        <v>77</v>
      </c>
      <c r="K2648" t="s">
        <v>78</v>
      </c>
      <c r="L2648" t="s">
        <v>118</v>
      </c>
      <c r="M2648" t="s">
        <v>119</v>
      </c>
      <c r="N2648" t="s">
        <v>885</v>
      </c>
      <c r="O2648" t="s">
        <v>82</v>
      </c>
      <c r="P2648" t="str">
        <f>"2170718139                    "</f>
        <v xml:space="preserve">2170718139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10.73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1.1000000000000001</v>
      </c>
      <c r="BJ2648">
        <v>2.1</v>
      </c>
      <c r="BK2648">
        <v>2.5</v>
      </c>
      <c r="BL2648" s="4">
        <v>63.06</v>
      </c>
      <c r="BM2648" s="4">
        <v>9.4600000000000009</v>
      </c>
      <c r="BN2648" s="4">
        <v>72.52</v>
      </c>
      <c r="BO2648" s="4">
        <v>72.52</v>
      </c>
      <c r="BQ2648" t="s">
        <v>109</v>
      </c>
      <c r="BR2648" t="s">
        <v>84</v>
      </c>
      <c r="BS2648" s="3">
        <v>43791</v>
      </c>
      <c r="BT2648" s="5">
        <v>0.37777777777777777</v>
      </c>
      <c r="BU2648" t="s">
        <v>886</v>
      </c>
      <c r="BV2648" t="s">
        <v>86</v>
      </c>
      <c r="BY2648">
        <v>10374</v>
      </c>
      <c r="CA2648" t="s">
        <v>435</v>
      </c>
      <c r="CC2648" t="s">
        <v>119</v>
      </c>
      <c r="CD2648">
        <v>3212</v>
      </c>
      <c r="CE2648" t="s">
        <v>147</v>
      </c>
      <c r="CF2648" s="3">
        <v>43794</v>
      </c>
      <c r="CI2648">
        <v>1</v>
      </c>
      <c r="CJ2648">
        <v>1</v>
      </c>
      <c r="CK2648">
        <v>21</v>
      </c>
      <c r="CL2648" t="s">
        <v>89</v>
      </c>
    </row>
    <row r="2649" spans="1:90">
      <c r="A2649" t="s">
        <v>72</v>
      </c>
      <c r="B2649" t="s">
        <v>73</v>
      </c>
      <c r="C2649" t="s">
        <v>74</v>
      </c>
      <c r="E2649" t="str">
        <f>"FES1162724565"</f>
        <v>FES1162724565</v>
      </c>
      <c r="F2649" s="3">
        <v>43790</v>
      </c>
      <c r="G2649">
        <v>202005</v>
      </c>
      <c r="H2649" t="s">
        <v>75</v>
      </c>
      <c r="I2649" t="s">
        <v>76</v>
      </c>
      <c r="J2649" t="s">
        <v>77</v>
      </c>
      <c r="K2649" t="s">
        <v>78</v>
      </c>
      <c r="L2649" t="s">
        <v>482</v>
      </c>
      <c r="M2649" t="s">
        <v>483</v>
      </c>
      <c r="N2649" t="s">
        <v>1165</v>
      </c>
      <c r="O2649" t="s">
        <v>82</v>
      </c>
      <c r="P2649" t="str">
        <f>"2170716220                    "</f>
        <v xml:space="preserve">2170716220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6.71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0.2</v>
      </c>
      <c r="BJ2649">
        <v>1.3</v>
      </c>
      <c r="BK2649">
        <v>1.5</v>
      </c>
      <c r="BL2649" s="4">
        <v>39.42</v>
      </c>
      <c r="BM2649" s="4">
        <v>5.91</v>
      </c>
      <c r="BN2649" s="4">
        <v>45.33</v>
      </c>
      <c r="BO2649" s="4">
        <v>45.33</v>
      </c>
      <c r="BQ2649" t="s">
        <v>109</v>
      </c>
      <c r="BR2649" t="s">
        <v>84</v>
      </c>
      <c r="BS2649" s="3">
        <v>43791</v>
      </c>
      <c r="BT2649" s="5">
        <v>0.25694444444444448</v>
      </c>
      <c r="BU2649" t="s">
        <v>2673</v>
      </c>
      <c r="BV2649" t="s">
        <v>86</v>
      </c>
      <c r="BY2649">
        <v>6618.24</v>
      </c>
      <c r="CA2649" t="s">
        <v>1336</v>
      </c>
      <c r="CC2649" t="s">
        <v>483</v>
      </c>
      <c r="CD2649">
        <v>1459</v>
      </c>
      <c r="CE2649" t="s">
        <v>147</v>
      </c>
      <c r="CF2649" s="3">
        <v>43794</v>
      </c>
      <c r="CI2649">
        <v>1</v>
      </c>
      <c r="CJ2649">
        <v>1</v>
      </c>
      <c r="CK2649">
        <v>22</v>
      </c>
      <c r="CL2649" t="s">
        <v>89</v>
      </c>
    </row>
    <row r="2650" spans="1:90">
      <c r="A2650" t="s">
        <v>72</v>
      </c>
      <c r="B2650" t="s">
        <v>73</v>
      </c>
      <c r="C2650" t="s">
        <v>74</v>
      </c>
      <c r="E2650" t="str">
        <f>"FES1162724575"</f>
        <v>FES1162724575</v>
      </c>
      <c r="F2650" s="3">
        <v>43790</v>
      </c>
      <c r="G2650">
        <v>202005</v>
      </c>
      <c r="H2650" t="s">
        <v>75</v>
      </c>
      <c r="I2650" t="s">
        <v>76</v>
      </c>
      <c r="J2650" t="s">
        <v>77</v>
      </c>
      <c r="K2650" t="s">
        <v>78</v>
      </c>
      <c r="L2650" t="s">
        <v>75</v>
      </c>
      <c r="M2650" t="s">
        <v>76</v>
      </c>
      <c r="N2650" t="s">
        <v>391</v>
      </c>
      <c r="O2650" t="s">
        <v>82</v>
      </c>
      <c r="P2650" t="str">
        <f>"2170718368                    "</f>
        <v xml:space="preserve">2170718368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6.71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0.2</v>
      </c>
      <c r="BJ2650">
        <v>0.9</v>
      </c>
      <c r="BK2650">
        <v>1</v>
      </c>
      <c r="BL2650" s="4">
        <v>39.42</v>
      </c>
      <c r="BM2650" s="4">
        <v>5.91</v>
      </c>
      <c r="BN2650" s="4">
        <v>45.33</v>
      </c>
      <c r="BO2650" s="4">
        <v>45.33</v>
      </c>
      <c r="BQ2650" t="s">
        <v>109</v>
      </c>
      <c r="BR2650" t="s">
        <v>84</v>
      </c>
      <c r="BS2650" s="3">
        <v>43791</v>
      </c>
      <c r="BT2650" s="5">
        <v>0.30208333333333331</v>
      </c>
      <c r="BU2650" t="s">
        <v>2763</v>
      </c>
      <c r="BV2650" t="s">
        <v>86</v>
      </c>
      <c r="BY2650">
        <v>4294.68</v>
      </c>
      <c r="CA2650" t="s">
        <v>1498</v>
      </c>
      <c r="CC2650" t="s">
        <v>76</v>
      </c>
      <c r="CD2650">
        <v>1600</v>
      </c>
      <c r="CE2650" t="s">
        <v>88</v>
      </c>
      <c r="CF2650" s="3">
        <v>43794</v>
      </c>
      <c r="CI2650">
        <v>1</v>
      </c>
      <c r="CJ2650">
        <v>1</v>
      </c>
      <c r="CK2650">
        <v>22</v>
      </c>
      <c r="CL2650" t="s">
        <v>89</v>
      </c>
    </row>
    <row r="2651" spans="1:90">
      <c r="A2651" t="s">
        <v>72</v>
      </c>
      <c r="B2651" t="s">
        <v>73</v>
      </c>
      <c r="C2651" t="s">
        <v>74</v>
      </c>
      <c r="E2651" t="str">
        <f>"FES1162724537"</f>
        <v>FES1162724537</v>
      </c>
      <c r="F2651" s="3">
        <v>43790</v>
      </c>
      <c r="G2651">
        <v>202005</v>
      </c>
      <c r="H2651" t="s">
        <v>75</v>
      </c>
      <c r="I2651" t="s">
        <v>76</v>
      </c>
      <c r="J2651" t="s">
        <v>77</v>
      </c>
      <c r="K2651" t="s">
        <v>78</v>
      </c>
      <c r="L2651" t="s">
        <v>292</v>
      </c>
      <c r="M2651" t="s">
        <v>293</v>
      </c>
      <c r="N2651" t="s">
        <v>294</v>
      </c>
      <c r="O2651" t="s">
        <v>82</v>
      </c>
      <c r="P2651" t="str">
        <f>"2170718319                    "</f>
        <v xml:space="preserve">2170718319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16.63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0.2</v>
      </c>
      <c r="BJ2651">
        <v>1</v>
      </c>
      <c r="BK2651">
        <v>1</v>
      </c>
      <c r="BL2651" s="4">
        <v>97.75</v>
      </c>
      <c r="BM2651" s="4">
        <v>14.66</v>
      </c>
      <c r="BN2651" s="4">
        <v>112.41</v>
      </c>
      <c r="BO2651" s="4">
        <v>112.41</v>
      </c>
      <c r="BQ2651" t="s">
        <v>121</v>
      </c>
      <c r="BR2651" t="s">
        <v>84</v>
      </c>
      <c r="BS2651" s="3">
        <v>43791</v>
      </c>
      <c r="BT2651" s="5">
        <v>0.3576388888888889</v>
      </c>
      <c r="BU2651" t="s">
        <v>2623</v>
      </c>
      <c r="BV2651" t="s">
        <v>86</v>
      </c>
      <c r="BY2651">
        <v>5010.68</v>
      </c>
      <c r="CC2651" t="s">
        <v>293</v>
      </c>
      <c r="CD2651">
        <v>1947</v>
      </c>
      <c r="CE2651" t="s">
        <v>147</v>
      </c>
      <c r="CF2651" s="3">
        <v>43794</v>
      </c>
      <c r="CI2651">
        <v>1</v>
      </c>
      <c r="CJ2651">
        <v>1</v>
      </c>
      <c r="CK2651">
        <v>23</v>
      </c>
      <c r="CL2651" t="s">
        <v>89</v>
      </c>
    </row>
    <row r="2652" spans="1:90">
      <c r="A2652" t="s">
        <v>72</v>
      </c>
      <c r="B2652" t="s">
        <v>73</v>
      </c>
      <c r="C2652" t="s">
        <v>74</v>
      </c>
      <c r="E2652" t="str">
        <f>"FES1162724497"</f>
        <v>FES1162724497</v>
      </c>
      <c r="F2652" s="3">
        <v>43790</v>
      </c>
      <c r="G2652">
        <v>202005</v>
      </c>
      <c r="H2652" t="s">
        <v>75</v>
      </c>
      <c r="I2652" t="s">
        <v>76</v>
      </c>
      <c r="J2652" t="s">
        <v>77</v>
      </c>
      <c r="K2652" t="s">
        <v>78</v>
      </c>
      <c r="L2652" t="s">
        <v>118</v>
      </c>
      <c r="M2652" t="s">
        <v>119</v>
      </c>
      <c r="N2652" t="s">
        <v>130</v>
      </c>
      <c r="O2652" t="s">
        <v>82</v>
      </c>
      <c r="P2652" t="str">
        <f>"2170748266                    "</f>
        <v xml:space="preserve">2170748266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8.58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0.2</v>
      </c>
      <c r="BJ2652">
        <v>1.8</v>
      </c>
      <c r="BK2652">
        <v>2</v>
      </c>
      <c r="BL2652" s="4">
        <v>50.45</v>
      </c>
      <c r="BM2652" s="4">
        <v>7.57</v>
      </c>
      <c r="BN2652" s="4">
        <v>58.02</v>
      </c>
      <c r="BO2652" s="4">
        <v>58.02</v>
      </c>
      <c r="BQ2652" t="s">
        <v>109</v>
      </c>
      <c r="BR2652" t="s">
        <v>84</v>
      </c>
      <c r="BS2652" s="3">
        <v>43791</v>
      </c>
      <c r="BT2652" s="5">
        <v>0.4375</v>
      </c>
      <c r="BU2652" t="s">
        <v>2764</v>
      </c>
      <c r="BV2652" t="s">
        <v>86</v>
      </c>
      <c r="BY2652">
        <v>8872.5</v>
      </c>
      <c r="CA2652" t="s">
        <v>132</v>
      </c>
      <c r="CC2652" t="s">
        <v>119</v>
      </c>
      <c r="CD2652">
        <v>3201</v>
      </c>
      <c r="CE2652" t="s">
        <v>147</v>
      </c>
      <c r="CF2652" s="3">
        <v>43794</v>
      </c>
      <c r="CI2652">
        <v>1</v>
      </c>
      <c r="CJ2652">
        <v>1</v>
      </c>
      <c r="CK2652">
        <v>21</v>
      </c>
      <c r="CL2652" t="s">
        <v>89</v>
      </c>
    </row>
    <row r="2653" spans="1:90">
      <c r="A2653" t="s">
        <v>72</v>
      </c>
      <c r="B2653" t="s">
        <v>73</v>
      </c>
      <c r="C2653" t="s">
        <v>74</v>
      </c>
      <c r="E2653" t="str">
        <f>"FES1162724445"</f>
        <v>FES1162724445</v>
      </c>
      <c r="F2653" s="3">
        <v>43790</v>
      </c>
      <c r="G2653">
        <v>202005</v>
      </c>
      <c r="H2653" t="s">
        <v>75</v>
      </c>
      <c r="I2653" t="s">
        <v>76</v>
      </c>
      <c r="J2653" t="s">
        <v>77</v>
      </c>
      <c r="K2653" t="s">
        <v>78</v>
      </c>
      <c r="L2653" t="s">
        <v>112</v>
      </c>
      <c r="M2653" t="s">
        <v>113</v>
      </c>
      <c r="N2653" t="s">
        <v>160</v>
      </c>
      <c r="O2653" t="s">
        <v>82</v>
      </c>
      <c r="P2653" t="str">
        <f>"2170718195                    "</f>
        <v xml:space="preserve">2170718195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8.58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1.1000000000000001</v>
      </c>
      <c r="BJ2653">
        <v>1.9</v>
      </c>
      <c r="BK2653">
        <v>2</v>
      </c>
      <c r="BL2653" s="4">
        <v>50.45</v>
      </c>
      <c r="BM2653" s="4">
        <v>7.57</v>
      </c>
      <c r="BN2653" s="4">
        <v>58.02</v>
      </c>
      <c r="BO2653" s="4">
        <v>58.02</v>
      </c>
      <c r="BQ2653" t="s">
        <v>161</v>
      </c>
      <c r="BR2653" t="s">
        <v>84</v>
      </c>
      <c r="BS2653" s="3">
        <v>43791</v>
      </c>
      <c r="BT2653" s="5">
        <v>0.3520833333333333</v>
      </c>
      <c r="BU2653" t="s">
        <v>2719</v>
      </c>
      <c r="BV2653" t="s">
        <v>86</v>
      </c>
      <c r="BY2653">
        <v>9344.16</v>
      </c>
      <c r="CA2653" t="s">
        <v>2490</v>
      </c>
      <c r="CC2653" t="s">
        <v>113</v>
      </c>
      <c r="CD2653">
        <v>4000</v>
      </c>
      <c r="CE2653" t="s">
        <v>147</v>
      </c>
      <c r="CF2653" s="3">
        <v>43794</v>
      </c>
      <c r="CI2653">
        <v>1</v>
      </c>
      <c r="CJ2653">
        <v>1</v>
      </c>
      <c r="CK2653">
        <v>21</v>
      </c>
      <c r="CL2653" t="s">
        <v>89</v>
      </c>
    </row>
    <row r="2654" spans="1:90">
      <c r="A2654" t="s">
        <v>72</v>
      </c>
      <c r="B2654" t="s">
        <v>73</v>
      </c>
      <c r="C2654" t="s">
        <v>74</v>
      </c>
      <c r="E2654" t="str">
        <f>"FES1162724400"</f>
        <v>FES1162724400</v>
      </c>
      <c r="F2654" s="3">
        <v>43790</v>
      </c>
      <c r="G2654">
        <v>202005</v>
      </c>
      <c r="H2654" t="s">
        <v>75</v>
      </c>
      <c r="I2654" t="s">
        <v>76</v>
      </c>
      <c r="J2654" t="s">
        <v>77</v>
      </c>
      <c r="K2654" t="s">
        <v>78</v>
      </c>
      <c r="L2654" t="s">
        <v>106</v>
      </c>
      <c r="M2654" t="s">
        <v>107</v>
      </c>
      <c r="N2654" t="s">
        <v>489</v>
      </c>
      <c r="O2654" t="s">
        <v>82</v>
      </c>
      <c r="P2654" t="str">
        <f>"2170716293                    "</f>
        <v xml:space="preserve">2170716293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17.16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0.7</v>
      </c>
      <c r="BJ2654">
        <v>4</v>
      </c>
      <c r="BK2654">
        <v>4</v>
      </c>
      <c r="BL2654" s="4">
        <v>100.87</v>
      </c>
      <c r="BM2654" s="4">
        <v>15.13</v>
      </c>
      <c r="BN2654" s="4">
        <v>116</v>
      </c>
      <c r="BO2654" s="4">
        <v>116</v>
      </c>
      <c r="BQ2654" t="s">
        <v>121</v>
      </c>
      <c r="BR2654" t="s">
        <v>84</v>
      </c>
      <c r="BS2654" s="3">
        <v>43791</v>
      </c>
      <c r="BT2654" s="5">
        <v>0.33333333333333331</v>
      </c>
      <c r="BU2654" t="s">
        <v>2717</v>
      </c>
      <c r="BV2654" t="s">
        <v>86</v>
      </c>
      <c r="BY2654">
        <v>19902.04</v>
      </c>
      <c r="CA2654" t="s">
        <v>773</v>
      </c>
      <c r="CC2654" t="s">
        <v>107</v>
      </c>
      <c r="CD2654">
        <v>6001</v>
      </c>
      <c r="CE2654" t="s">
        <v>88</v>
      </c>
      <c r="CF2654" s="3">
        <v>43794</v>
      </c>
      <c r="CI2654">
        <v>1</v>
      </c>
      <c r="CJ2654">
        <v>1</v>
      </c>
      <c r="CK2654">
        <v>21</v>
      </c>
      <c r="CL2654" t="s">
        <v>89</v>
      </c>
    </row>
    <row r="2655" spans="1:90">
      <c r="A2655" t="s">
        <v>72</v>
      </c>
      <c r="B2655" t="s">
        <v>73</v>
      </c>
      <c r="C2655" t="s">
        <v>74</v>
      </c>
      <c r="E2655" t="str">
        <f>"FES1162724498"</f>
        <v>FES1162724498</v>
      </c>
      <c r="F2655" s="3">
        <v>43790</v>
      </c>
      <c r="G2655">
        <v>202005</v>
      </c>
      <c r="H2655" t="s">
        <v>75</v>
      </c>
      <c r="I2655" t="s">
        <v>76</v>
      </c>
      <c r="J2655" t="s">
        <v>77</v>
      </c>
      <c r="K2655" t="s">
        <v>78</v>
      </c>
      <c r="L2655" t="s">
        <v>118</v>
      </c>
      <c r="M2655" t="s">
        <v>119</v>
      </c>
      <c r="N2655" t="s">
        <v>130</v>
      </c>
      <c r="O2655" t="s">
        <v>82</v>
      </c>
      <c r="P2655" t="str">
        <f>"21707182167                   "</f>
        <v xml:space="preserve">21707182167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8.58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0.2</v>
      </c>
      <c r="BJ2655">
        <v>0.6</v>
      </c>
      <c r="BK2655">
        <v>1</v>
      </c>
      <c r="BL2655" s="4">
        <v>50.45</v>
      </c>
      <c r="BM2655" s="4">
        <v>7.57</v>
      </c>
      <c r="BN2655" s="4">
        <v>58.02</v>
      </c>
      <c r="BO2655" s="4">
        <v>58.02</v>
      </c>
      <c r="BQ2655" t="s">
        <v>109</v>
      </c>
      <c r="BR2655" t="s">
        <v>84</v>
      </c>
      <c r="BS2655" s="3">
        <v>43791</v>
      </c>
      <c r="BT2655" s="5">
        <v>0.4375</v>
      </c>
      <c r="BU2655" t="s">
        <v>2764</v>
      </c>
      <c r="BV2655" t="s">
        <v>86</v>
      </c>
      <c r="BY2655">
        <v>3123.75</v>
      </c>
      <c r="CA2655" t="s">
        <v>132</v>
      </c>
      <c r="CC2655" t="s">
        <v>119</v>
      </c>
      <c r="CD2655">
        <v>3201</v>
      </c>
      <c r="CE2655" t="s">
        <v>147</v>
      </c>
      <c r="CF2655" s="3">
        <v>43794</v>
      </c>
      <c r="CI2655">
        <v>1</v>
      </c>
      <c r="CJ2655">
        <v>1</v>
      </c>
      <c r="CK2655">
        <v>21</v>
      </c>
      <c r="CL2655" t="s">
        <v>89</v>
      </c>
    </row>
    <row r="2656" spans="1:90">
      <c r="A2656" t="s">
        <v>72</v>
      </c>
      <c r="B2656" t="s">
        <v>73</v>
      </c>
      <c r="C2656" t="s">
        <v>74</v>
      </c>
      <c r="E2656" t="str">
        <f>"FES1162724224"</f>
        <v>FES1162724224</v>
      </c>
      <c r="F2656" s="3">
        <v>43790</v>
      </c>
      <c r="G2656">
        <v>202005</v>
      </c>
      <c r="H2656" t="s">
        <v>75</v>
      </c>
      <c r="I2656" t="s">
        <v>76</v>
      </c>
      <c r="J2656" t="s">
        <v>77</v>
      </c>
      <c r="K2656" t="s">
        <v>78</v>
      </c>
      <c r="L2656" t="s">
        <v>1057</v>
      </c>
      <c r="M2656" t="s">
        <v>1058</v>
      </c>
      <c r="N2656" t="s">
        <v>1059</v>
      </c>
      <c r="O2656" t="s">
        <v>82</v>
      </c>
      <c r="P2656" t="str">
        <f>"2170715730                    "</f>
        <v xml:space="preserve">2170715730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35.409999999999997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4.0999999999999996</v>
      </c>
      <c r="BJ2656">
        <v>2.7</v>
      </c>
      <c r="BK2656">
        <v>4.5</v>
      </c>
      <c r="BL2656" s="4">
        <v>208.13</v>
      </c>
      <c r="BM2656" s="4">
        <v>31.22</v>
      </c>
      <c r="BN2656" s="4">
        <v>239.35</v>
      </c>
      <c r="BO2656" s="4">
        <v>239.35</v>
      </c>
      <c r="BQ2656" t="s">
        <v>121</v>
      </c>
      <c r="BR2656" t="s">
        <v>84</v>
      </c>
      <c r="BS2656" s="3">
        <v>43791</v>
      </c>
      <c r="BT2656" s="5">
        <v>0.58680555555555558</v>
      </c>
      <c r="BU2656" t="s">
        <v>1061</v>
      </c>
      <c r="BV2656" t="s">
        <v>86</v>
      </c>
      <c r="BY2656">
        <v>13331.03</v>
      </c>
      <c r="CC2656" t="s">
        <v>1058</v>
      </c>
      <c r="CD2656">
        <v>6139</v>
      </c>
      <c r="CE2656" t="s">
        <v>88</v>
      </c>
      <c r="CF2656" s="3">
        <v>43796</v>
      </c>
      <c r="CI2656">
        <v>3</v>
      </c>
      <c r="CJ2656">
        <v>1</v>
      </c>
      <c r="CK2656">
        <v>23</v>
      </c>
      <c r="CL2656" t="s">
        <v>89</v>
      </c>
    </row>
    <row r="2657" spans="1:90">
      <c r="A2657" t="s">
        <v>72</v>
      </c>
      <c r="B2657" t="s">
        <v>73</v>
      </c>
      <c r="C2657" t="s">
        <v>74</v>
      </c>
      <c r="E2657" t="str">
        <f>"FES1162724159"</f>
        <v>FES1162724159</v>
      </c>
      <c r="F2657" s="3">
        <v>43790</v>
      </c>
      <c r="G2657">
        <v>202005</v>
      </c>
      <c r="H2657" t="s">
        <v>75</v>
      </c>
      <c r="I2657" t="s">
        <v>76</v>
      </c>
      <c r="J2657" t="s">
        <v>77</v>
      </c>
      <c r="K2657" t="s">
        <v>78</v>
      </c>
      <c r="L2657" t="s">
        <v>691</v>
      </c>
      <c r="M2657" t="s">
        <v>692</v>
      </c>
      <c r="N2657" t="s">
        <v>693</v>
      </c>
      <c r="O2657" t="s">
        <v>82</v>
      </c>
      <c r="P2657" t="str">
        <f>"2170716325                    "</f>
        <v xml:space="preserve">2170716325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12.33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2.1</v>
      </c>
      <c r="BJ2657">
        <v>5.0999999999999996</v>
      </c>
      <c r="BK2657">
        <v>5.5</v>
      </c>
      <c r="BL2657" s="4">
        <v>72.48</v>
      </c>
      <c r="BM2657" s="4">
        <v>10.87</v>
      </c>
      <c r="BN2657" s="4">
        <v>83.35</v>
      </c>
      <c r="BO2657" s="4">
        <v>83.35</v>
      </c>
      <c r="BQ2657" t="s">
        <v>142</v>
      </c>
      <c r="BR2657" t="s">
        <v>84</v>
      </c>
      <c r="BS2657" s="3">
        <v>43791</v>
      </c>
      <c r="BT2657" s="5">
        <v>0.33333333333333331</v>
      </c>
      <c r="BU2657" t="s">
        <v>795</v>
      </c>
      <c r="BV2657" t="s">
        <v>86</v>
      </c>
      <c r="BY2657">
        <v>25488.880000000001</v>
      </c>
      <c r="CC2657" t="s">
        <v>692</v>
      </c>
      <c r="CD2657">
        <v>1559</v>
      </c>
      <c r="CE2657" t="s">
        <v>88</v>
      </c>
      <c r="CF2657" s="3">
        <v>43796</v>
      </c>
      <c r="CI2657">
        <v>1</v>
      </c>
      <c r="CJ2657">
        <v>1</v>
      </c>
      <c r="CK2657">
        <v>22</v>
      </c>
      <c r="CL2657" t="s">
        <v>89</v>
      </c>
    </row>
    <row r="2658" spans="1:90">
      <c r="A2658" t="s">
        <v>72</v>
      </c>
      <c r="B2658" t="s">
        <v>73</v>
      </c>
      <c r="C2658" t="s">
        <v>74</v>
      </c>
      <c r="E2658" t="str">
        <f>"FES1162724188"</f>
        <v>FES1162724188</v>
      </c>
      <c r="F2658" s="3">
        <v>43790</v>
      </c>
      <c r="G2658">
        <v>202005</v>
      </c>
      <c r="H2658" t="s">
        <v>75</v>
      </c>
      <c r="I2658" t="s">
        <v>76</v>
      </c>
      <c r="J2658" t="s">
        <v>77</v>
      </c>
      <c r="K2658" t="s">
        <v>78</v>
      </c>
      <c r="L2658" t="s">
        <v>133</v>
      </c>
      <c r="M2658" t="s">
        <v>134</v>
      </c>
      <c r="N2658" t="s">
        <v>1751</v>
      </c>
      <c r="O2658" t="s">
        <v>82</v>
      </c>
      <c r="P2658" t="str">
        <f>"2170718135                    "</f>
        <v xml:space="preserve">2170718135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42.89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5.7</v>
      </c>
      <c r="BJ2658">
        <v>9.6</v>
      </c>
      <c r="BK2658">
        <v>10</v>
      </c>
      <c r="BL2658" s="4">
        <v>252.12</v>
      </c>
      <c r="BM2658" s="4">
        <v>37.82</v>
      </c>
      <c r="BN2658" s="4">
        <v>289.94</v>
      </c>
      <c r="BO2658" s="4">
        <v>289.94</v>
      </c>
      <c r="BQ2658" t="s">
        <v>121</v>
      </c>
      <c r="BR2658" t="s">
        <v>84</v>
      </c>
      <c r="BS2658" s="3">
        <v>43791</v>
      </c>
      <c r="BT2658" s="5">
        <v>0.35555555555555557</v>
      </c>
      <c r="BU2658" t="s">
        <v>2665</v>
      </c>
      <c r="BV2658" t="s">
        <v>86</v>
      </c>
      <c r="BY2658">
        <v>47750.67</v>
      </c>
      <c r="CA2658" t="s">
        <v>698</v>
      </c>
      <c r="CC2658" t="s">
        <v>134</v>
      </c>
      <c r="CD2658">
        <v>5201</v>
      </c>
      <c r="CE2658" t="s">
        <v>88</v>
      </c>
      <c r="CF2658" s="3">
        <v>43794</v>
      </c>
      <c r="CI2658">
        <v>1</v>
      </c>
      <c r="CJ2658">
        <v>1</v>
      </c>
      <c r="CK2658">
        <v>21</v>
      </c>
      <c r="CL2658" t="s">
        <v>89</v>
      </c>
    </row>
    <row r="2659" spans="1:90">
      <c r="A2659" t="s">
        <v>72</v>
      </c>
      <c r="B2659" t="s">
        <v>73</v>
      </c>
      <c r="C2659" t="s">
        <v>74</v>
      </c>
      <c r="E2659" t="str">
        <f>"009938794963"</f>
        <v>009938794963</v>
      </c>
      <c r="F2659" s="3">
        <v>43790</v>
      </c>
      <c r="G2659">
        <v>202005</v>
      </c>
      <c r="H2659" t="s">
        <v>101</v>
      </c>
      <c r="I2659" t="s">
        <v>102</v>
      </c>
      <c r="J2659" t="s">
        <v>2765</v>
      </c>
      <c r="K2659" t="s">
        <v>78</v>
      </c>
      <c r="L2659" t="s">
        <v>75</v>
      </c>
      <c r="M2659" t="s">
        <v>76</v>
      </c>
      <c r="N2659" t="s">
        <v>211</v>
      </c>
      <c r="O2659" t="s">
        <v>82</v>
      </c>
      <c r="P2659" t="str">
        <f>"NO REF                        "</f>
        <v xml:space="preserve">NO REF    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8.58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0.5</v>
      </c>
      <c r="BK2659">
        <v>1</v>
      </c>
      <c r="BL2659" s="4">
        <v>50.45</v>
      </c>
      <c r="BM2659" s="4">
        <v>7.57</v>
      </c>
      <c r="BN2659" s="4">
        <v>58.02</v>
      </c>
      <c r="BO2659" s="4">
        <v>58.02</v>
      </c>
      <c r="BQ2659" t="s">
        <v>2766</v>
      </c>
      <c r="BR2659" t="s">
        <v>2767</v>
      </c>
      <c r="BS2659" s="3">
        <v>43791</v>
      </c>
      <c r="BT2659" s="5">
        <v>0.33124999999999999</v>
      </c>
      <c r="BU2659" t="s">
        <v>2396</v>
      </c>
      <c r="BV2659" t="s">
        <v>86</v>
      </c>
      <c r="BY2659">
        <v>2400</v>
      </c>
      <c r="BZ2659" t="s">
        <v>27</v>
      </c>
      <c r="CA2659" t="s">
        <v>198</v>
      </c>
      <c r="CC2659" t="s">
        <v>76</v>
      </c>
      <c r="CD2659">
        <v>1600</v>
      </c>
      <c r="CE2659" t="s">
        <v>1011</v>
      </c>
      <c r="CF2659" s="3">
        <v>43794</v>
      </c>
      <c r="CI2659">
        <v>1</v>
      </c>
      <c r="CJ2659">
        <v>1</v>
      </c>
      <c r="CK2659">
        <v>21</v>
      </c>
      <c r="CL2659" t="s">
        <v>89</v>
      </c>
    </row>
    <row r="2660" spans="1:90">
      <c r="A2660" t="s">
        <v>72</v>
      </c>
      <c r="B2660" t="s">
        <v>73</v>
      </c>
      <c r="C2660" t="s">
        <v>74</v>
      </c>
      <c r="E2660" t="str">
        <f>"FES1162721071"</f>
        <v>FES1162721071</v>
      </c>
      <c r="F2660" s="3">
        <v>43773</v>
      </c>
      <c r="G2660">
        <v>202005</v>
      </c>
      <c r="H2660" t="s">
        <v>75</v>
      </c>
      <c r="I2660" t="s">
        <v>76</v>
      </c>
      <c r="J2660" t="s">
        <v>211</v>
      </c>
      <c r="K2660" t="s">
        <v>78</v>
      </c>
      <c r="L2660" t="s">
        <v>566</v>
      </c>
      <c r="M2660" t="s">
        <v>567</v>
      </c>
      <c r="N2660" t="s">
        <v>568</v>
      </c>
      <c r="O2660" t="s">
        <v>756</v>
      </c>
      <c r="P2660" t="str">
        <f>"2170715342                    "</f>
        <v xml:space="preserve">2170715342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12.36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1.3</v>
      </c>
      <c r="BJ2660">
        <v>2.2000000000000002</v>
      </c>
      <c r="BK2660">
        <v>3</v>
      </c>
      <c r="BL2660" s="4">
        <v>71.239999999999995</v>
      </c>
      <c r="BM2660" s="4">
        <v>10.69</v>
      </c>
      <c r="BN2660" s="4">
        <v>81.93</v>
      </c>
      <c r="BO2660" s="4">
        <v>81.93</v>
      </c>
      <c r="BQ2660" t="s">
        <v>121</v>
      </c>
      <c r="BR2660" t="s">
        <v>212</v>
      </c>
      <c r="BS2660" s="3">
        <v>43774</v>
      </c>
      <c r="BT2660" s="5">
        <v>0.25</v>
      </c>
      <c r="BU2660" t="s">
        <v>295</v>
      </c>
      <c r="BV2660" t="s">
        <v>86</v>
      </c>
      <c r="BY2660">
        <v>11109.38</v>
      </c>
      <c r="BZ2660" t="s">
        <v>27</v>
      </c>
      <c r="CC2660" t="s">
        <v>567</v>
      </c>
      <c r="CD2660">
        <v>2410</v>
      </c>
      <c r="CE2660" t="s">
        <v>88</v>
      </c>
      <c r="CF2660" s="3">
        <v>43775</v>
      </c>
      <c r="CI2660">
        <v>1</v>
      </c>
      <c r="CJ2660">
        <v>1</v>
      </c>
      <c r="CK2660">
        <v>34</v>
      </c>
      <c r="CL2660" t="s">
        <v>89</v>
      </c>
    </row>
    <row r="2661" spans="1:90">
      <c r="A2661" t="s">
        <v>72</v>
      </c>
      <c r="B2661" t="s">
        <v>73</v>
      </c>
      <c r="C2661" t="s">
        <v>74</v>
      </c>
      <c r="E2661" t="str">
        <f>"FES1162721056"</f>
        <v>FES1162721056</v>
      </c>
      <c r="F2661" s="3">
        <v>43773</v>
      </c>
      <c r="G2661">
        <v>202005</v>
      </c>
      <c r="H2661" t="s">
        <v>75</v>
      </c>
      <c r="I2661" t="s">
        <v>76</v>
      </c>
      <c r="J2661" t="s">
        <v>211</v>
      </c>
      <c r="K2661" t="s">
        <v>78</v>
      </c>
      <c r="L2661" t="s">
        <v>482</v>
      </c>
      <c r="M2661" t="s">
        <v>483</v>
      </c>
      <c r="N2661" t="s">
        <v>1442</v>
      </c>
      <c r="O2661" t="s">
        <v>756</v>
      </c>
      <c r="P2661" t="str">
        <f>"2170713412                    "</f>
        <v xml:space="preserve">2170713412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16.89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2</v>
      </c>
      <c r="BI2661">
        <v>14.9</v>
      </c>
      <c r="BJ2661">
        <v>16.2</v>
      </c>
      <c r="BK2661">
        <v>17</v>
      </c>
      <c r="BL2661" s="4">
        <v>97.31</v>
      </c>
      <c r="BM2661" s="4">
        <v>14.6</v>
      </c>
      <c r="BN2661" s="4">
        <v>111.91</v>
      </c>
      <c r="BO2661" s="4">
        <v>111.91</v>
      </c>
      <c r="BQ2661" t="s">
        <v>121</v>
      </c>
      <c r="BR2661" t="s">
        <v>212</v>
      </c>
      <c r="BS2661" s="3">
        <v>43774</v>
      </c>
      <c r="BT2661" s="5">
        <v>0.28402777777777777</v>
      </c>
      <c r="BU2661" t="s">
        <v>2768</v>
      </c>
      <c r="BV2661" t="s">
        <v>86</v>
      </c>
      <c r="BY2661">
        <v>80786.399999999994</v>
      </c>
      <c r="BZ2661" t="s">
        <v>27</v>
      </c>
      <c r="CC2661" t="s">
        <v>483</v>
      </c>
      <c r="CD2661">
        <v>1460</v>
      </c>
      <c r="CE2661" t="s">
        <v>88</v>
      </c>
      <c r="CF2661" s="3">
        <v>43775</v>
      </c>
      <c r="CI2661">
        <v>1</v>
      </c>
      <c r="CJ2661">
        <v>1</v>
      </c>
      <c r="CK2661">
        <v>32</v>
      </c>
      <c r="CL2661" t="s">
        <v>89</v>
      </c>
    </row>
    <row r="2662" spans="1:90">
      <c r="A2662" t="s">
        <v>72</v>
      </c>
      <c r="B2662" t="s">
        <v>73</v>
      </c>
      <c r="C2662" t="s">
        <v>74</v>
      </c>
      <c r="E2662" t="str">
        <f>"FES1162724167"</f>
        <v>FES1162724167</v>
      </c>
      <c r="F2662" s="3">
        <v>43790</v>
      </c>
      <c r="G2662">
        <v>202005</v>
      </c>
      <c r="H2662" t="s">
        <v>75</v>
      </c>
      <c r="I2662" t="s">
        <v>76</v>
      </c>
      <c r="J2662" t="s">
        <v>77</v>
      </c>
      <c r="K2662" t="s">
        <v>78</v>
      </c>
      <c r="L2662" t="s">
        <v>431</v>
      </c>
      <c r="M2662" t="s">
        <v>432</v>
      </c>
      <c r="N2662" t="s">
        <v>436</v>
      </c>
      <c r="O2662" t="s">
        <v>282</v>
      </c>
      <c r="P2662" t="str">
        <f>"2170717700                    "</f>
        <v xml:space="preserve">2170717700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12.07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0.2</v>
      </c>
      <c r="BJ2662">
        <v>1.2</v>
      </c>
      <c r="BK2662">
        <v>2</v>
      </c>
      <c r="BL2662" s="4">
        <v>75.95</v>
      </c>
      <c r="BM2662" s="4">
        <v>11.39</v>
      </c>
      <c r="BN2662" s="4">
        <v>87.34</v>
      </c>
      <c r="BO2662" s="4">
        <v>87.34</v>
      </c>
      <c r="BP2662" t="s">
        <v>757</v>
      </c>
      <c r="BQ2662" t="s">
        <v>121</v>
      </c>
      <c r="BR2662" t="s">
        <v>84</v>
      </c>
      <c r="BS2662" s="3">
        <v>43791</v>
      </c>
      <c r="BT2662" s="5">
        <v>0.49861111111111112</v>
      </c>
      <c r="BU2662" t="s">
        <v>1717</v>
      </c>
      <c r="BV2662" t="s">
        <v>86</v>
      </c>
      <c r="BY2662">
        <v>5847.74</v>
      </c>
      <c r="CA2662" t="s">
        <v>435</v>
      </c>
      <c r="CC2662" t="s">
        <v>432</v>
      </c>
      <c r="CD2662">
        <v>3699</v>
      </c>
      <c r="CE2662" t="s">
        <v>88</v>
      </c>
      <c r="CF2662" s="3">
        <v>43794</v>
      </c>
      <c r="CI2662">
        <v>1</v>
      </c>
      <c r="CJ2662">
        <v>1</v>
      </c>
      <c r="CK2662" t="s">
        <v>711</v>
      </c>
      <c r="CL2662" t="s">
        <v>89</v>
      </c>
    </row>
    <row r="2663" spans="1:90">
      <c r="A2663" t="s">
        <v>72</v>
      </c>
      <c r="B2663" t="s">
        <v>73</v>
      </c>
      <c r="C2663" t="s">
        <v>74</v>
      </c>
      <c r="E2663" t="str">
        <f>"009939476015"</f>
        <v>009939476015</v>
      </c>
      <c r="F2663" s="3">
        <v>43790</v>
      </c>
      <c r="G2663">
        <v>202005</v>
      </c>
      <c r="H2663" t="s">
        <v>90</v>
      </c>
      <c r="I2663" t="s">
        <v>91</v>
      </c>
      <c r="J2663" t="s">
        <v>2769</v>
      </c>
      <c r="K2663" t="s">
        <v>78</v>
      </c>
      <c r="L2663" t="s">
        <v>75</v>
      </c>
      <c r="M2663" t="s">
        <v>76</v>
      </c>
      <c r="N2663" t="s">
        <v>211</v>
      </c>
      <c r="O2663" t="s">
        <v>282</v>
      </c>
      <c r="P2663" t="str">
        <f>"NA                            "</f>
        <v xml:space="preserve">NA        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33.369999999999997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13.4</v>
      </c>
      <c r="BJ2663">
        <v>35.4</v>
      </c>
      <c r="BK2663">
        <v>36</v>
      </c>
      <c r="BL2663" s="4">
        <v>201.15</v>
      </c>
      <c r="BM2663" s="4">
        <v>30.17</v>
      </c>
      <c r="BN2663" s="4">
        <v>231.32</v>
      </c>
      <c r="BO2663" s="4">
        <v>231.32</v>
      </c>
      <c r="BQ2663" t="s">
        <v>1011</v>
      </c>
      <c r="BR2663" t="s">
        <v>2770</v>
      </c>
      <c r="BS2663" s="3">
        <v>43794</v>
      </c>
      <c r="BT2663" s="5">
        <v>0.41666666666666669</v>
      </c>
      <c r="BU2663" t="s">
        <v>1016</v>
      </c>
      <c r="BV2663" t="s">
        <v>86</v>
      </c>
      <c r="BY2663">
        <v>176839.08</v>
      </c>
      <c r="CA2663" t="s">
        <v>198</v>
      </c>
      <c r="CC2663" t="s">
        <v>76</v>
      </c>
      <c r="CD2663">
        <v>1600</v>
      </c>
      <c r="CE2663" t="s">
        <v>88</v>
      </c>
      <c r="CF2663" s="3">
        <v>43795</v>
      </c>
      <c r="CI2663">
        <v>2</v>
      </c>
      <c r="CJ2663">
        <v>2</v>
      </c>
      <c r="CK2663" t="s">
        <v>1002</v>
      </c>
      <c r="CL2663" t="s">
        <v>89</v>
      </c>
    </row>
    <row r="2664" spans="1:90">
      <c r="A2664" t="s">
        <v>72</v>
      </c>
      <c r="B2664" t="s">
        <v>73</v>
      </c>
      <c r="C2664" t="s">
        <v>74</v>
      </c>
      <c r="E2664" t="str">
        <f>"FES1162725929"</f>
        <v>FES1162725929</v>
      </c>
      <c r="F2664" s="3">
        <v>43798</v>
      </c>
      <c r="G2664">
        <v>202005</v>
      </c>
      <c r="H2664" t="s">
        <v>75</v>
      </c>
      <c r="I2664" t="s">
        <v>76</v>
      </c>
      <c r="J2664" t="s">
        <v>77</v>
      </c>
      <c r="K2664" t="s">
        <v>78</v>
      </c>
      <c r="L2664" t="s">
        <v>176</v>
      </c>
      <c r="M2664" t="s">
        <v>177</v>
      </c>
      <c r="N2664" t="s">
        <v>600</v>
      </c>
      <c r="O2664" t="s">
        <v>82</v>
      </c>
      <c r="P2664" t="str">
        <f>"2170717696                    "</f>
        <v xml:space="preserve">2170717696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17.16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3.7</v>
      </c>
      <c r="BJ2664">
        <v>2.5</v>
      </c>
      <c r="BK2664">
        <v>4</v>
      </c>
      <c r="BL2664" s="4">
        <v>100.87</v>
      </c>
      <c r="BM2664" s="4">
        <v>15.13</v>
      </c>
      <c r="BN2664" s="4">
        <v>116</v>
      </c>
      <c r="BO2664" s="4">
        <v>116</v>
      </c>
      <c r="BQ2664" t="s">
        <v>109</v>
      </c>
      <c r="BR2664" t="s">
        <v>84</v>
      </c>
      <c r="BS2664" t="s">
        <v>201</v>
      </c>
      <c r="BY2664">
        <v>12537.62</v>
      </c>
      <c r="CC2664" t="s">
        <v>177</v>
      </c>
      <c r="CD2664">
        <v>3610</v>
      </c>
      <c r="CE2664" t="s">
        <v>1598</v>
      </c>
      <c r="CI2664">
        <v>1</v>
      </c>
      <c r="CJ2664" t="s">
        <v>201</v>
      </c>
      <c r="CK2664">
        <v>21</v>
      </c>
      <c r="CL2664" t="s">
        <v>89</v>
      </c>
    </row>
    <row r="2665" spans="1:90">
      <c r="A2665" t="s">
        <v>72</v>
      </c>
      <c r="B2665" t="s">
        <v>73</v>
      </c>
      <c r="C2665" t="s">
        <v>74</v>
      </c>
      <c r="E2665" t="str">
        <f>"FES1162726005"</f>
        <v>FES1162726005</v>
      </c>
      <c r="F2665" s="3">
        <v>43798</v>
      </c>
      <c r="G2665">
        <v>202005</v>
      </c>
      <c r="H2665" t="s">
        <v>75</v>
      </c>
      <c r="I2665" t="s">
        <v>76</v>
      </c>
      <c r="J2665" t="s">
        <v>77</v>
      </c>
      <c r="K2665" t="s">
        <v>78</v>
      </c>
      <c r="L2665" t="s">
        <v>124</v>
      </c>
      <c r="M2665" t="s">
        <v>125</v>
      </c>
      <c r="N2665" t="s">
        <v>218</v>
      </c>
      <c r="O2665" t="s">
        <v>82</v>
      </c>
      <c r="P2665" t="str">
        <f>"2170719271                    "</f>
        <v xml:space="preserve">2170719271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6.71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 s="4">
        <v>39.42</v>
      </c>
      <c r="BM2665" s="4">
        <v>5.91</v>
      </c>
      <c r="BN2665" s="4">
        <v>45.33</v>
      </c>
      <c r="BO2665" s="4">
        <v>45.33</v>
      </c>
      <c r="BQ2665" t="s">
        <v>121</v>
      </c>
      <c r="BR2665" t="s">
        <v>84</v>
      </c>
      <c r="BS2665" t="s">
        <v>201</v>
      </c>
      <c r="BY2665">
        <v>1200</v>
      </c>
      <c r="CC2665" t="s">
        <v>125</v>
      </c>
      <c r="CD2665">
        <v>2094</v>
      </c>
      <c r="CE2665" t="s">
        <v>147</v>
      </c>
      <c r="CI2665">
        <v>1</v>
      </c>
      <c r="CJ2665" t="s">
        <v>201</v>
      </c>
      <c r="CK2665">
        <v>22</v>
      </c>
      <c r="CL2665" t="s">
        <v>89</v>
      </c>
    </row>
    <row r="2666" spans="1:90">
      <c r="A2666" t="s">
        <v>72</v>
      </c>
      <c r="B2666" t="s">
        <v>73</v>
      </c>
      <c r="C2666" t="s">
        <v>74</v>
      </c>
      <c r="E2666" t="str">
        <f>"FES1162725958"</f>
        <v>FES1162725958</v>
      </c>
      <c r="F2666" s="3">
        <v>43798</v>
      </c>
      <c r="G2666">
        <v>202005</v>
      </c>
      <c r="H2666" t="s">
        <v>75</v>
      </c>
      <c r="I2666" t="s">
        <v>76</v>
      </c>
      <c r="J2666" t="s">
        <v>77</v>
      </c>
      <c r="K2666" t="s">
        <v>78</v>
      </c>
      <c r="L2666" t="s">
        <v>192</v>
      </c>
      <c r="M2666" t="s">
        <v>193</v>
      </c>
      <c r="N2666" t="s">
        <v>194</v>
      </c>
      <c r="O2666" t="s">
        <v>82</v>
      </c>
      <c r="P2666" t="str">
        <f>"2170719219                    "</f>
        <v xml:space="preserve">2170719219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35.409999999999997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4.0999999999999996</v>
      </c>
      <c r="BJ2666">
        <v>1.8</v>
      </c>
      <c r="BK2666">
        <v>4.5</v>
      </c>
      <c r="BL2666" s="4">
        <v>208.13</v>
      </c>
      <c r="BM2666" s="4">
        <v>31.22</v>
      </c>
      <c r="BN2666" s="4">
        <v>239.35</v>
      </c>
      <c r="BO2666" s="4">
        <v>239.35</v>
      </c>
      <c r="BQ2666" t="s">
        <v>109</v>
      </c>
      <c r="BR2666" t="s">
        <v>84</v>
      </c>
      <c r="BS2666" t="s">
        <v>201</v>
      </c>
      <c r="BY2666">
        <v>8811.76</v>
      </c>
      <c r="CC2666" t="s">
        <v>193</v>
      </c>
      <c r="CD2666">
        <v>7130</v>
      </c>
      <c r="CE2666" t="s">
        <v>88</v>
      </c>
      <c r="CI2666">
        <v>1</v>
      </c>
      <c r="CJ2666" t="s">
        <v>201</v>
      </c>
      <c r="CK2666">
        <v>23</v>
      </c>
      <c r="CL2666" t="s">
        <v>89</v>
      </c>
    </row>
    <row r="2667" spans="1:90">
      <c r="A2667" t="s">
        <v>72</v>
      </c>
      <c r="B2667" t="s">
        <v>73</v>
      </c>
      <c r="C2667" t="s">
        <v>74</v>
      </c>
      <c r="E2667" t="str">
        <f>"FES1162721097"</f>
        <v>FES1162721097</v>
      </c>
      <c r="F2667" s="3">
        <v>43773</v>
      </c>
      <c r="G2667">
        <v>202005</v>
      </c>
      <c r="H2667" t="s">
        <v>75</v>
      </c>
      <c r="I2667" t="s">
        <v>76</v>
      </c>
      <c r="J2667" t="s">
        <v>211</v>
      </c>
      <c r="K2667" t="s">
        <v>78</v>
      </c>
      <c r="L2667" t="s">
        <v>566</v>
      </c>
      <c r="M2667" t="s">
        <v>567</v>
      </c>
      <c r="N2667" t="s">
        <v>568</v>
      </c>
      <c r="O2667" t="s">
        <v>756</v>
      </c>
      <c r="P2667" t="str">
        <f>"2170715368                    "</f>
        <v xml:space="preserve">2170715368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16.079999999999998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1.2</v>
      </c>
      <c r="BJ2667">
        <v>4.5</v>
      </c>
      <c r="BK2667">
        <v>5</v>
      </c>
      <c r="BL2667" s="4">
        <v>92.63</v>
      </c>
      <c r="BM2667" s="4">
        <v>13.89</v>
      </c>
      <c r="BN2667" s="4">
        <v>106.52</v>
      </c>
      <c r="BO2667" s="4">
        <v>106.52</v>
      </c>
      <c r="BQ2667" t="s">
        <v>121</v>
      </c>
      <c r="BR2667" t="s">
        <v>212</v>
      </c>
      <c r="BS2667" s="3">
        <v>43774</v>
      </c>
      <c r="BT2667" s="5">
        <v>0.25</v>
      </c>
      <c r="BU2667" t="s">
        <v>295</v>
      </c>
      <c r="BV2667" t="s">
        <v>86</v>
      </c>
      <c r="BY2667">
        <v>22477</v>
      </c>
      <c r="BZ2667" t="s">
        <v>27</v>
      </c>
      <c r="CC2667" t="s">
        <v>567</v>
      </c>
      <c r="CD2667">
        <v>2410</v>
      </c>
      <c r="CE2667" t="s">
        <v>88</v>
      </c>
      <c r="CF2667" s="3">
        <v>43775</v>
      </c>
      <c r="CI2667">
        <v>1</v>
      </c>
      <c r="CJ2667">
        <v>1</v>
      </c>
      <c r="CK2667">
        <v>34</v>
      </c>
      <c r="CL2667" t="s">
        <v>89</v>
      </c>
    </row>
    <row r="2668" spans="1:90">
      <c r="A2668" t="s">
        <v>72</v>
      </c>
      <c r="B2668" t="s">
        <v>73</v>
      </c>
      <c r="C2668" t="s">
        <v>74</v>
      </c>
      <c r="E2668" t="str">
        <f>"FES1162721108"</f>
        <v>FES1162721108</v>
      </c>
      <c r="F2668" s="3">
        <v>43773</v>
      </c>
      <c r="G2668">
        <v>202005</v>
      </c>
      <c r="H2668" t="s">
        <v>75</v>
      </c>
      <c r="I2668" t="s">
        <v>76</v>
      </c>
      <c r="J2668" t="s">
        <v>211</v>
      </c>
      <c r="K2668" t="s">
        <v>78</v>
      </c>
      <c r="L2668" t="s">
        <v>214</v>
      </c>
      <c r="M2668" t="s">
        <v>214</v>
      </c>
      <c r="N2668" t="s">
        <v>592</v>
      </c>
      <c r="O2668" t="s">
        <v>82</v>
      </c>
      <c r="P2668" t="str">
        <f>"2170715380                    "</f>
        <v xml:space="preserve">2170715380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40.119999999999997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5</v>
      </c>
      <c r="BJ2668">
        <v>2</v>
      </c>
      <c r="BK2668">
        <v>5</v>
      </c>
      <c r="BL2668" s="4">
        <v>231.16</v>
      </c>
      <c r="BM2668" s="4">
        <v>34.67</v>
      </c>
      <c r="BN2668" s="4">
        <v>265.83</v>
      </c>
      <c r="BO2668" s="4">
        <v>265.83</v>
      </c>
      <c r="BQ2668" t="s">
        <v>121</v>
      </c>
      <c r="BR2668" t="s">
        <v>212</v>
      </c>
      <c r="BS2668" s="3">
        <v>43774</v>
      </c>
      <c r="BT2668" s="5">
        <v>0.51180555555555551</v>
      </c>
      <c r="BU2668" t="s">
        <v>593</v>
      </c>
      <c r="BV2668" t="s">
        <v>86</v>
      </c>
      <c r="BY2668">
        <v>9918</v>
      </c>
      <c r="BZ2668" t="s">
        <v>27</v>
      </c>
      <c r="CA2668" t="s">
        <v>217</v>
      </c>
      <c r="CC2668" t="s">
        <v>214</v>
      </c>
      <c r="CD2668">
        <v>7646</v>
      </c>
      <c r="CE2668" t="s">
        <v>88</v>
      </c>
      <c r="CF2668" s="3">
        <v>43775</v>
      </c>
      <c r="CI2668">
        <v>0</v>
      </c>
      <c r="CJ2668">
        <v>0</v>
      </c>
      <c r="CK2668">
        <v>23</v>
      </c>
      <c r="CL2668" t="s">
        <v>89</v>
      </c>
    </row>
    <row r="2669" spans="1:90">
      <c r="A2669" t="s">
        <v>72</v>
      </c>
      <c r="B2669" t="s">
        <v>73</v>
      </c>
      <c r="C2669" t="s">
        <v>74</v>
      </c>
      <c r="E2669" t="str">
        <f>"FES1162721545"</f>
        <v>FES1162721545</v>
      </c>
      <c r="F2669" s="3">
        <v>43775</v>
      </c>
      <c r="G2669">
        <v>202005</v>
      </c>
      <c r="H2669" t="s">
        <v>75</v>
      </c>
      <c r="I2669" t="s">
        <v>76</v>
      </c>
      <c r="J2669" t="s">
        <v>211</v>
      </c>
      <c r="K2669" t="s">
        <v>78</v>
      </c>
      <c r="L2669" t="s">
        <v>546</v>
      </c>
      <c r="M2669" t="s">
        <v>547</v>
      </c>
      <c r="N2669" t="s">
        <v>979</v>
      </c>
      <c r="O2669" t="s">
        <v>756</v>
      </c>
      <c r="P2669" t="str">
        <f>"2170715731                    "</f>
        <v xml:space="preserve">2170715731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16.489999999999998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7.4</v>
      </c>
      <c r="BJ2669">
        <v>16.600000000000001</v>
      </c>
      <c r="BK2669">
        <v>17</v>
      </c>
      <c r="BL2669" s="4">
        <v>96.91</v>
      </c>
      <c r="BM2669" s="4">
        <v>14.54</v>
      </c>
      <c r="BN2669" s="4">
        <v>111.45</v>
      </c>
      <c r="BO2669" s="4">
        <v>111.45</v>
      </c>
      <c r="BQ2669" t="s">
        <v>121</v>
      </c>
      <c r="BR2669" t="s">
        <v>212</v>
      </c>
      <c r="BS2669" s="3">
        <v>43776</v>
      </c>
      <c r="BT2669" s="5">
        <v>0.34375</v>
      </c>
      <c r="BU2669" t="s">
        <v>1182</v>
      </c>
      <c r="BV2669" t="s">
        <v>86</v>
      </c>
      <c r="BY2669">
        <v>83029.990000000005</v>
      </c>
      <c r="BZ2669" t="s">
        <v>27</v>
      </c>
      <c r="CA2669" t="s">
        <v>1097</v>
      </c>
      <c r="CC2669" t="s">
        <v>547</v>
      </c>
      <c r="CD2669">
        <v>1709</v>
      </c>
      <c r="CE2669" t="s">
        <v>88</v>
      </c>
      <c r="CF2669" s="3">
        <v>43777</v>
      </c>
      <c r="CI2669">
        <v>1</v>
      </c>
      <c r="CJ2669">
        <v>1</v>
      </c>
      <c r="CK2669">
        <v>32</v>
      </c>
      <c r="CL2669" t="s">
        <v>89</v>
      </c>
    </row>
    <row r="2670" spans="1:90">
      <c r="A2670" t="s">
        <v>72</v>
      </c>
      <c r="B2670" t="s">
        <v>73</v>
      </c>
      <c r="C2670" t="s">
        <v>74</v>
      </c>
      <c r="E2670" t="str">
        <f>"RFES1162723922"</f>
        <v>RFES1162723922</v>
      </c>
      <c r="F2670" s="3">
        <v>43791</v>
      </c>
      <c r="G2670">
        <v>202005</v>
      </c>
      <c r="H2670" t="s">
        <v>1680</v>
      </c>
      <c r="I2670" t="s">
        <v>1681</v>
      </c>
      <c r="J2670" t="s">
        <v>369</v>
      </c>
      <c r="K2670" t="s">
        <v>78</v>
      </c>
      <c r="L2670" t="s">
        <v>75</v>
      </c>
      <c r="M2670" t="s">
        <v>76</v>
      </c>
      <c r="N2670" t="s">
        <v>77</v>
      </c>
      <c r="O2670" t="s">
        <v>82</v>
      </c>
      <c r="P2670" t="str">
        <f>"2170716673                    "</f>
        <v xml:space="preserve">2170716673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16.63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 s="4">
        <v>97.75</v>
      </c>
      <c r="BM2670" s="4">
        <v>14.66</v>
      </c>
      <c r="BN2670" s="4">
        <v>112.41</v>
      </c>
      <c r="BO2670" s="4">
        <v>112.41</v>
      </c>
      <c r="BQ2670" t="s">
        <v>84</v>
      </c>
      <c r="BR2670" t="s">
        <v>246</v>
      </c>
      <c r="BS2670" s="3">
        <v>43794</v>
      </c>
      <c r="BT2670" s="5">
        <v>0.41666666666666669</v>
      </c>
      <c r="BU2670" t="s">
        <v>2771</v>
      </c>
      <c r="BV2670" t="s">
        <v>86</v>
      </c>
      <c r="BY2670">
        <v>1200</v>
      </c>
      <c r="CA2670" t="s">
        <v>198</v>
      </c>
      <c r="CC2670" t="s">
        <v>76</v>
      </c>
      <c r="CD2670">
        <v>1601</v>
      </c>
      <c r="CE2670" t="s">
        <v>147</v>
      </c>
      <c r="CF2670" s="3">
        <v>43795</v>
      </c>
      <c r="CI2670">
        <v>1</v>
      </c>
      <c r="CJ2670">
        <v>1</v>
      </c>
      <c r="CK2670">
        <v>23</v>
      </c>
      <c r="CL2670" t="s">
        <v>89</v>
      </c>
    </row>
    <row r="2671" spans="1:90">
      <c r="A2671" t="s">
        <v>72</v>
      </c>
      <c r="B2671" t="s">
        <v>73</v>
      </c>
      <c r="C2671" t="s">
        <v>74</v>
      </c>
      <c r="E2671" t="str">
        <f>"FES1162724718"</f>
        <v>FES1162724718</v>
      </c>
      <c r="F2671" s="3">
        <v>43791</v>
      </c>
      <c r="G2671">
        <v>202005</v>
      </c>
      <c r="H2671" t="s">
        <v>75</v>
      </c>
      <c r="I2671" t="s">
        <v>76</v>
      </c>
      <c r="J2671" t="s">
        <v>77</v>
      </c>
      <c r="K2671" t="s">
        <v>78</v>
      </c>
      <c r="L2671" t="s">
        <v>344</v>
      </c>
      <c r="M2671" t="s">
        <v>345</v>
      </c>
      <c r="N2671" t="s">
        <v>550</v>
      </c>
      <c r="O2671" t="s">
        <v>82</v>
      </c>
      <c r="P2671" t="str">
        <f>"2170718128                    "</f>
        <v xml:space="preserve">2170718128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6.71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 s="4">
        <v>39.42</v>
      </c>
      <c r="BM2671" s="4">
        <v>5.91</v>
      </c>
      <c r="BN2671" s="4">
        <v>45.33</v>
      </c>
      <c r="BO2671" s="4">
        <v>45.33</v>
      </c>
      <c r="BQ2671" t="s">
        <v>109</v>
      </c>
      <c r="BR2671" t="s">
        <v>84</v>
      </c>
      <c r="BS2671" s="3">
        <v>43794</v>
      </c>
      <c r="BT2671" s="5">
        <v>0.36874999999999997</v>
      </c>
      <c r="BU2671" t="s">
        <v>551</v>
      </c>
      <c r="BV2671" t="s">
        <v>86</v>
      </c>
      <c r="BY2671">
        <v>1200</v>
      </c>
      <c r="CC2671" t="s">
        <v>345</v>
      </c>
      <c r="CD2671">
        <v>2163</v>
      </c>
      <c r="CE2671" t="s">
        <v>147</v>
      </c>
      <c r="CF2671" s="3">
        <v>43795</v>
      </c>
      <c r="CI2671">
        <v>1</v>
      </c>
      <c r="CJ2671">
        <v>1</v>
      </c>
      <c r="CK2671">
        <v>22</v>
      </c>
      <c r="CL2671" t="s">
        <v>89</v>
      </c>
    </row>
    <row r="2672" spans="1:90">
      <c r="A2672" t="s">
        <v>72</v>
      </c>
      <c r="B2672" t="s">
        <v>73</v>
      </c>
      <c r="C2672" t="s">
        <v>74</v>
      </c>
      <c r="E2672" t="str">
        <f>"FES1162724237"</f>
        <v>FES1162724237</v>
      </c>
      <c r="F2672" s="3">
        <v>43791</v>
      </c>
      <c r="G2672">
        <v>202005</v>
      </c>
      <c r="H2672" t="s">
        <v>75</v>
      </c>
      <c r="I2672" t="s">
        <v>76</v>
      </c>
      <c r="J2672" t="s">
        <v>77</v>
      </c>
      <c r="K2672" t="s">
        <v>78</v>
      </c>
      <c r="L2672" t="s">
        <v>176</v>
      </c>
      <c r="M2672" t="s">
        <v>177</v>
      </c>
      <c r="N2672" t="s">
        <v>1090</v>
      </c>
      <c r="O2672" t="s">
        <v>82</v>
      </c>
      <c r="P2672" t="str">
        <f>"2170715892                    "</f>
        <v xml:space="preserve">2170715892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8.58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0.6</v>
      </c>
      <c r="BJ2672">
        <v>1.3</v>
      </c>
      <c r="BK2672">
        <v>1.5</v>
      </c>
      <c r="BL2672" s="4">
        <v>50.45</v>
      </c>
      <c r="BM2672" s="4">
        <v>7.57</v>
      </c>
      <c r="BN2672" s="4">
        <v>58.02</v>
      </c>
      <c r="BO2672" s="4">
        <v>58.02</v>
      </c>
      <c r="BQ2672" t="s">
        <v>121</v>
      </c>
      <c r="BR2672" t="s">
        <v>84</v>
      </c>
      <c r="BS2672" s="3">
        <v>43795</v>
      </c>
      <c r="BT2672" s="5">
        <v>0.41666666666666669</v>
      </c>
      <c r="BU2672" t="s">
        <v>2772</v>
      </c>
      <c r="BV2672" t="s">
        <v>89</v>
      </c>
      <c r="BW2672" t="s">
        <v>144</v>
      </c>
      <c r="BX2672" t="s">
        <v>1505</v>
      </c>
      <c r="BY2672">
        <v>6553.32</v>
      </c>
      <c r="CC2672" t="s">
        <v>177</v>
      </c>
      <c r="CD2672">
        <v>3610</v>
      </c>
      <c r="CE2672" t="s">
        <v>88</v>
      </c>
      <c r="CF2672" s="3">
        <v>43797</v>
      </c>
      <c r="CI2672">
        <v>1</v>
      </c>
      <c r="CJ2672">
        <v>2</v>
      </c>
      <c r="CK2672">
        <v>21</v>
      </c>
      <c r="CL2672" t="s">
        <v>89</v>
      </c>
    </row>
    <row r="2673" spans="1:90">
      <c r="A2673" t="s">
        <v>72</v>
      </c>
      <c r="B2673" t="s">
        <v>73</v>
      </c>
      <c r="C2673" t="s">
        <v>74</v>
      </c>
      <c r="E2673" t="str">
        <f>"FES1162724756"</f>
        <v>FES1162724756</v>
      </c>
      <c r="F2673" s="3">
        <v>43791</v>
      </c>
      <c r="G2673">
        <v>202005</v>
      </c>
      <c r="H2673" t="s">
        <v>75</v>
      </c>
      <c r="I2673" t="s">
        <v>76</v>
      </c>
      <c r="J2673" t="s">
        <v>77</v>
      </c>
      <c r="K2673" t="s">
        <v>78</v>
      </c>
      <c r="L2673" t="s">
        <v>106</v>
      </c>
      <c r="M2673" t="s">
        <v>107</v>
      </c>
      <c r="N2673" t="s">
        <v>150</v>
      </c>
      <c r="O2673" t="s">
        <v>82</v>
      </c>
      <c r="P2673" t="str">
        <f>"217071854                     "</f>
        <v xml:space="preserve">217071854 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8.58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 s="4">
        <v>50.45</v>
      </c>
      <c r="BM2673" s="4">
        <v>7.57</v>
      </c>
      <c r="BN2673" s="4">
        <v>58.02</v>
      </c>
      <c r="BO2673" s="4">
        <v>58.02</v>
      </c>
      <c r="BQ2673" t="s">
        <v>109</v>
      </c>
      <c r="BR2673" t="s">
        <v>84</v>
      </c>
      <c r="BS2673" s="3">
        <v>43794</v>
      </c>
      <c r="BT2673" s="5">
        <v>0.4236111111111111</v>
      </c>
      <c r="BU2673" t="s">
        <v>2773</v>
      </c>
      <c r="BV2673" t="s">
        <v>86</v>
      </c>
      <c r="BY2673">
        <v>1200</v>
      </c>
      <c r="CA2673" t="s">
        <v>2415</v>
      </c>
      <c r="CC2673" t="s">
        <v>107</v>
      </c>
      <c r="CD2673">
        <v>6001</v>
      </c>
      <c r="CE2673" t="s">
        <v>147</v>
      </c>
      <c r="CF2673" s="3">
        <v>43795</v>
      </c>
      <c r="CI2673">
        <v>1</v>
      </c>
      <c r="CJ2673">
        <v>1</v>
      </c>
      <c r="CK2673">
        <v>21</v>
      </c>
      <c r="CL2673" t="s">
        <v>89</v>
      </c>
    </row>
    <row r="2674" spans="1:90">
      <c r="A2674" t="s">
        <v>72</v>
      </c>
      <c r="B2674" t="s">
        <v>73</v>
      </c>
      <c r="C2674" t="s">
        <v>74</v>
      </c>
      <c r="E2674" t="str">
        <f>"FES1162724656"</f>
        <v>FES1162724656</v>
      </c>
      <c r="F2674" s="3">
        <v>43791</v>
      </c>
      <c r="G2674">
        <v>202005</v>
      </c>
      <c r="H2674" t="s">
        <v>75</v>
      </c>
      <c r="I2674" t="s">
        <v>76</v>
      </c>
      <c r="J2674" t="s">
        <v>77</v>
      </c>
      <c r="K2674" t="s">
        <v>78</v>
      </c>
      <c r="L2674" t="s">
        <v>90</v>
      </c>
      <c r="M2674" t="s">
        <v>91</v>
      </c>
      <c r="N2674" t="s">
        <v>393</v>
      </c>
      <c r="O2674" t="s">
        <v>82</v>
      </c>
      <c r="P2674" t="str">
        <f>"2170718443                    "</f>
        <v xml:space="preserve">2170718443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8.58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1.3</v>
      </c>
      <c r="BJ2674">
        <v>2</v>
      </c>
      <c r="BK2674">
        <v>2</v>
      </c>
      <c r="BL2674" s="4">
        <v>50.45</v>
      </c>
      <c r="BM2674" s="4">
        <v>7.57</v>
      </c>
      <c r="BN2674" s="4">
        <v>58.02</v>
      </c>
      <c r="BO2674" s="4">
        <v>58.02</v>
      </c>
      <c r="BQ2674" t="s">
        <v>2774</v>
      </c>
      <c r="BR2674" t="s">
        <v>84</v>
      </c>
      <c r="BS2674" s="3">
        <v>43794</v>
      </c>
      <c r="BT2674" s="5">
        <v>0.28472222222222221</v>
      </c>
      <c r="BU2674" t="s">
        <v>2033</v>
      </c>
      <c r="BV2674" t="s">
        <v>86</v>
      </c>
      <c r="BY2674">
        <v>9834.98</v>
      </c>
      <c r="CA2674" t="s">
        <v>221</v>
      </c>
      <c r="CC2674" t="s">
        <v>91</v>
      </c>
      <c r="CD2674">
        <v>7405</v>
      </c>
      <c r="CE2674" t="s">
        <v>88</v>
      </c>
      <c r="CF2674" s="3">
        <v>43795</v>
      </c>
      <c r="CI2674">
        <v>1</v>
      </c>
      <c r="CJ2674">
        <v>1</v>
      </c>
      <c r="CK2674">
        <v>21</v>
      </c>
      <c r="CL2674" t="s">
        <v>89</v>
      </c>
    </row>
    <row r="2675" spans="1:90">
      <c r="A2675" t="s">
        <v>72</v>
      </c>
      <c r="B2675" t="s">
        <v>73</v>
      </c>
      <c r="C2675" t="s">
        <v>74</v>
      </c>
      <c r="E2675" t="str">
        <f>"FES1162724640"</f>
        <v>FES1162724640</v>
      </c>
      <c r="F2675" s="3">
        <v>43791</v>
      </c>
      <c r="G2675">
        <v>202005</v>
      </c>
      <c r="H2675" t="s">
        <v>75</v>
      </c>
      <c r="I2675" t="s">
        <v>76</v>
      </c>
      <c r="J2675" t="s">
        <v>77</v>
      </c>
      <c r="K2675" t="s">
        <v>78</v>
      </c>
      <c r="L2675" t="s">
        <v>90</v>
      </c>
      <c r="M2675" t="s">
        <v>91</v>
      </c>
      <c r="N2675" t="s">
        <v>2775</v>
      </c>
      <c r="O2675" t="s">
        <v>82</v>
      </c>
      <c r="P2675" t="str">
        <f>"2170718336                    "</f>
        <v xml:space="preserve">2170718336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8.58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1.1000000000000001</v>
      </c>
      <c r="BJ2675">
        <v>0.7</v>
      </c>
      <c r="BK2675">
        <v>1.5</v>
      </c>
      <c r="BL2675" s="4">
        <v>50.45</v>
      </c>
      <c r="BM2675" s="4">
        <v>7.57</v>
      </c>
      <c r="BN2675" s="4">
        <v>58.02</v>
      </c>
      <c r="BO2675" s="4">
        <v>58.02</v>
      </c>
      <c r="BQ2675" t="s">
        <v>109</v>
      </c>
      <c r="BR2675" t="s">
        <v>84</v>
      </c>
      <c r="BS2675" s="3">
        <v>43794</v>
      </c>
      <c r="BT2675" s="5">
        <v>0.37638888888888888</v>
      </c>
      <c r="BU2675" t="s">
        <v>2776</v>
      </c>
      <c r="BV2675" t="s">
        <v>86</v>
      </c>
      <c r="BY2675">
        <v>3726.18</v>
      </c>
      <c r="CA2675" t="s">
        <v>2777</v>
      </c>
      <c r="CC2675" t="s">
        <v>91</v>
      </c>
      <c r="CD2675">
        <v>7550</v>
      </c>
      <c r="CE2675" t="s">
        <v>88</v>
      </c>
      <c r="CF2675" s="3">
        <v>43795</v>
      </c>
      <c r="CI2675">
        <v>1</v>
      </c>
      <c r="CJ2675">
        <v>1</v>
      </c>
      <c r="CK2675">
        <v>21</v>
      </c>
      <c r="CL2675" t="s">
        <v>89</v>
      </c>
    </row>
    <row r="2676" spans="1:90">
      <c r="A2676" t="s">
        <v>72</v>
      </c>
      <c r="B2676" t="s">
        <v>73</v>
      </c>
      <c r="C2676" t="s">
        <v>74</v>
      </c>
      <c r="E2676" t="str">
        <f>"FES1162724619"</f>
        <v>FES1162724619</v>
      </c>
      <c r="F2676" s="3">
        <v>43791</v>
      </c>
      <c r="G2676">
        <v>202005</v>
      </c>
      <c r="H2676" t="s">
        <v>75</v>
      </c>
      <c r="I2676" t="s">
        <v>76</v>
      </c>
      <c r="J2676" t="s">
        <v>77</v>
      </c>
      <c r="K2676" t="s">
        <v>78</v>
      </c>
      <c r="L2676" t="s">
        <v>214</v>
      </c>
      <c r="M2676" t="s">
        <v>214</v>
      </c>
      <c r="N2676" t="s">
        <v>1572</v>
      </c>
      <c r="O2676" t="s">
        <v>82</v>
      </c>
      <c r="P2676" t="str">
        <f>"2170718403                    "</f>
        <v xml:space="preserve">2170718403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16.63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2</v>
      </c>
      <c r="BJ2676">
        <v>0.9</v>
      </c>
      <c r="BK2676">
        <v>2</v>
      </c>
      <c r="BL2676" s="4">
        <v>97.75</v>
      </c>
      <c r="BM2676" s="4">
        <v>14.66</v>
      </c>
      <c r="BN2676" s="4">
        <v>112.41</v>
      </c>
      <c r="BO2676" s="4">
        <v>112.41</v>
      </c>
      <c r="BQ2676" t="s">
        <v>121</v>
      </c>
      <c r="BR2676" t="s">
        <v>84</v>
      </c>
      <c r="BS2676" s="3">
        <v>43794</v>
      </c>
      <c r="BT2676" s="5">
        <v>0.38611111111111113</v>
      </c>
      <c r="BU2676" t="s">
        <v>2778</v>
      </c>
      <c r="BV2676" t="s">
        <v>86</v>
      </c>
      <c r="BY2676">
        <v>4468.99</v>
      </c>
      <c r="CA2676" t="s">
        <v>217</v>
      </c>
      <c r="CC2676" t="s">
        <v>214</v>
      </c>
      <c r="CD2676">
        <v>7646</v>
      </c>
      <c r="CE2676" t="s">
        <v>88</v>
      </c>
      <c r="CF2676" s="3">
        <v>43795</v>
      </c>
      <c r="CI2676">
        <v>1</v>
      </c>
      <c r="CJ2676">
        <v>1</v>
      </c>
      <c r="CK2676">
        <v>23</v>
      </c>
      <c r="CL2676" t="s">
        <v>89</v>
      </c>
    </row>
    <row r="2677" spans="1:90">
      <c r="A2677" t="s">
        <v>72</v>
      </c>
      <c r="B2677" t="s">
        <v>73</v>
      </c>
      <c r="C2677" t="s">
        <v>74</v>
      </c>
      <c r="E2677" t="str">
        <f>"FES1162724739"</f>
        <v>FES1162724739</v>
      </c>
      <c r="F2677" s="3">
        <v>43791</v>
      </c>
      <c r="G2677">
        <v>202005</v>
      </c>
      <c r="H2677" t="s">
        <v>75</v>
      </c>
      <c r="I2677" t="s">
        <v>76</v>
      </c>
      <c r="J2677" t="s">
        <v>77</v>
      </c>
      <c r="K2677" t="s">
        <v>78</v>
      </c>
      <c r="L2677" t="s">
        <v>184</v>
      </c>
      <c r="M2677" t="s">
        <v>185</v>
      </c>
      <c r="N2677" t="s">
        <v>2779</v>
      </c>
      <c r="O2677" t="s">
        <v>82</v>
      </c>
      <c r="P2677" t="str">
        <f>"2170718532                    "</f>
        <v xml:space="preserve">2170718532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6.71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2</v>
      </c>
      <c r="BJ2677">
        <v>1.1000000000000001</v>
      </c>
      <c r="BK2677">
        <v>2</v>
      </c>
      <c r="BL2677" s="4">
        <v>39.42</v>
      </c>
      <c r="BM2677" s="4">
        <v>5.91</v>
      </c>
      <c r="BN2677" s="4">
        <v>45.33</v>
      </c>
      <c r="BO2677" s="4">
        <v>45.33</v>
      </c>
      <c r="BQ2677" t="s">
        <v>121</v>
      </c>
      <c r="BR2677" t="s">
        <v>84</v>
      </c>
      <c r="BS2677" s="3">
        <v>43794</v>
      </c>
      <c r="BT2677" s="5">
        <v>0.41666666666666669</v>
      </c>
      <c r="BU2677" t="s">
        <v>740</v>
      </c>
      <c r="BV2677" t="s">
        <v>86</v>
      </c>
      <c r="BY2677">
        <v>5320</v>
      </c>
      <c r="CA2677" t="s">
        <v>1316</v>
      </c>
      <c r="CC2677" t="s">
        <v>185</v>
      </c>
      <c r="CD2677">
        <v>1500</v>
      </c>
      <c r="CE2677" t="s">
        <v>88</v>
      </c>
      <c r="CF2677" s="3">
        <v>43795</v>
      </c>
      <c r="CI2677">
        <v>1</v>
      </c>
      <c r="CJ2677">
        <v>1</v>
      </c>
      <c r="CK2677">
        <v>22</v>
      </c>
      <c r="CL2677" t="s">
        <v>89</v>
      </c>
    </row>
    <row r="2678" spans="1:90">
      <c r="A2678" t="s">
        <v>72</v>
      </c>
      <c r="B2678" t="s">
        <v>73</v>
      </c>
      <c r="C2678" t="s">
        <v>74</v>
      </c>
      <c r="E2678" t="str">
        <f>"FES1162724755"</f>
        <v>FES1162724755</v>
      </c>
      <c r="F2678" s="3">
        <v>43791</v>
      </c>
      <c r="G2678">
        <v>202005</v>
      </c>
      <c r="H2678" t="s">
        <v>75</v>
      </c>
      <c r="I2678" t="s">
        <v>76</v>
      </c>
      <c r="J2678" t="s">
        <v>77</v>
      </c>
      <c r="K2678" t="s">
        <v>78</v>
      </c>
      <c r="L2678" t="s">
        <v>124</v>
      </c>
      <c r="M2678" t="s">
        <v>125</v>
      </c>
      <c r="N2678" t="s">
        <v>218</v>
      </c>
      <c r="O2678" t="s">
        <v>82</v>
      </c>
      <c r="P2678" t="str">
        <f>"2170718546                    "</f>
        <v xml:space="preserve">2170718546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6.71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 s="4">
        <v>39.42</v>
      </c>
      <c r="BM2678" s="4">
        <v>5.91</v>
      </c>
      <c r="BN2678" s="4">
        <v>45.33</v>
      </c>
      <c r="BO2678" s="4">
        <v>45.33</v>
      </c>
      <c r="BQ2678" t="s">
        <v>121</v>
      </c>
      <c r="BR2678" t="s">
        <v>84</v>
      </c>
      <c r="BS2678" s="3">
        <v>43794</v>
      </c>
      <c r="BT2678" s="5">
        <v>0.39444444444444443</v>
      </c>
      <c r="BU2678" t="s">
        <v>476</v>
      </c>
      <c r="BV2678" t="s">
        <v>86</v>
      </c>
      <c r="BY2678">
        <v>1200</v>
      </c>
      <c r="CA2678" t="s">
        <v>415</v>
      </c>
      <c r="CC2678" t="s">
        <v>125</v>
      </c>
      <c r="CD2678">
        <v>2094</v>
      </c>
      <c r="CE2678" t="s">
        <v>147</v>
      </c>
      <c r="CF2678" s="3">
        <v>43795</v>
      </c>
      <c r="CI2678">
        <v>1</v>
      </c>
      <c r="CJ2678">
        <v>1</v>
      </c>
      <c r="CK2678">
        <v>22</v>
      </c>
      <c r="CL2678" t="s">
        <v>89</v>
      </c>
    </row>
    <row r="2679" spans="1:90">
      <c r="A2679" t="s">
        <v>72</v>
      </c>
      <c r="B2679" t="s">
        <v>73</v>
      </c>
      <c r="C2679" t="s">
        <v>74</v>
      </c>
      <c r="E2679" t="str">
        <f>"FES1162724719"</f>
        <v>FES1162724719</v>
      </c>
      <c r="F2679" s="3">
        <v>43791</v>
      </c>
      <c r="G2679">
        <v>202005</v>
      </c>
      <c r="H2679" t="s">
        <v>75</v>
      </c>
      <c r="I2679" t="s">
        <v>76</v>
      </c>
      <c r="J2679" t="s">
        <v>77</v>
      </c>
      <c r="K2679" t="s">
        <v>78</v>
      </c>
      <c r="L2679" t="s">
        <v>90</v>
      </c>
      <c r="M2679" t="s">
        <v>91</v>
      </c>
      <c r="N2679" t="s">
        <v>576</v>
      </c>
      <c r="O2679" t="s">
        <v>82</v>
      </c>
      <c r="P2679" t="str">
        <f>"2170718233                    "</f>
        <v xml:space="preserve">2170718233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8.58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 s="4">
        <v>50.45</v>
      </c>
      <c r="BM2679" s="4">
        <v>7.57</v>
      </c>
      <c r="BN2679" s="4">
        <v>58.02</v>
      </c>
      <c r="BO2679" s="4">
        <v>58.02</v>
      </c>
      <c r="BQ2679" t="s">
        <v>109</v>
      </c>
      <c r="BR2679" t="s">
        <v>84</v>
      </c>
      <c r="BS2679" s="3">
        <v>43794</v>
      </c>
      <c r="BT2679" s="5">
        <v>0.32916666666666666</v>
      </c>
      <c r="BU2679" t="s">
        <v>2081</v>
      </c>
      <c r="BV2679" t="s">
        <v>86</v>
      </c>
      <c r="BY2679">
        <v>1200</v>
      </c>
      <c r="CA2679" t="s">
        <v>213</v>
      </c>
      <c r="CC2679" t="s">
        <v>91</v>
      </c>
      <c r="CD2679">
        <v>7441</v>
      </c>
      <c r="CE2679" t="s">
        <v>147</v>
      </c>
      <c r="CF2679" s="3">
        <v>43795</v>
      </c>
      <c r="CI2679">
        <v>1</v>
      </c>
      <c r="CJ2679">
        <v>1</v>
      </c>
      <c r="CK2679">
        <v>21</v>
      </c>
      <c r="CL2679" t="s">
        <v>89</v>
      </c>
    </row>
    <row r="2680" spans="1:90">
      <c r="A2680" t="s">
        <v>72</v>
      </c>
      <c r="B2680" t="s">
        <v>73</v>
      </c>
      <c r="C2680" t="s">
        <v>74</v>
      </c>
      <c r="E2680" t="str">
        <f>"FES1162724706"</f>
        <v>FES1162724706</v>
      </c>
      <c r="F2680" s="3">
        <v>43791</v>
      </c>
      <c r="G2680">
        <v>202005</v>
      </c>
      <c r="H2680" t="s">
        <v>75</v>
      </c>
      <c r="I2680" t="s">
        <v>76</v>
      </c>
      <c r="J2680" t="s">
        <v>77</v>
      </c>
      <c r="K2680" t="s">
        <v>78</v>
      </c>
      <c r="L2680" t="s">
        <v>106</v>
      </c>
      <c r="M2680" t="s">
        <v>107</v>
      </c>
      <c r="N2680" t="s">
        <v>150</v>
      </c>
      <c r="O2680" t="s">
        <v>82</v>
      </c>
      <c r="P2680" t="str">
        <f>"2170718497                    "</f>
        <v xml:space="preserve">2170718497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8.58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 s="4">
        <v>50.45</v>
      </c>
      <c r="BM2680" s="4">
        <v>7.57</v>
      </c>
      <c r="BN2680" s="4">
        <v>58.02</v>
      </c>
      <c r="BO2680" s="4">
        <v>58.02</v>
      </c>
      <c r="BQ2680" t="s">
        <v>109</v>
      </c>
      <c r="BR2680" t="s">
        <v>84</v>
      </c>
      <c r="BS2680" s="3">
        <v>43794</v>
      </c>
      <c r="BT2680" s="5">
        <v>0.4236111111111111</v>
      </c>
      <c r="BU2680" t="s">
        <v>151</v>
      </c>
      <c r="BV2680" t="s">
        <v>86</v>
      </c>
      <c r="BY2680">
        <v>1200</v>
      </c>
      <c r="CA2680" t="s">
        <v>111</v>
      </c>
      <c r="CC2680" t="s">
        <v>107</v>
      </c>
      <c r="CD2680">
        <v>6001</v>
      </c>
      <c r="CE2680" t="s">
        <v>147</v>
      </c>
      <c r="CF2680" s="3">
        <v>43795</v>
      </c>
      <c r="CI2680">
        <v>1</v>
      </c>
      <c r="CJ2680">
        <v>1</v>
      </c>
      <c r="CK2680">
        <v>21</v>
      </c>
      <c r="CL2680" t="s">
        <v>89</v>
      </c>
    </row>
    <row r="2681" spans="1:90">
      <c r="A2681" t="s">
        <v>72</v>
      </c>
      <c r="B2681" t="s">
        <v>73</v>
      </c>
      <c r="C2681" t="s">
        <v>74</v>
      </c>
      <c r="E2681" t="str">
        <f>"FES1162724735"</f>
        <v>FES1162724735</v>
      </c>
      <c r="F2681" s="3">
        <v>43791</v>
      </c>
      <c r="G2681">
        <v>202005</v>
      </c>
      <c r="H2681" t="s">
        <v>75</v>
      </c>
      <c r="I2681" t="s">
        <v>76</v>
      </c>
      <c r="J2681" t="s">
        <v>77</v>
      </c>
      <c r="K2681" t="s">
        <v>78</v>
      </c>
      <c r="L2681" t="s">
        <v>124</v>
      </c>
      <c r="M2681" t="s">
        <v>125</v>
      </c>
      <c r="N2681" t="s">
        <v>487</v>
      </c>
      <c r="O2681" t="s">
        <v>82</v>
      </c>
      <c r="P2681" t="str">
        <f>"2170718525                    "</f>
        <v xml:space="preserve">2170718525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6.71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1.9</v>
      </c>
      <c r="BJ2681">
        <v>0.9</v>
      </c>
      <c r="BK2681">
        <v>2</v>
      </c>
      <c r="BL2681" s="4">
        <v>39.42</v>
      </c>
      <c r="BM2681" s="4">
        <v>5.91</v>
      </c>
      <c r="BN2681" s="4">
        <v>45.33</v>
      </c>
      <c r="BO2681" s="4">
        <v>45.33</v>
      </c>
      <c r="BQ2681" t="s">
        <v>121</v>
      </c>
      <c r="BR2681" t="s">
        <v>84</v>
      </c>
      <c r="BS2681" s="3">
        <v>43794</v>
      </c>
      <c r="BT2681" s="5">
        <v>0.30694444444444441</v>
      </c>
      <c r="BU2681" t="s">
        <v>488</v>
      </c>
      <c r="BV2681" t="s">
        <v>86</v>
      </c>
      <c r="BY2681">
        <v>4442.22</v>
      </c>
      <c r="CA2681" t="s">
        <v>415</v>
      </c>
      <c r="CC2681" t="s">
        <v>125</v>
      </c>
      <c r="CD2681">
        <v>2094</v>
      </c>
      <c r="CE2681" t="s">
        <v>88</v>
      </c>
      <c r="CF2681" s="3">
        <v>43795</v>
      </c>
      <c r="CI2681">
        <v>1</v>
      </c>
      <c r="CJ2681">
        <v>1</v>
      </c>
      <c r="CK2681">
        <v>22</v>
      </c>
      <c r="CL2681" t="s">
        <v>89</v>
      </c>
    </row>
    <row r="2682" spans="1:90">
      <c r="A2682" t="s">
        <v>72</v>
      </c>
      <c r="B2682" t="s">
        <v>73</v>
      </c>
      <c r="C2682" t="s">
        <v>74</v>
      </c>
      <c r="E2682" t="str">
        <f>"FES1162724701"</f>
        <v>FES1162724701</v>
      </c>
      <c r="F2682" s="3">
        <v>43791</v>
      </c>
      <c r="G2682">
        <v>202005</v>
      </c>
      <c r="H2682" t="s">
        <v>75</v>
      </c>
      <c r="I2682" t="s">
        <v>76</v>
      </c>
      <c r="J2682" t="s">
        <v>77</v>
      </c>
      <c r="K2682" t="s">
        <v>78</v>
      </c>
      <c r="L2682" t="s">
        <v>691</v>
      </c>
      <c r="M2682" t="s">
        <v>692</v>
      </c>
      <c r="N2682" t="s">
        <v>1217</v>
      </c>
      <c r="O2682" t="s">
        <v>82</v>
      </c>
      <c r="P2682" t="str">
        <f>"2170718492                    "</f>
        <v xml:space="preserve">2170718492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21.17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11</v>
      </c>
      <c r="BJ2682">
        <v>4.4000000000000004</v>
      </c>
      <c r="BK2682">
        <v>11</v>
      </c>
      <c r="BL2682" s="4">
        <v>124.44</v>
      </c>
      <c r="BM2682" s="4">
        <v>18.670000000000002</v>
      </c>
      <c r="BN2682" s="4">
        <v>143.11000000000001</v>
      </c>
      <c r="BO2682" s="4">
        <v>143.11000000000001</v>
      </c>
      <c r="BQ2682" t="s">
        <v>109</v>
      </c>
      <c r="BR2682" t="s">
        <v>84</v>
      </c>
      <c r="BS2682" s="3">
        <v>43797</v>
      </c>
      <c r="BT2682" s="5">
        <v>0.42222222222222222</v>
      </c>
      <c r="BU2682" t="s">
        <v>2164</v>
      </c>
      <c r="BV2682" t="s">
        <v>89</v>
      </c>
      <c r="BW2682" t="s">
        <v>596</v>
      </c>
      <c r="BX2682" t="s">
        <v>1538</v>
      </c>
      <c r="BY2682">
        <v>21857.38</v>
      </c>
      <c r="CA2682" t="s">
        <v>2165</v>
      </c>
      <c r="CC2682" t="s">
        <v>692</v>
      </c>
      <c r="CD2682">
        <v>1559</v>
      </c>
      <c r="CE2682" t="s">
        <v>88</v>
      </c>
      <c r="CF2682" s="3">
        <v>43795</v>
      </c>
      <c r="CI2682">
        <v>1</v>
      </c>
      <c r="CJ2682">
        <v>4</v>
      </c>
      <c r="CK2682">
        <v>22</v>
      </c>
      <c r="CL2682" t="s">
        <v>89</v>
      </c>
    </row>
    <row r="2683" spans="1:90">
      <c r="A2683" t="s">
        <v>72</v>
      </c>
      <c r="B2683" t="s">
        <v>73</v>
      </c>
      <c r="C2683" t="s">
        <v>74</v>
      </c>
      <c r="E2683" t="str">
        <f>"FES1162724747"</f>
        <v>FES1162724747</v>
      </c>
      <c r="F2683" s="3">
        <v>43791</v>
      </c>
      <c r="G2683">
        <v>202005</v>
      </c>
      <c r="H2683" t="s">
        <v>75</v>
      </c>
      <c r="I2683" t="s">
        <v>76</v>
      </c>
      <c r="J2683" t="s">
        <v>77</v>
      </c>
      <c r="K2683" t="s">
        <v>78</v>
      </c>
      <c r="L2683" t="s">
        <v>90</v>
      </c>
      <c r="M2683" t="s">
        <v>91</v>
      </c>
      <c r="N2683" t="s">
        <v>527</v>
      </c>
      <c r="O2683" t="s">
        <v>82</v>
      </c>
      <c r="P2683" t="str">
        <f>"2170718541                    "</f>
        <v xml:space="preserve">2170718541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8.58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 s="4">
        <v>50.45</v>
      </c>
      <c r="BM2683" s="4">
        <v>7.57</v>
      </c>
      <c r="BN2683" s="4">
        <v>58.02</v>
      </c>
      <c r="BO2683" s="4">
        <v>58.02</v>
      </c>
      <c r="BQ2683" t="s">
        <v>109</v>
      </c>
      <c r="BR2683" t="s">
        <v>84</v>
      </c>
      <c r="BS2683" s="3">
        <v>43794</v>
      </c>
      <c r="BT2683" s="5">
        <v>0.30138888888888887</v>
      </c>
      <c r="BU2683" t="s">
        <v>2780</v>
      </c>
      <c r="BV2683" t="s">
        <v>86</v>
      </c>
      <c r="BY2683">
        <v>1200</v>
      </c>
      <c r="CA2683" t="s">
        <v>221</v>
      </c>
      <c r="CC2683" t="s">
        <v>91</v>
      </c>
      <c r="CD2683">
        <v>7405</v>
      </c>
      <c r="CE2683" t="s">
        <v>147</v>
      </c>
      <c r="CF2683" s="3">
        <v>43795</v>
      </c>
      <c r="CI2683">
        <v>1</v>
      </c>
      <c r="CJ2683">
        <v>1</v>
      </c>
      <c r="CK2683">
        <v>21</v>
      </c>
      <c r="CL2683" t="s">
        <v>89</v>
      </c>
    </row>
    <row r="2684" spans="1:90">
      <c r="A2684" t="s">
        <v>72</v>
      </c>
      <c r="B2684" t="s">
        <v>73</v>
      </c>
      <c r="C2684" t="s">
        <v>74</v>
      </c>
      <c r="E2684" t="str">
        <f>"FES1162724638"</f>
        <v>FES1162724638</v>
      </c>
      <c r="F2684" s="3">
        <v>43791</v>
      </c>
      <c r="G2684">
        <v>202005</v>
      </c>
      <c r="H2684" t="s">
        <v>75</v>
      </c>
      <c r="I2684" t="s">
        <v>76</v>
      </c>
      <c r="J2684" t="s">
        <v>77</v>
      </c>
      <c r="K2684" t="s">
        <v>78</v>
      </c>
      <c r="L2684" t="s">
        <v>482</v>
      </c>
      <c r="M2684" t="s">
        <v>483</v>
      </c>
      <c r="N2684" t="s">
        <v>2781</v>
      </c>
      <c r="O2684" t="s">
        <v>82</v>
      </c>
      <c r="P2684" t="str">
        <f>"2170718324                    "</f>
        <v xml:space="preserve">2170718324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14.74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6.6</v>
      </c>
      <c r="BJ2684">
        <v>3.2</v>
      </c>
      <c r="BK2684">
        <v>7</v>
      </c>
      <c r="BL2684" s="4">
        <v>86.65</v>
      </c>
      <c r="BM2684" s="4">
        <v>13</v>
      </c>
      <c r="BN2684" s="4">
        <v>99.65</v>
      </c>
      <c r="BO2684" s="4">
        <v>99.65</v>
      </c>
      <c r="BQ2684" t="s">
        <v>121</v>
      </c>
      <c r="BR2684" t="s">
        <v>84</v>
      </c>
      <c r="BS2684" s="3">
        <v>43794</v>
      </c>
      <c r="BT2684" s="5">
        <v>0.34722222222222227</v>
      </c>
      <c r="BU2684" t="s">
        <v>2689</v>
      </c>
      <c r="BV2684" t="s">
        <v>86</v>
      </c>
      <c r="BY2684">
        <v>15888.86</v>
      </c>
      <c r="CA2684" t="s">
        <v>486</v>
      </c>
      <c r="CC2684" t="s">
        <v>483</v>
      </c>
      <c r="CD2684">
        <v>1459</v>
      </c>
      <c r="CE2684" t="s">
        <v>88</v>
      </c>
      <c r="CF2684" s="3">
        <v>43795</v>
      </c>
      <c r="CI2684">
        <v>1</v>
      </c>
      <c r="CJ2684">
        <v>1</v>
      </c>
      <c r="CK2684">
        <v>22</v>
      </c>
      <c r="CL2684" t="s">
        <v>89</v>
      </c>
    </row>
    <row r="2685" spans="1:90">
      <c r="A2685" t="s">
        <v>72</v>
      </c>
      <c r="B2685" t="s">
        <v>73</v>
      </c>
      <c r="C2685" t="s">
        <v>74</v>
      </c>
      <c r="E2685" t="str">
        <f>"FES1162724749"</f>
        <v>FES1162724749</v>
      </c>
      <c r="F2685" s="3">
        <v>43791</v>
      </c>
      <c r="G2685">
        <v>202005</v>
      </c>
      <c r="H2685" t="s">
        <v>75</v>
      </c>
      <c r="I2685" t="s">
        <v>76</v>
      </c>
      <c r="J2685" t="s">
        <v>77</v>
      </c>
      <c r="K2685" t="s">
        <v>78</v>
      </c>
      <c r="L2685" t="s">
        <v>90</v>
      </c>
      <c r="M2685" t="s">
        <v>91</v>
      </c>
      <c r="N2685" t="s">
        <v>527</v>
      </c>
      <c r="O2685" t="s">
        <v>82</v>
      </c>
      <c r="P2685" t="str">
        <f>"2170718543                    "</f>
        <v xml:space="preserve">2170718543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8.58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 s="4">
        <v>50.45</v>
      </c>
      <c r="BM2685" s="4">
        <v>7.57</v>
      </c>
      <c r="BN2685" s="4">
        <v>58.02</v>
      </c>
      <c r="BO2685" s="4">
        <v>58.02</v>
      </c>
      <c r="BQ2685" t="s">
        <v>109</v>
      </c>
      <c r="BR2685" t="s">
        <v>84</v>
      </c>
      <c r="BS2685" s="3">
        <v>43794</v>
      </c>
      <c r="BT2685" s="5">
        <v>0.30138888888888887</v>
      </c>
      <c r="BU2685" t="s">
        <v>2780</v>
      </c>
      <c r="BV2685" t="s">
        <v>86</v>
      </c>
      <c r="BY2685">
        <v>1200</v>
      </c>
      <c r="CA2685" t="s">
        <v>221</v>
      </c>
      <c r="CC2685" t="s">
        <v>91</v>
      </c>
      <c r="CD2685">
        <v>7405</v>
      </c>
      <c r="CE2685" t="s">
        <v>147</v>
      </c>
      <c r="CF2685" s="3">
        <v>43795</v>
      </c>
      <c r="CI2685">
        <v>1</v>
      </c>
      <c r="CJ2685">
        <v>1</v>
      </c>
      <c r="CK2685">
        <v>21</v>
      </c>
      <c r="CL2685" t="s">
        <v>89</v>
      </c>
    </row>
    <row r="2686" spans="1:90">
      <c r="A2686" t="s">
        <v>72</v>
      </c>
      <c r="B2686" t="s">
        <v>73</v>
      </c>
      <c r="C2686" t="s">
        <v>74</v>
      </c>
      <c r="E2686" t="str">
        <f>"FES1162724259"</f>
        <v>FES1162724259</v>
      </c>
      <c r="F2686" s="3">
        <v>43791</v>
      </c>
      <c r="G2686">
        <v>202005</v>
      </c>
      <c r="H2686" t="s">
        <v>75</v>
      </c>
      <c r="I2686" t="s">
        <v>76</v>
      </c>
      <c r="J2686" t="s">
        <v>77</v>
      </c>
      <c r="K2686" t="s">
        <v>78</v>
      </c>
      <c r="L2686" t="s">
        <v>90</v>
      </c>
      <c r="M2686" t="s">
        <v>91</v>
      </c>
      <c r="N2686" t="s">
        <v>1751</v>
      </c>
      <c r="O2686" t="s">
        <v>82</v>
      </c>
      <c r="P2686" t="str">
        <f>"2170716145                    "</f>
        <v xml:space="preserve">2170716145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8.58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 s="4">
        <v>50.45</v>
      </c>
      <c r="BM2686" s="4">
        <v>7.57</v>
      </c>
      <c r="BN2686" s="4">
        <v>58.02</v>
      </c>
      <c r="BO2686" s="4">
        <v>58.02</v>
      </c>
      <c r="BQ2686" t="s">
        <v>142</v>
      </c>
      <c r="BR2686" t="s">
        <v>84</v>
      </c>
      <c r="BS2686" s="3">
        <v>43794</v>
      </c>
      <c r="BT2686" s="5">
        <v>0.35347222222222219</v>
      </c>
      <c r="BU2686" t="s">
        <v>2782</v>
      </c>
      <c r="BV2686" t="s">
        <v>86</v>
      </c>
      <c r="BY2686">
        <v>1200</v>
      </c>
      <c r="CA2686" t="s">
        <v>1281</v>
      </c>
      <c r="CC2686" t="s">
        <v>91</v>
      </c>
      <c r="CD2686">
        <v>7800</v>
      </c>
      <c r="CE2686" t="s">
        <v>147</v>
      </c>
      <c r="CF2686" s="3">
        <v>43795</v>
      </c>
      <c r="CI2686">
        <v>1</v>
      </c>
      <c r="CJ2686">
        <v>1</v>
      </c>
      <c r="CK2686">
        <v>21</v>
      </c>
      <c r="CL2686" t="s">
        <v>89</v>
      </c>
    </row>
    <row r="2687" spans="1:90">
      <c r="A2687" t="s">
        <v>72</v>
      </c>
      <c r="B2687" t="s">
        <v>73</v>
      </c>
      <c r="C2687" t="s">
        <v>74</v>
      </c>
      <c r="E2687" t="str">
        <f>"FES1162724629"</f>
        <v>FES1162724629</v>
      </c>
      <c r="F2687" s="3">
        <v>43791</v>
      </c>
      <c r="G2687">
        <v>202005</v>
      </c>
      <c r="H2687" t="s">
        <v>75</v>
      </c>
      <c r="I2687" t="s">
        <v>76</v>
      </c>
      <c r="J2687" t="s">
        <v>77</v>
      </c>
      <c r="K2687" t="s">
        <v>78</v>
      </c>
      <c r="L2687" t="s">
        <v>578</v>
      </c>
      <c r="M2687" t="s">
        <v>579</v>
      </c>
      <c r="N2687" t="s">
        <v>1532</v>
      </c>
      <c r="O2687" t="s">
        <v>82</v>
      </c>
      <c r="P2687" t="str">
        <f>"2170718362                    "</f>
        <v xml:space="preserve">2170718362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10.73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2.1</v>
      </c>
      <c r="BJ2687">
        <v>0.9</v>
      </c>
      <c r="BK2687">
        <v>2.5</v>
      </c>
      <c r="BL2687" s="4">
        <v>63.06</v>
      </c>
      <c r="BM2687" s="4">
        <v>9.4600000000000009</v>
      </c>
      <c r="BN2687" s="4">
        <v>72.52</v>
      </c>
      <c r="BO2687" s="4">
        <v>72.52</v>
      </c>
      <c r="BQ2687" t="s">
        <v>121</v>
      </c>
      <c r="BR2687" t="s">
        <v>84</v>
      </c>
      <c r="BS2687" s="3">
        <v>43794</v>
      </c>
      <c r="BT2687" s="5">
        <v>0.41666666666666669</v>
      </c>
      <c r="BU2687" t="s">
        <v>1896</v>
      </c>
      <c r="BV2687" t="s">
        <v>86</v>
      </c>
      <c r="BY2687">
        <v>4681.8</v>
      </c>
      <c r="CA2687" t="s">
        <v>1022</v>
      </c>
      <c r="CC2687" t="s">
        <v>579</v>
      </c>
      <c r="CD2687">
        <v>7600</v>
      </c>
      <c r="CE2687" t="s">
        <v>88</v>
      </c>
      <c r="CF2687" s="3">
        <v>43795</v>
      </c>
      <c r="CI2687">
        <v>1</v>
      </c>
      <c r="CJ2687">
        <v>1</v>
      </c>
      <c r="CK2687">
        <v>21</v>
      </c>
      <c r="CL2687" t="s">
        <v>89</v>
      </c>
    </row>
    <row r="2688" spans="1:90">
      <c r="A2688" t="s">
        <v>72</v>
      </c>
      <c r="B2688" t="s">
        <v>73</v>
      </c>
      <c r="C2688" t="s">
        <v>74</v>
      </c>
      <c r="E2688" t="str">
        <f>"FES1162724758"</f>
        <v>FES1162724758</v>
      </c>
      <c r="F2688" s="3">
        <v>43791</v>
      </c>
      <c r="G2688">
        <v>202005</v>
      </c>
      <c r="H2688" t="s">
        <v>75</v>
      </c>
      <c r="I2688" t="s">
        <v>76</v>
      </c>
      <c r="J2688" t="s">
        <v>77</v>
      </c>
      <c r="K2688" t="s">
        <v>78</v>
      </c>
      <c r="L2688" t="s">
        <v>90</v>
      </c>
      <c r="M2688" t="s">
        <v>91</v>
      </c>
      <c r="N2688" t="s">
        <v>1825</v>
      </c>
      <c r="O2688" t="s">
        <v>82</v>
      </c>
      <c r="P2688" t="str">
        <f>"21707484579                   "</f>
        <v xml:space="preserve">21707484579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8.58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 s="4">
        <v>50.45</v>
      </c>
      <c r="BM2688" s="4">
        <v>7.57</v>
      </c>
      <c r="BN2688" s="4">
        <v>58.02</v>
      </c>
      <c r="BO2688" s="4">
        <v>58.02</v>
      </c>
      <c r="BQ2688" t="s">
        <v>121</v>
      </c>
      <c r="BR2688" t="s">
        <v>84</v>
      </c>
      <c r="BS2688" s="3">
        <v>43794</v>
      </c>
      <c r="BT2688" s="5">
        <v>0.35972222222222222</v>
      </c>
      <c r="BU2688" t="s">
        <v>1826</v>
      </c>
      <c r="BV2688" t="s">
        <v>86</v>
      </c>
      <c r="BY2688">
        <v>1200</v>
      </c>
      <c r="CA2688" t="s">
        <v>323</v>
      </c>
      <c r="CC2688" t="s">
        <v>91</v>
      </c>
      <c r="CD2688">
        <v>7460</v>
      </c>
      <c r="CE2688" t="s">
        <v>147</v>
      </c>
      <c r="CF2688" s="3">
        <v>43794</v>
      </c>
      <c r="CI2688">
        <v>1</v>
      </c>
      <c r="CJ2688">
        <v>1</v>
      </c>
      <c r="CK2688">
        <v>21</v>
      </c>
      <c r="CL2688" t="s">
        <v>89</v>
      </c>
    </row>
    <row r="2689" spans="1:90">
      <c r="A2689" t="s">
        <v>72</v>
      </c>
      <c r="B2689" t="s">
        <v>73</v>
      </c>
      <c r="C2689" t="s">
        <v>74</v>
      </c>
      <c r="E2689" t="str">
        <f>"FES1162724684"</f>
        <v>FES1162724684</v>
      </c>
      <c r="F2689" s="3">
        <v>43791</v>
      </c>
      <c r="G2689">
        <v>202005</v>
      </c>
      <c r="H2689" t="s">
        <v>75</v>
      </c>
      <c r="I2689" t="s">
        <v>76</v>
      </c>
      <c r="J2689" t="s">
        <v>77</v>
      </c>
      <c r="K2689" t="s">
        <v>78</v>
      </c>
      <c r="L2689" t="s">
        <v>202</v>
      </c>
      <c r="M2689" t="s">
        <v>203</v>
      </c>
      <c r="N2689" t="s">
        <v>2085</v>
      </c>
      <c r="O2689" t="s">
        <v>82</v>
      </c>
      <c r="P2689" t="str">
        <f>"2170718465                    "</f>
        <v xml:space="preserve">2170718465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6.71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 s="4">
        <v>39.42</v>
      </c>
      <c r="BM2689" s="4">
        <v>5.91</v>
      </c>
      <c r="BN2689" s="4">
        <v>45.33</v>
      </c>
      <c r="BO2689" s="4">
        <v>45.33</v>
      </c>
      <c r="BQ2689" t="s">
        <v>832</v>
      </c>
      <c r="BR2689" t="s">
        <v>84</v>
      </c>
      <c r="BS2689" s="3">
        <v>43794</v>
      </c>
      <c r="BT2689" s="5">
        <v>0.33333333333333331</v>
      </c>
      <c r="BU2689" t="s">
        <v>2086</v>
      </c>
      <c r="BV2689" t="s">
        <v>86</v>
      </c>
      <c r="BY2689">
        <v>1200</v>
      </c>
      <c r="CC2689" t="s">
        <v>203</v>
      </c>
      <c r="CD2689">
        <v>1406</v>
      </c>
      <c r="CE2689" t="s">
        <v>147</v>
      </c>
      <c r="CF2689" s="3">
        <v>43795</v>
      </c>
      <c r="CI2689">
        <v>1</v>
      </c>
      <c r="CJ2689">
        <v>1</v>
      </c>
      <c r="CK2689">
        <v>22</v>
      </c>
      <c r="CL2689" t="s">
        <v>89</v>
      </c>
    </row>
    <row r="2690" spans="1:90">
      <c r="A2690" t="s">
        <v>72</v>
      </c>
      <c r="B2690" t="s">
        <v>73</v>
      </c>
      <c r="C2690" t="s">
        <v>74</v>
      </c>
      <c r="E2690" t="str">
        <f>"FES1162724699"</f>
        <v>FES1162724699</v>
      </c>
      <c r="F2690" s="3">
        <v>43791</v>
      </c>
      <c r="G2690">
        <v>202005</v>
      </c>
      <c r="H2690" t="s">
        <v>75</v>
      </c>
      <c r="I2690" t="s">
        <v>76</v>
      </c>
      <c r="J2690" t="s">
        <v>77</v>
      </c>
      <c r="K2690" t="s">
        <v>78</v>
      </c>
      <c r="L2690" t="s">
        <v>681</v>
      </c>
      <c r="M2690" t="s">
        <v>682</v>
      </c>
      <c r="N2690" t="s">
        <v>2783</v>
      </c>
      <c r="O2690" t="s">
        <v>82</v>
      </c>
      <c r="P2690" t="str">
        <f>"2170718487                    "</f>
        <v xml:space="preserve">2170718487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12.07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 s="4">
        <v>70.95</v>
      </c>
      <c r="BM2690" s="4">
        <v>10.64</v>
      </c>
      <c r="BN2690" s="4">
        <v>81.59</v>
      </c>
      <c r="BO2690" s="4">
        <v>81.59</v>
      </c>
      <c r="BQ2690" t="s">
        <v>121</v>
      </c>
      <c r="BR2690" t="s">
        <v>84</v>
      </c>
      <c r="BS2690" s="3">
        <v>43794</v>
      </c>
      <c r="BT2690" s="5">
        <v>0.33333333333333331</v>
      </c>
      <c r="BU2690" t="s">
        <v>2784</v>
      </c>
      <c r="BV2690" t="s">
        <v>86</v>
      </c>
      <c r="BY2690">
        <v>1200</v>
      </c>
      <c r="CA2690" t="s">
        <v>1224</v>
      </c>
      <c r="CC2690" t="s">
        <v>682</v>
      </c>
      <c r="CD2690">
        <v>1939</v>
      </c>
      <c r="CE2690" t="s">
        <v>147</v>
      </c>
      <c r="CF2690" s="3">
        <v>43795</v>
      </c>
      <c r="CI2690">
        <v>1</v>
      </c>
      <c r="CJ2690">
        <v>1</v>
      </c>
      <c r="CK2690">
        <v>24</v>
      </c>
      <c r="CL2690" t="s">
        <v>89</v>
      </c>
    </row>
    <row r="2691" spans="1:90">
      <c r="A2691" t="s">
        <v>72</v>
      </c>
      <c r="B2691" t="s">
        <v>73</v>
      </c>
      <c r="C2691" t="s">
        <v>74</v>
      </c>
      <c r="E2691" t="str">
        <f>"FES1162724757"</f>
        <v>FES1162724757</v>
      </c>
      <c r="F2691" s="3">
        <v>43791</v>
      </c>
      <c r="G2691">
        <v>202005</v>
      </c>
      <c r="H2691" t="s">
        <v>75</v>
      </c>
      <c r="I2691" t="s">
        <v>76</v>
      </c>
      <c r="J2691" t="s">
        <v>77</v>
      </c>
      <c r="K2691" t="s">
        <v>78</v>
      </c>
      <c r="L2691" t="s">
        <v>176</v>
      </c>
      <c r="M2691" t="s">
        <v>177</v>
      </c>
      <c r="N2691" t="s">
        <v>1199</v>
      </c>
      <c r="O2691" t="s">
        <v>82</v>
      </c>
      <c r="P2691" t="str">
        <f>"2170718458                    "</f>
        <v xml:space="preserve">2170718458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8.58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 s="4">
        <v>50.45</v>
      </c>
      <c r="BM2691" s="4">
        <v>7.57</v>
      </c>
      <c r="BN2691" s="4">
        <v>58.02</v>
      </c>
      <c r="BO2691" s="4">
        <v>58.02</v>
      </c>
      <c r="BQ2691" t="s">
        <v>109</v>
      </c>
      <c r="BR2691" t="s">
        <v>84</v>
      </c>
      <c r="BS2691" s="3">
        <v>43794</v>
      </c>
      <c r="BT2691" s="5">
        <v>0.32222222222222224</v>
      </c>
      <c r="BU2691" t="s">
        <v>2785</v>
      </c>
      <c r="BV2691" t="s">
        <v>86</v>
      </c>
      <c r="BY2691">
        <v>1200</v>
      </c>
      <c r="CA2691" t="s">
        <v>2786</v>
      </c>
      <c r="CC2691" t="s">
        <v>177</v>
      </c>
      <c r="CD2691">
        <v>3610</v>
      </c>
      <c r="CE2691" t="s">
        <v>147</v>
      </c>
      <c r="CF2691" s="3">
        <v>43795</v>
      </c>
      <c r="CI2691">
        <v>1</v>
      </c>
      <c r="CJ2691">
        <v>1</v>
      </c>
      <c r="CK2691">
        <v>21</v>
      </c>
      <c r="CL2691" t="s">
        <v>89</v>
      </c>
    </row>
    <row r="2692" spans="1:90">
      <c r="A2692" t="s">
        <v>72</v>
      </c>
      <c r="B2692" t="s">
        <v>73</v>
      </c>
      <c r="C2692" t="s">
        <v>74</v>
      </c>
      <c r="E2692" t="str">
        <f>"FES1162724378"</f>
        <v>FES1162724378</v>
      </c>
      <c r="F2692" s="3">
        <v>43791</v>
      </c>
      <c r="G2692">
        <v>202005</v>
      </c>
      <c r="H2692" t="s">
        <v>75</v>
      </c>
      <c r="I2692" t="s">
        <v>76</v>
      </c>
      <c r="J2692" t="s">
        <v>77</v>
      </c>
      <c r="K2692" t="s">
        <v>78</v>
      </c>
      <c r="L2692" t="s">
        <v>925</v>
      </c>
      <c r="M2692" t="s">
        <v>926</v>
      </c>
      <c r="N2692" t="s">
        <v>927</v>
      </c>
      <c r="O2692" t="s">
        <v>82</v>
      </c>
      <c r="P2692" t="str">
        <f>"2170714657                    "</f>
        <v xml:space="preserve">2170714657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12.07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 s="4">
        <v>70.95</v>
      </c>
      <c r="BM2692" s="4">
        <v>10.64</v>
      </c>
      <c r="BN2692" s="4">
        <v>81.59</v>
      </c>
      <c r="BO2692" s="4">
        <v>81.59</v>
      </c>
      <c r="BQ2692" t="s">
        <v>109</v>
      </c>
      <c r="BR2692" t="s">
        <v>84</v>
      </c>
      <c r="BS2692" s="3">
        <v>43794</v>
      </c>
      <c r="BT2692" s="5">
        <v>0.63888888888888895</v>
      </c>
      <c r="BU2692" t="s">
        <v>1313</v>
      </c>
      <c r="BV2692" t="s">
        <v>86</v>
      </c>
      <c r="BY2692">
        <v>1200</v>
      </c>
      <c r="CA2692" t="s">
        <v>929</v>
      </c>
      <c r="CC2692" t="s">
        <v>926</v>
      </c>
      <c r="CD2692">
        <v>1028</v>
      </c>
      <c r="CE2692" t="s">
        <v>147</v>
      </c>
      <c r="CF2692" s="3">
        <v>43795</v>
      </c>
      <c r="CI2692">
        <v>1</v>
      </c>
      <c r="CJ2692">
        <v>1</v>
      </c>
      <c r="CK2692">
        <v>24</v>
      </c>
      <c r="CL2692" t="s">
        <v>89</v>
      </c>
    </row>
    <row r="2693" spans="1:90">
      <c r="A2693" t="s">
        <v>72</v>
      </c>
      <c r="B2693" t="s">
        <v>73</v>
      </c>
      <c r="C2693" t="s">
        <v>74</v>
      </c>
      <c r="E2693" t="str">
        <f>"FES1162724725"</f>
        <v>FES1162724725</v>
      </c>
      <c r="F2693" s="3">
        <v>43791</v>
      </c>
      <c r="G2693">
        <v>202005</v>
      </c>
      <c r="H2693" t="s">
        <v>75</v>
      </c>
      <c r="I2693" t="s">
        <v>76</v>
      </c>
      <c r="J2693" t="s">
        <v>77</v>
      </c>
      <c r="K2693" t="s">
        <v>78</v>
      </c>
      <c r="L2693" t="s">
        <v>112</v>
      </c>
      <c r="M2693" t="s">
        <v>113</v>
      </c>
      <c r="N2693" t="s">
        <v>2787</v>
      </c>
      <c r="O2693" t="s">
        <v>82</v>
      </c>
      <c r="P2693" t="str">
        <f>"21707184514                   "</f>
        <v xml:space="preserve">21707184514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8.58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 s="4">
        <v>50.45</v>
      </c>
      <c r="BM2693" s="4">
        <v>7.57</v>
      </c>
      <c r="BN2693" s="4">
        <v>58.02</v>
      </c>
      <c r="BO2693" s="4">
        <v>58.02</v>
      </c>
      <c r="BR2693" t="s">
        <v>84</v>
      </c>
      <c r="BS2693" s="3">
        <v>43794</v>
      </c>
      <c r="BT2693" s="5">
        <v>0.3979166666666667</v>
      </c>
      <c r="BU2693" t="s">
        <v>2788</v>
      </c>
      <c r="BV2693" t="s">
        <v>86</v>
      </c>
      <c r="BY2693">
        <v>1200</v>
      </c>
      <c r="CA2693" t="s">
        <v>255</v>
      </c>
      <c r="CC2693" t="s">
        <v>113</v>
      </c>
      <c r="CD2693">
        <v>4000</v>
      </c>
      <c r="CE2693" t="s">
        <v>147</v>
      </c>
      <c r="CF2693" s="3">
        <v>43795</v>
      </c>
      <c r="CI2693">
        <v>1</v>
      </c>
      <c r="CJ2693">
        <v>1</v>
      </c>
      <c r="CK2693">
        <v>21</v>
      </c>
      <c r="CL2693" t="s">
        <v>89</v>
      </c>
    </row>
    <row r="2694" spans="1:90">
      <c r="A2694" t="s">
        <v>72</v>
      </c>
      <c r="B2694" t="s">
        <v>73</v>
      </c>
      <c r="C2694" t="s">
        <v>74</v>
      </c>
      <c r="E2694" t="str">
        <f>"FES1162724696"</f>
        <v>FES1162724696</v>
      </c>
      <c r="F2694" s="3">
        <v>43791</v>
      </c>
      <c r="G2694">
        <v>202005</v>
      </c>
      <c r="H2694" t="s">
        <v>75</v>
      </c>
      <c r="I2694" t="s">
        <v>76</v>
      </c>
      <c r="J2694" t="s">
        <v>77</v>
      </c>
      <c r="K2694" t="s">
        <v>78</v>
      </c>
      <c r="L2694" t="s">
        <v>344</v>
      </c>
      <c r="M2694" t="s">
        <v>345</v>
      </c>
      <c r="N2694" t="s">
        <v>2200</v>
      </c>
      <c r="O2694" t="s">
        <v>82</v>
      </c>
      <c r="P2694" t="str">
        <f>"2170718486                    "</f>
        <v xml:space="preserve">2170718486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6.71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 s="4">
        <v>39.42</v>
      </c>
      <c r="BM2694" s="4">
        <v>5.91</v>
      </c>
      <c r="BN2694" s="4">
        <v>45.33</v>
      </c>
      <c r="BO2694" s="4">
        <v>45.33</v>
      </c>
      <c r="BQ2694" t="s">
        <v>121</v>
      </c>
      <c r="BR2694" t="s">
        <v>84</v>
      </c>
      <c r="BS2694" s="3">
        <v>43794</v>
      </c>
      <c r="BT2694" s="5">
        <v>0.35486111111111113</v>
      </c>
      <c r="BU2694" t="s">
        <v>2789</v>
      </c>
      <c r="BV2694" t="s">
        <v>86</v>
      </c>
      <c r="BY2694">
        <v>1200</v>
      </c>
      <c r="CC2694" t="s">
        <v>345</v>
      </c>
      <c r="CD2694">
        <v>2163</v>
      </c>
      <c r="CE2694" t="s">
        <v>147</v>
      </c>
      <c r="CF2694" s="3">
        <v>43795</v>
      </c>
      <c r="CI2694">
        <v>1</v>
      </c>
      <c r="CJ2694">
        <v>1</v>
      </c>
      <c r="CK2694">
        <v>22</v>
      </c>
      <c r="CL2694" t="s">
        <v>89</v>
      </c>
    </row>
    <row r="2695" spans="1:90">
      <c r="A2695" t="s">
        <v>72</v>
      </c>
      <c r="B2695" t="s">
        <v>73</v>
      </c>
      <c r="C2695" t="s">
        <v>74</v>
      </c>
      <c r="E2695" t="str">
        <f>"FES1162724741"</f>
        <v>FES1162724741</v>
      </c>
      <c r="F2695" s="3">
        <v>43791</v>
      </c>
      <c r="G2695">
        <v>202005</v>
      </c>
      <c r="H2695" t="s">
        <v>75</v>
      </c>
      <c r="I2695" t="s">
        <v>76</v>
      </c>
      <c r="J2695" t="s">
        <v>77</v>
      </c>
      <c r="K2695" t="s">
        <v>78</v>
      </c>
      <c r="L2695" t="s">
        <v>112</v>
      </c>
      <c r="M2695" t="s">
        <v>113</v>
      </c>
      <c r="N2695" t="s">
        <v>2697</v>
      </c>
      <c r="O2695" t="s">
        <v>82</v>
      </c>
      <c r="P2695" t="str">
        <f>"2170718533                    "</f>
        <v xml:space="preserve">2170718533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8.58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 s="4">
        <v>50.45</v>
      </c>
      <c r="BM2695" s="4">
        <v>7.57</v>
      </c>
      <c r="BN2695" s="4">
        <v>58.02</v>
      </c>
      <c r="BO2695" s="4">
        <v>58.02</v>
      </c>
      <c r="BQ2695" t="s">
        <v>121</v>
      </c>
      <c r="BR2695" t="s">
        <v>84</v>
      </c>
      <c r="BS2695" s="3">
        <v>43794</v>
      </c>
      <c r="BT2695" s="5">
        <v>0.35625000000000001</v>
      </c>
      <c r="BU2695" t="s">
        <v>1298</v>
      </c>
      <c r="BV2695" t="s">
        <v>86</v>
      </c>
      <c r="BY2695">
        <v>1200</v>
      </c>
      <c r="CA2695" t="s">
        <v>255</v>
      </c>
      <c r="CC2695" t="s">
        <v>113</v>
      </c>
      <c r="CD2695">
        <v>4302</v>
      </c>
      <c r="CE2695" t="s">
        <v>147</v>
      </c>
      <c r="CF2695" s="3">
        <v>43795</v>
      </c>
      <c r="CI2695">
        <v>1</v>
      </c>
      <c r="CJ2695">
        <v>1</v>
      </c>
      <c r="CK2695">
        <v>21</v>
      </c>
      <c r="CL2695" t="s">
        <v>89</v>
      </c>
    </row>
    <row r="2696" spans="1:90">
      <c r="A2696" t="s">
        <v>72</v>
      </c>
      <c r="B2696" t="s">
        <v>73</v>
      </c>
      <c r="C2696" t="s">
        <v>74</v>
      </c>
      <c r="E2696" t="str">
        <f>"FES1162724615"</f>
        <v>FES1162724615</v>
      </c>
      <c r="F2696" s="3">
        <v>43791</v>
      </c>
      <c r="G2696">
        <v>202005</v>
      </c>
      <c r="H2696" t="s">
        <v>75</v>
      </c>
      <c r="I2696" t="s">
        <v>76</v>
      </c>
      <c r="J2696" t="s">
        <v>77</v>
      </c>
      <c r="K2696" t="s">
        <v>78</v>
      </c>
      <c r="L2696" t="s">
        <v>431</v>
      </c>
      <c r="M2696" t="s">
        <v>432</v>
      </c>
      <c r="N2696" t="s">
        <v>436</v>
      </c>
      <c r="O2696" t="s">
        <v>82</v>
      </c>
      <c r="P2696" t="str">
        <f>"2170718045                    "</f>
        <v xml:space="preserve">2170718045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8.58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 s="4">
        <v>50.45</v>
      </c>
      <c r="BM2696" s="4">
        <v>7.57</v>
      </c>
      <c r="BN2696" s="4">
        <v>58.02</v>
      </c>
      <c r="BO2696" s="4">
        <v>58.02</v>
      </c>
      <c r="BR2696" t="s">
        <v>84</v>
      </c>
      <c r="BS2696" s="3">
        <v>43794</v>
      </c>
      <c r="BT2696" s="5">
        <v>0.53611111111111109</v>
      </c>
      <c r="BU2696" t="s">
        <v>434</v>
      </c>
      <c r="BV2696" t="s">
        <v>86</v>
      </c>
      <c r="BY2696">
        <v>1200</v>
      </c>
      <c r="CA2696" t="s">
        <v>435</v>
      </c>
      <c r="CC2696" t="s">
        <v>432</v>
      </c>
      <c r="CD2696">
        <v>3699</v>
      </c>
      <c r="CE2696" t="s">
        <v>147</v>
      </c>
      <c r="CF2696" s="3">
        <v>43796</v>
      </c>
      <c r="CI2696">
        <v>1</v>
      </c>
      <c r="CJ2696">
        <v>1</v>
      </c>
      <c r="CK2696">
        <v>21</v>
      </c>
      <c r="CL2696" t="s">
        <v>89</v>
      </c>
    </row>
    <row r="2697" spans="1:90">
      <c r="A2697" t="s">
        <v>72</v>
      </c>
      <c r="B2697" t="s">
        <v>73</v>
      </c>
      <c r="C2697" t="s">
        <v>74</v>
      </c>
      <c r="E2697" t="str">
        <f>"FES1162724645"</f>
        <v>FES1162724645</v>
      </c>
      <c r="F2697" s="3">
        <v>43791</v>
      </c>
      <c r="G2697">
        <v>202005</v>
      </c>
      <c r="H2697" t="s">
        <v>75</v>
      </c>
      <c r="I2697" t="s">
        <v>76</v>
      </c>
      <c r="J2697" t="s">
        <v>77</v>
      </c>
      <c r="K2697" t="s">
        <v>78</v>
      </c>
      <c r="L2697" t="s">
        <v>2138</v>
      </c>
      <c r="M2697" t="s">
        <v>2139</v>
      </c>
      <c r="N2697" t="s">
        <v>2108</v>
      </c>
      <c r="O2697" t="s">
        <v>82</v>
      </c>
      <c r="P2697" t="str">
        <f>"2170718429                    "</f>
        <v xml:space="preserve">2170718429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16.63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 s="4">
        <v>97.75</v>
      </c>
      <c r="BM2697" s="4">
        <v>14.66</v>
      </c>
      <c r="BN2697" s="4">
        <v>112.41</v>
      </c>
      <c r="BO2697" s="4">
        <v>112.41</v>
      </c>
      <c r="BR2697" t="s">
        <v>84</v>
      </c>
      <c r="BS2697" s="3">
        <v>43794</v>
      </c>
      <c r="BT2697" s="5">
        <v>0.375</v>
      </c>
      <c r="BU2697" t="s">
        <v>2790</v>
      </c>
      <c r="BV2697" t="s">
        <v>86</v>
      </c>
      <c r="BY2697">
        <v>1200</v>
      </c>
      <c r="CA2697" t="s">
        <v>123</v>
      </c>
      <c r="CC2697" t="s">
        <v>2139</v>
      </c>
      <c r="CD2697">
        <v>9499</v>
      </c>
      <c r="CE2697" t="s">
        <v>147</v>
      </c>
      <c r="CF2697" s="3">
        <v>43796</v>
      </c>
      <c r="CI2697">
        <v>1</v>
      </c>
      <c r="CJ2697">
        <v>1</v>
      </c>
      <c r="CK2697">
        <v>23</v>
      </c>
      <c r="CL2697" t="s">
        <v>89</v>
      </c>
    </row>
    <row r="2698" spans="1:90">
      <c r="A2698" t="s">
        <v>72</v>
      </c>
      <c r="B2698" t="s">
        <v>73</v>
      </c>
      <c r="C2698" t="s">
        <v>74</v>
      </c>
      <c r="E2698" t="str">
        <f>"FES1162724720"</f>
        <v>FES1162724720</v>
      </c>
      <c r="F2698" s="3">
        <v>43791</v>
      </c>
      <c r="G2698">
        <v>202005</v>
      </c>
      <c r="H2698" t="s">
        <v>75</v>
      </c>
      <c r="I2698" t="s">
        <v>76</v>
      </c>
      <c r="J2698" t="s">
        <v>77</v>
      </c>
      <c r="K2698" t="s">
        <v>78</v>
      </c>
      <c r="L2698" t="s">
        <v>1268</v>
      </c>
      <c r="M2698" t="s">
        <v>1269</v>
      </c>
      <c r="N2698" t="s">
        <v>1270</v>
      </c>
      <c r="O2698" t="s">
        <v>82</v>
      </c>
      <c r="P2698" t="str">
        <f>"21707180509                   "</f>
        <v xml:space="preserve">21707180509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8.58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 s="4">
        <v>50.45</v>
      </c>
      <c r="BM2698" s="4">
        <v>7.57</v>
      </c>
      <c r="BN2698" s="4">
        <v>58.02</v>
      </c>
      <c r="BO2698" s="4">
        <v>58.02</v>
      </c>
      <c r="BQ2698" t="s">
        <v>109</v>
      </c>
      <c r="BR2698" t="s">
        <v>84</v>
      </c>
      <c r="BS2698" s="3">
        <v>43794</v>
      </c>
      <c r="BT2698" s="5">
        <v>0.4770833333333333</v>
      </c>
      <c r="BU2698" t="s">
        <v>2486</v>
      </c>
      <c r="BV2698" t="s">
        <v>86</v>
      </c>
      <c r="BY2698">
        <v>1200</v>
      </c>
      <c r="CA2698" t="s">
        <v>1215</v>
      </c>
      <c r="CC2698" t="s">
        <v>1269</v>
      </c>
      <c r="CD2698">
        <v>3290</v>
      </c>
      <c r="CE2698" t="s">
        <v>147</v>
      </c>
      <c r="CF2698" s="3">
        <v>43796</v>
      </c>
      <c r="CI2698">
        <v>1</v>
      </c>
      <c r="CJ2698">
        <v>1</v>
      </c>
      <c r="CK2698">
        <v>21</v>
      </c>
      <c r="CL2698" t="s">
        <v>89</v>
      </c>
    </row>
    <row r="2699" spans="1:90">
      <c r="A2699" t="s">
        <v>72</v>
      </c>
      <c r="B2699" t="s">
        <v>73</v>
      </c>
      <c r="C2699" t="s">
        <v>74</v>
      </c>
      <c r="E2699" t="str">
        <f>"FES1162724742"</f>
        <v>FES1162724742</v>
      </c>
      <c r="F2699" s="3">
        <v>43791</v>
      </c>
      <c r="G2699">
        <v>202005</v>
      </c>
      <c r="H2699" t="s">
        <v>75</v>
      </c>
      <c r="I2699" t="s">
        <v>76</v>
      </c>
      <c r="J2699" t="s">
        <v>77</v>
      </c>
      <c r="K2699" t="s">
        <v>78</v>
      </c>
      <c r="L2699" t="s">
        <v>124</v>
      </c>
      <c r="M2699" t="s">
        <v>125</v>
      </c>
      <c r="N2699" t="s">
        <v>218</v>
      </c>
      <c r="O2699" t="s">
        <v>82</v>
      </c>
      <c r="P2699" t="str">
        <f>"2170718536                    "</f>
        <v xml:space="preserve">2170718536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6.71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 s="4">
        <v>39.42</v>
      </c>
      <c r="BM2699" s="4">
        <v>5.91</v>
      </c>
      <c r="BN2699" s="4">
        <v>45.33</v>
      </c>
      <c r="BO2699" s="4">
        <v>45.33</v>
      </c>
      <c r="BQ2699" t="s">
        <v>121</v>
      </c>
      <c r="BR2699" t="s">
        <v>84</v>
      </c>
      <c r="BS2699" s="3">
        <v>43794</v>
      </c>
      <c r="BT2699" s="5">
        <v>0.39305555555555555</v>
      </c>
      <c r="BU2699" t="s">
        <v>476</v>
      </c>
      <c r="BV2699" t="s">
        <v>86</v>
      </c>
      <c r="BY2699">
        <v>1200</v>
      </c>
      <c r="CA2699" t="s">
        <v>415</v>
      </c>
      <c r="CC2699" t="s">
        <v>125</v>
      </c>
      <c r="CD2699">
        <v>2094</v>
      </c>
      <c r="CE2699" t="s">
        <v>147</v>
      </c>
      <c r="CF2699" s="3">
        <v>43795</v>
      </c>
      <c r="CI2699">
        <v>1</v>
      </c>
      <c r="CJ2699">
        <v>1</v>
      </c>
      <c r="CK2699">
        <v>22</v>
      </c>
      <c r="CL2699" t="s">
        <v>89</v>
      </c>
    </row>
    <row r="2700" spans="1:90">
      <c r="A2700" t="s">
        <v>72</v>
      </c>
      <c r="B2700" t="s">
        <v>73</v>
      </c>
      <c r="C2700" t="s">
        <v>74</v>
      </c>
      <c r="E2700" t="str">
        <f>"FES1162724731"</f>
        <v>FES1162724731</v>
      </c>
      <c r="F2700" s="3">
        <v>43791</v>
      </c>
      <c r="G2700">
        <v>202005</v>
      </c>
      <c r="H2700" t="s">
        <v>75</v>
      </c>
      <c r="I2700" t="s">
        <v>76</v>
      </c>
      <c r="J2700" t="s">
        <v>77</v>
      </c>
      <c r="K2700" t="s">
        <v>78</v>
      </c>
      <c r="L2700" t="s">
        <v>101</v>
      </c>
      <c r="M2700" t="s">
        <v>102</v>
      </c>
      <c r="N2700" t="s">
        <v>181</v>
      </c>
      <c r="O2700" t="s">
        <v>82</v>
      </c>
      <c r="P2700" t="str">
        <f>"2170718520                    "</f>
        <v xml:space="preserve">2170718520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8.58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 s="4">
        <v>50.45</v>
      </c>
      <c r="BM2700" s="4">
        <v>7.57</v>
      </c>
      <c r="BN2700" s="4">
        <v>58.02</v>
      </c>
      <c r="BO2700" s="4">
        <v>58.02</v>
      </c>
      <c r="BQ2700" t="s">
        <v>121</v>
      </c>
      <c r="BR2700" t="s">
        <v>84</v>
      </c>
      <c r="BS2700" s="3">
        <v>43794</v>
      </c>
      <c r="BT2700" s="5">
        <v>0.3923611111111111</v>
      </c>
      <c r="BU2700" t="s">
        <v>2791</v>
      </c>
      <c r="BV2700" t="s">
        <v>86</v>
      </c>
      <c r="BY2700">
        <v>1200</v>
      </c>
      <c r="CC2700" t="s">
        <v>102</v>
      </c>
      <c r="CD2700">
        <v>200</v>
      </c>
      <c r="CE2700" t="s">
        <v>147</v>
      </c>
      <c r="CF2700" s="3">
        <v>43795</v>
      </c>
      <c r="CI2700">
        <v>1</v>
      </c>
      <c r="CJ2700">
        <v>1</v>
      </c>
      <c r="CK2700">
        <v>21</v>
      </c>
      <c r="CL2700" t="s">
        <v>89</v>
      </c>
    </row>
    <row r="2701" spans="1:90">
      <c r="A2701" t="s">
        <v>72</v>
      </c>
      <c r="B2701" t="s">
        <v>73</v>
      </c>
      <c r="C2701" t="s">
        <v>74</v>
      </c>
      <c r="E2701" t="str">
        <f>"FES1162724597"</f>
        <v>FES1162724597</v>
      </c>
      <c r="F2701" s="3">
        <v>43791</v>
      </c>
      <c r="G2701">
        <v>202005</v>
      </c>
      <c r="H2701" t="s">
        <v>75</v>
      </c>
      <c r="I2701" t="s">
        <v>76</v>
      </c>
      <c r="J2701" t="s">
        <v>77</v>
      </c>
      <c r="K2701" t="s">
        <v>78</v>
      </c>
      <c r="L2701" t="s">
        <v>75</v>
      </c>
      <c r="M2701" t="s">
        <v>76</v>
      </c>
      <c r="N2701" t="s">
        <v>391</v>
      </c>
      <c r="O2701" t="s">
        <v>82</v>
      </c>
      <c r="P2701" t="str">
        <f>"2170718212                    "</f>
        <v xml:space="preserve">2170718212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6.71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 s="4">
        <v>39.42</v>
      </c>
      <c r="BM2701" s="4">
        <v>5.91</v>
      </c>
      <c r="BN2701" s="4">
        <v>45.33</v>
      </c>
      <c r="BO2701" s="4">
        <v>45.33</v>
      </c>
      <c r="BQ2701" t="s">
        <v>109</v>
      </c>
      <c r="BR2701" t="s">
        <v>84</v>
      </c>
      <c r="BS2701" s="3">
        <v>43794</v>
      </c>
      <c r="BT2701" s="5">
        <v>0.3888888888888889</v>
      </c>
      <c r="BU2701" t="s">
        <v>2655</v>
      </c>
      <c r="BV2701" t="s">
        <v>86</v>
      </c>
      <c r="BY2701">
        <v>1200</v>
      </c>
      <c r="CC2701" t="s">
        <v>76</v>
      </c>
      <c r="CD2701">
        <v>1600</v>
      </c>
      <c r="CE2701" t="s">
        <v>147</v>
      </c>
      <c r="CF2701" s="3">
        <v>43795</v>
      </c>
      <c r="CI2701">
        <v>1</v>
      </c>
      <c r="CJ2701">
        <v>1</v>
      </c>
      <c r="CK2701">
        <v>22</v>
      </c>
      <c r="CL2701" t="s">
        <v>89</v>
      </c>
    </row>
    <row r="2702" spans="1:90">
      <c r="A2702" t="s">
        <v>72</v>
      </c>
      <c r="B2702" t="s">
        <v>73</v>
      </c>
      <c r="C2702" t="s">
        <v>74</v>
      </c>
      <c r="E2702" t="str">
        <f>"FES1162724584"</f>
        <v>FES1162724584</v>
      </c>
      <c r="F2702" s="3">
        <v>43791</v>
      </c>
      <c r="G2702">
        <v>202005</v>
      </c>
      <c r="H2702" t="s">
        <v>75</v>
      </c>
      <c r="I2702" t="s">
        <v>76</v>
      </c>
      <c r="J2702" t="s">
        <v>77</v>
      </c>
      <c r="K2702" t="s">
        <v>78</v>
      </c>
      <c r="L2702" t="s">
        <v>339</v>
      </c>
      <c r="M2702" t="s">
        <v>340</v>
      </c>
      <c r="N2702" t="s">
        <v>341</v>
      </c>
      <c r="O2702" t="s">
        <v>82</v>
      </c>
      <c r="P2702" t="str">
        <f>"2170715657                    "</f>
        <v xml:space="preserve">2170715657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8.58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 s="4">
        <v>50.45</v>
      </c>
      <c r="BM2702" s="4">
        <v>7.57</v>
      </c>
      <c r="BN2702" s="4">
        <v>58.02</v>
      </c>
      <c r="BO2702" s="4">
        <v>58.02</v>
      </c>
      <c r="BQ2702" t="s">
        <v>109</v>
      </c>
      <c r="BR2702" t="s">
        <v>84</v>
      </c>
      <c r="BS2702" s="3">
        <v>43794</v>
      </c>
      <c r="BT2702" s="5">
        <v>0.36458333333333331</v>
      </c>
      <c r="BU2702" t="s">
        <v>342</v>
      </c>
      <c r="BV2702" t="s">
        <v>86</v>
      </c>
      <c r="BY2702">
        <v>1200</v>
      </c>
      <c r="CA2702" t="s">
        <v>343</v>
      </c>
      <c r="CC2702" t="s">
        <v>340</v>
      </c>
      <c r="CD2702">
        <v>157</v>
      </c>
      <c r="CE2702" t="s">
        <v>147</v>
      </c>
      <c r="CF2702" s="3">
        <v>43795</v>
      </c>
      <c r="CI2702">
        <v>1</v>
      </c>
      <c r="CJ2702">
        <v>1</v>
      </c>
      <c r="CK2702">
        <v>21</v>
      </c>
      <c r="CL2702" t="s">
        <v>89</v>
      </c>
    </row>
    <row r="2703" spans="1:90">
      <c r="A2703" t="s">
        <v>72</v>
      </c>
      <c r="B2703" t="s">
        <v>73</v>
      </c>
      <c r="C2703" t="s">
        <v>74</v>
      </c>
      <c r="E2703" t="str">
        <f>"FES1162724674"</f>
        <v>FES1162724674</v>
      </c>
      <c r="F2703" s="3">
        <v>43791</v>
      </c>
      <c r="G2703">
        <v>202005</v>
      </c>
      <c r="H2703" t="s">
        <v>75</v>
      </c>
      <c r="I2703" t="s">
        <v>76</v>
      </c>
      <c r="J2703" t="s">
        <v>77</v>
      </c>
      <c r="K2703" t="s">
        <v>78</v>
      </c>
      <c r="L2703" t="s">
        <v>202</v>
      </c>
      <c r="M2703" t="s">
        <v>203</v>
      </c>
      <c r="N2703" t="s">
        <v>1706</v>
      </c>
      <c r="O2703" t="s">
        <v>82</v>
      </c>
      <c r="P2703" t="str">
        <f>"2170716478                    "</f>
        <v xml:space="preserve">2170716478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6.71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 s="4">
        <v>39.42</v>
      </c>
      <c r="BM2703" s="4">
        <v>5.91</v>
      </c>
      <c r="BN2703" s="4">
        <v>45.33</v>
      </c>
      <c r="BO2703" s="4">
        <v>45.33</v>
      </c>
      <c r="BQ2703" t="s">
        <v>1707</v>
      </c>
      <c r="BR2703" t="s">
        <v>84</v>
      </c>
      <c r="BS2703" s="3">
        <v>43795</v>
      </c>
      <c r="BT2703" s="5">
        <v>0.42708333333333331</v>
      </c>
      <c r="BU2703" t="s">
        <v>2792</v>
      </c>
      <c r="BV2703" t="s">
        <v>89</v>
      </c>
      <c r="BW2703" t="s">
        <v>319</v>
      </c>
      <c r="BX2703" t="s">
        <v>481</v>
      </c>
      <c r="BY2703">
        <v>1200</v>
      </c>
      <c r="CC2703" t="s">
        <v>203</v>
      </c>
      <c r="CD2703">
        <v>1422</v>
      </c>
      <c r="CE2703" t="s">
        <v>147</v>
      </c>
      <c r="CF2703" s="3">
        <v>43796</v>
      </c>
      <c r="CI2703">
        <v>1</v>
      </c>
      <c r="CJ2703">
        <v>2</v>
      </c>
      <c r="CK2703">
        <v>22</v>
      </c>
      <c r="CL2703" t="s">
        <v>89</v>
      </c>
    </row>
    <row r="2704" spans="1:90">
      <c r="A2704" t="s">
        <v>72</v>
      </c>
      <c r="B2704" t="s">
        <v>73</v>
      </c>
      <c r="C2704" t="s">
        <v>74</v>
      </c>
      <c r="E2704" t="str">
        <f>"FES1162724693"</f>
        <v>FES1162724693</v>
      </c>
      <c r="F2704" s="3">
        <v>43791</v>
      </c>
      <c r="G2704">
        <v>202005</v>
      </c>
      <c r="H2704" t="s">
        <v>75</v>
      </c>
      <c r="I2704" t="s">
        <v>76</v>
      </c>
      <c r="J2704" t="s">
        <v>77</v>
      </c>
      <c r="K2704" t="s">
        <v>78</v>
      </c>
      <c r="L2704" t="s">
        <v>202</v>
      </c>
      <c r="M2704" t="s">
        <v>203</v>
      </c>
      <c r="N2704" t="s">
        <v>1372</v>
      </c>
      <c r="O2704" t="s">
        <v>82</v>
      </c>
      <c r="P2704" t="str">
        <f>"2170718477                    "</f>
        <v xml:space="preserve">2170718477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6.71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 s="4">
        <v>39.42</v>
      </c>
      <c r="BM2704" s="4">
        <v>5.91</v>
      </c>
      <c r="BN2704" s="4">
        <v>45.33</v>
      </c>
      <c r="BO2704" s="4">
        <v>45.33</v>
      </c>
      <c r="BQ2704" t="s">
        <v>1373</v>
      </c>
      <c r="BR2704" t="s">
        <v>84</v>
      </c>
      <c r="BS2704" s="3">
        <v>43794</v>
      </c>
      <c r="BT2704" s="5">
        <v>0.3430555555555555</v>
      </c>
      <c r="BU2704" t="s">
        <v>1374</v>
      </c>
      <c r="BV2704" t="s">
        <v>86</v>
      </c>
      <c r="BY2704">
        <v>1200</v>
      </c>
      <c r="CC2704" t="s">
        <v>203</v>
      </c>
      <c r="CD2704">
        <v>1422</v>
      </c>
      <c r="CE2704" t="s">
        <v>147</v>
      </c>
      <c r="CF2704" s="3">
        <v>43795</v>
      </c>
      <c r="CI2704">
        <v>1</v>
      </c>
      <c r="CJ2704">
        <v>1</v>
      </c>
      <c r="CK2704">
        <v>22</v>
      </c>
      <c r="CL2704" t="s">
        <v>89</v>
      </c>
    </row>
    <row r="2705" spans="1:90">
      <c r="A2705" t="s">
        <v>72</v>
      </c>
      <c r="B2705" t="s">
        <v>73</v>
      </c>
      <c r="C2705" t="s">
        <v>74</v>
      </c>
      <c r="E2705" t="str">
        <f>"FES1162724703"</f>
        <v>FES1162724703</v>
      </c>
      <c r="F2705" s="3">
        <v>43791</v>
      </c>
      <c r="G2705">
        <v>202005</v>
      </c>
      <c r="H2705" t="s">
        <v>75</v>
      </c>
      <c r="I2705" t="s">
        <v>76</v>
      </c>
      <c r="J2705" t="s">
        <v>77</v>
      </c>
      <c r="K2705" t="s">
        <v>78</v>
      </c>
      <c r="L2705" t="s">
        <v>482</v>
      </c>
      <c r="M2705" t="s">
        <v>483</v>
      </c>
      <c r="N2705" t="s">
        <v>594</v>
      </c>
      <c r="O2705" t="s">
        <v>82</v>
      </c>
      <c r="P2705" t="str">
        <f>"2170718494                    "</f>
        <v xml:space="preserve">2170718494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6.71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 s="4">
        <v>39.42</v>
      </c>
      <c r="BM2705" s="4">
        <v>5.91</v>
      </c>
      <c r="BN2705" s="4">
        <v>45.33</v>
      </c>
      <c r="BO2705" s="4">
        <v>45.33</v>
      </c>
      <c r="BQ2705" t="s">
        <v>109</v>
      </c>
      <c r="BR2705" t="s">
        <v>84</v>
      </c>
      <c r="BS2705" s="3">
        <v>43795</v>
      </c>
      <c r="BT2705" s="5">
        <v>0.38541666666666669</v>
      </c>
      <c r="BU2705" t="s">
        <v>1526</v>
      </c>
      <c r="BV2705" t="s">
        <v>89</v>
      </c>
      <c r="BW2705" t="s">
        <v>319</v>
      </c>
      <c r="BX2705" t="s">
        <v>743</v>
      </c>
      <c r="BY2705">
        <v>1200</v>
      </c>
      <c r="CC2705" t="s">
        <v>483</v>
      </c>
      <c r="CD2705">
        <v>1459</v>
      </c>
      <c r="CE2705" t="s">
        <v>147</v>
      </c>
      <c r="CF2705" s="3">
        <v>43796</v>
      </c>
      <c r="CI2705">
        <v>1</v>
      </c>
      <c r="CJ2705">
        <v>2</v>
      </c>
      <c r="CK2705">
        <v>22</v>
      </c>
      <c r="CL2705" t="s">
        <v>89</v>
      </c>
    </row>
    <row r="2706" spans="1:90">
      <c r="A2706" t="s">
        <v>72</v>
      </c>
      <c r="B2706" t="s">
        <v>73</v>
      </c>
      <c r="C2706" t="s">
        <v>74</v>
      </c>
      <c r="E2706" t="str">
        <f>"FES1162724702"</f>
        <v>FES1162724702</v>
      </c>
      <c r="F2706" s="3">
        <v>43791</v>
      </c>
      <c r="G2706">
        <v>202005</v>
      </c>
      <c r="H2706" t="s">
        <v>75</v>
      </c>
      <c r="I2706" t="s">
        <v>76</v>
      </c>
      <c r="J2706" t="s">
        <v>77</v>
      </c>
      <c r="K2706" t="s">
        <v>78</v>
      </c>
      <c r="L2706" t="s">
        <v>482</v>
      </c>
      <c r="M2706" t="s">
        <v>483</v>
      </c>
      <c r="N2706" t="s">
        <v>594</v>
      </c>
      <c r="O2706" t="s">
        <v>82</v>
      </c>
      <c r="P2706" t="str">
        <f>"2170718493                    "</f>
        <v xml:space="preserve">2170718493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16.350000000000001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5.6</v>
      </c>
      <c r="BJ2706">
        <v>7.7</v>
      </c>
      <c r="BK2706">
        <v>8</v>
      </c>
      <c r="BL2706" s="4">
        <v>96.1</v>
      </c>
      <c r="BM2706" s="4">
        <v>14.42</v>
      </c>
      <c r="BN2706" s="4">
        <v>110.52</v>
      </c>
      <c r="BO2706" s="4">
        <v>110.52</v>
      </c>
      <c r="BQ2706" t="s">
        <v>109</v>
      </c>
      <c r="BR2706" t="s">
        <v>84</v>
      </c>
      <c r="BS2706" s="3">
        <v>43795</v>
      </c>
      <c r="BT2706" s="5">
        <v>0.38541666666666669</v>
      </c>
      <c r="BU2706" t="s">
        <v>1526</v>
      </c>
      <c r="BV2706" t="s">
        <v>89</v>
      </c>
      <c r="BW2706" t="s">
        <v>319</v>
      </c>
      <c r="BX2706" t="s">
        <v>743</v>
      </c>
      <c r="BY2706">
        <v>38633.74</v>
      </c>
      <c r="CC2706" t="s">
        <v>483</v>
      </c>
      <c r="CD2706">
        <v>1459</v>
      </c>
      <c r="CE2706" t="s">
        <v>88</v>
      </c>
      <c r="CF2706" s="3">
        <v>43796</v>
      </c>
      <c r="CI2706">
        <v>1</v>
      </c>
      <c r="CJ2706">
        <v>2</v>
      </c>
      <c r="CK2706">
        <v>22</v>
      </c>
      <c r="CL2706" t="s">
        <v>89</v>
      </c>
    </row>
    <row r="2707" spans="1:90">
      <c r="A2707" t="s">
        <v>72</v>
      </c>
      <c r="B2707" t="s">
        <v>73</v>
      </c>
      <c r="C2707" t="s">
        <v>74</v>
      </c>
      <c r="E2707" t="str">
        <f>"FES1162724690"</f>
        <v>FES1162724690</v>
      </c>
      <c r="F2707" s="3">
        <v>43791</v>
      </c>
      <c r="G2707">
        <v>202005</v>
      </c>
      <c r="H2707" t="s">
        <v>75</v>
      </c>
      <c r="I2707" t="s">
        <v>76</v>
      </c>
      <c r="J2707" t="s">
        <v>77</v>
      </c>
      <c r="K2707" t="s">
        <v>78</v>
      </c>
      <c r="L2707" t="s">
        <v>202</v>
      </c>
      <c r="M2707" t="s">
        <v>203</v>
      </c>
      <c r="N2707" t="s">
        <v>1440</v>
      </c>
      <c r="O2707" t="s">
        <v>82</v>
      </c>
      <c r="P2707" t="str">
        <f>"2170718472                    "</f>
        <v xml:space="preserve">2170718472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6.71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 s="4">
        <v>39.42</v>
      </c>
      <c r="BM2707" s="4">
        <v>5.91</v>
      </c>
      <c r="BN2707" s="4">
        <v>45.33</v>
      </c>
      <c r="BO2707" s="4">
        <v>45.33</v>
      </c>
      <c r="BQ2707" t="s">
        <v>109</v>
      </c>
      <c r="BR2707" t="s">
        <v>84</v>
      </c>
      <c r="BS2707" s="3">
        <v>43794</v>
      </c>
      <c r="BT2707" s="5">
        <v>0.33333333333333331</v>
      </c>
      <c r="BU2707" t="s">
        <v>2793</v>
      </c>
      <c r="BV2707" t="s">
        <v>86</v>
      </c>
      <c r="BY2707">
        <v>1200</v>
      </c>
      <c r="CC2707" t="s">
        <v>203</v>
      </c>
      <c r="CD2707">
        <v>1428</v>
      </c>
      <c r="CE2707" t="s">
        <v>147</v>
      </c>
      <c r="CF2707" s="3">
        <v>43795</v>
      </c>
      <c r="CI2707">
        <v>1</v>
      </c>
      <c r="CJ2707">
        <v>1</v>
      </c>
      <c r="CK2707">
        <v>22</v>
      </c>
      <c r="CL2707" t="s">
        <v>89</v>
      </c>
    </row>
    <row r="2708" spans="1:90">
      <c r="A2708" t="s">
        <v>72</v>
      </c>
      <c r="B2708" t="s">
        <v>73</v>
      </c>
      <c r="C2708" t="s">
        <v>74</v>
      </c>
      <c r="E2708" t="str">
        <f>"FES1162724700"</f>
        <v>FES1162724700</v>
      </c>
      <c r="F2708" s="3">
        <v>43791</v>
      </c>
      <c r="G2708">
        <v>202005</v>
      </c>
      <c r="H2708" t="s">
        <v>75</v>
      </c>
      <c r="I2708" t="s">
        <v>76</v>
      </c>
      <c r="J2708" t="s">
        <v>77</v>
      </c>
      <c r="K2708" t="s">
        <v>78</v>
      </c>
      <c r="L2708" t="s">
        <v>2794</v>
      </c>
      <c r="M2708" t="s">
        <v>2795</v>
      </c>
      <c r="N2708" t="s">
        <v>827</v>
      </c>
      <c r="O2708" t="s">
        <v>82</v>
      </c>
      <c r="P2708" t="str">
        <f>"2170718488                    "</f>
        <v xml:space="preserve">2170718488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16.63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 s="4">
        <v>97.75</v>
      </c>
      <c r="BM2708" s="4">
        <v>14.66</v>
      </c>
      <c r="BN2708" s="4">
        <v>112.41</v>
      </c>
      <c r="BO2708" s="4">
        <v>112.41</v>
      </c>
      <c r="BQ2708" t="s">
        <v>337</v>
      </c>
      <c r="BR2708" t="s">
        <v>84</v>
      </c>
      <c r="BS2708" s="3">
        <v>43794</v>
      </c>
      <c r="BT2708" s="5">
        <v>0.5</v>
      </c>
      <c r="BU2708" t="s">
        <v>2796</v>
      </c>
      <c r="BV2708" t="s">
        <v>86</v>
      </c>
      <c r="BY2708">
        <v>1200</v>
      </c>
      <c r="CA2708" t="s">
        <v>2797</v>
      </c>
      <c r="CC2708" t="s">
        <v>2795</v>
      </c>
      <c r="CD2708">
        <v>9445</v>
      </c>
      <c r="CE2708" t="s">
        <v>147</v>
      </c>
      <c r="CF2708" s="3">
        <v>43796</v>
      </c>
      <c r="CI2708">
        <v>3</v>
      </c>
      <c r="CJ2708">
        <v>1</v>
      </c>
      <c r="CK2708">
        <v>23</v>
      </c>
      <c r="CL2708" t="s">
        <v>89</v>
      </c>
    </row>
    <row r="2709" spans="1:90">
      <c r="A2709" t="s">
        <v>72</v>
      </c>
      <c r="B2709" t="s">
        <v>73</v>
      </c>
      <c r="C2709" t="s">
        <v>74</v>
      </c>
      <c r="E2709" t="str">
        <f>"FES1162724636"</f>
        <v>FES1162724636</v>
      </c>
      <c r="F2709" s="3">
        <v>43791</v>
      </c>
      <c r="G2709">
        <v>202005</v>
      </c>
      <c r="H2709" t="s">
        <v>75</v>
      </c>
      <c r="I2709" t="s">
        <v>76</v>
      </c>
      <c r="J2709" t="s">
        <v>77</v>
      </c>
      <c r="K2709" t="s">
        <v>78</v>
      </c>
      <c r="L2709" t="s">
        <v>214</v>
      </c>
      <c r="M2709" t="s">
        <v>214</v>
      </c>
      <c r="N2709" t="s">
        <v>215</v>
      </c>
      <c r="O2709" t="s">
        <v>82</v>
      </c>
      <c r="P2709" t="str">
        <f>"2170718297                    "</f>
        <v xml:space="preserve">2170718297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16.63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 s="4">
        <v>97.75</v>
      </c>
      <c r="BM2709" s="4">
        <v>14.66</v>
      </c>
      <c r="BN2709" s="4">
        <v>112.41</v>
      </c>
      <c r="BO2709" s="4">
        <v>112.41</v>
      </c>
      <c r="BQ2709" t="s">
        <v>109</v>
      </c>
      <c r="BR2709" t="s">
        <v>84</v>
      </c>
      <c r="BS2709" s="3">
        <v>43794</v>
      </c>
      <c r="BT2709" s="5">
        <v>0.3979166666666667</v>
      </c>
      <c r="BU2709" t="s">
        <v>264</v>
      </c>
      <c r="BV2709" t="s">
        <v>86</v>
      </c>
      <c r="BY2709">
        <v>1200</v>
      </c>
      <c r="CA2709" t="s">
        <v>217</v>
      </c>
      <c r="CC2709" t="s">
        <v>214</v>
      </c>
      <c r="CD2709">
        <v>7646</v>
      </c>
      <c r="CE2709" t="s">
        <v>147</v>
      </c>
      <c r="CF2709" s="3">
        <v>43795</v>
      </c>
      <c r="CI2709">
        <v>1</v>
      </c>
      <c r="CJ2709">
        <v>1</v>
      </c>
      <c r="CK2709">
        <v>23</v>
      </c>
      <c r="CL2709" t="s">
        <v>89</v>
      </c>
    </row>
    <row r="2710" spans="1:90">
      <c r="A2710" t="s">
        <v>72</v>
      </c>
      <c r="B2710" t="s">
        <v>73</v>
      </c>
      <c r="C2710" t="s">
        <v>74</v>
      </c>
      <c r="E2710" t="str">
        <f>"FES1162724705"</f>
        <v>FES1162724705</v>
      </c>
      <c r="F2710" s="3">
        <v>43791</v>
      </c>
      <c r="G2710">
        <v>202005</v>
      </c>
      <c r="H2710" t="s">
        <v>75</v>
      </c>
      <c r="I2710" t="s">
        <v>76</v>
      </c>
      <c r="J2710" t="s">
        <v>77</v>
      </c>
      <c r="K2710" t="s">
        <v>78</v>
      </c>
      <c r="L2710" t="s">
        <v>90</v>
      </c>
      <c r="M2710" t="s">
        <v>91</v>
      </c>
      <c r="N2710" t="s">
        <v>527</v>
      </c>
      <c r="O2710" t="s">
        <v>82</v>
      </c>
      <c r="P2710" t="str">
        <f>"2170718495                    "</f>
        <v xml:space="preserve">2170718495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8.58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 s="4">
        <v>50.45</v>
      </c>
      <c r="BM2710" s="4">
        <v>7.57</v>
      </c>
      <c r="BN2710" s="4">
        <v>58.02</v>
      </c>
      <c r="BO2710" s="4">
        <v>58.02</v>
      </c>
      <c r="BQ2710" t="s">
        <v>109</v>
      </c>
      <c r="BR2710" t="s">
        <v>84</v>
      </c>
      <c r="BS2710" s="3">
        <v>43794</v>
      </c>
      <c r="BT2710" s="5">
        <v>0.30138888888888887</v>
      </c>
      <c r="BU2710" t="s">
        <v>2780</v>
      </c>
      <c r="BV2710" t="s">
        <v>86</v>
      </c>
      <c r="BY2710">
        <v>1200</v>
      </c>
      <c r="CA2710" t="s">
        <v>221</v>
      </c>
      <c r="CC2710" t="s">
        <v>91</v>
      </c>
      <c r="CD2710">
        <v>7405</v>
      </c>
      <c r="CE2710" t="s">
        <v>147</v>
      </c>
      <c r="CF2710" s="3">
        <v>43795</v>
      </c>
      <c r="CI2710">
        <v>1</v>
      </c>
      <c r="CJ2710">
        <v>1</v>
      </c>
      <c r="CK2710">
        <v>21</v>
      </c>
      <c r="CL2710" t="s">
        <v>89</v>
      </c>
    </row>
    <row r="2711" spans="1:90">
      <c r="A2711" t="s">
        <v>72</v>
      </c>
      <c r="B2711" t="s">
        <v>73</v>
      </c>
      <c r="C2711" t="s">
        <v>74</v>
      </c>
      <c r="E2711" t="str">
        <f>"FES1162724531"</f>
        <v>FES1162724531</v>
      </c>
      <c r="F2711" s="3">
        <v>43791</v>
      </c>
      <c r="G2711">
        <v>202005</v>
      </c>
      <c r="H2711" t="s">
        <v>75</v>
      </c>
      <c r="I2711" t="s">
        <v>76</v>
      </c>
      <c r="J2711" t="s">
        <v>77</v>
      </c>
      <c r="K2711" t="s">
        <v>78</v>
      </c>
      <c r="L2711" t="s">
        <v>101</v>
      </c>
      <c r="M2711" t="s">
        <v>102</v>
      </c>
      <c r="N2711" t="s">
        <v>768</v>
      </c>
      <c r="O2711" t="s">
        <v>82</v>
      </c>
      <c r="P2711" t="str">
        <f>"2170718313                    "</f>
        <v xml:space="preserve">2170718313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15.02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3.2</v>
      </c>
      <c r="BJ2711">
        <v>0.8</v>
      </c>
      <c r="BK2711">
        <v>3.5</v>
      </c>
      <c r="BL2711" s="4">
        <v>88.27</v>
      </c>
      <c r="BM2711" s="4">
        <v>13.24</v>
      </c>
      <c r="BN2711" s="4">
        <v>101.51</v>
      </c>
      <c r="BO2711" s="4">
        <v>101.51</v>
      </c>
      <c r="BQ2711" t="s">
        <v>121</v>
      </c>
      <c r="BR2711" t="s">
        <v>84</v>
      </c>
      <c r="BS2711" s="3">
        <v>43794</v>
      </c>
      <c r="BT2711" s="5">
        <v>0.375</v>
      </c>
      <c r="BU2711" t="s">
        <v>2798</v>
      </c>
      <c r="BV2711" t="s">
        <v>86</v>
      </c>
      <c r="BY2711">
        <v>3752.93</v>
      </c>
      <c r="CA2711">
        <v>1162724232</v>
      </c>
      <c r="CC2711" t="s">
        <v>102</v>
      </c>
      <c r="CD2711">
        <v>117</v>
      </c>
      <c r="CE2711" t="s">
        <v>88</v>
      </c>
      <c r="CF2711" s="3">
        <v>43795</v>
      </c>
      <c r="CI2711">
        <v>1</v>
      </c>
      <c r="CJ2711">
        <v>1</v>
      </c>
      <c r="CK2711">
        <v>21</v>
      </c>
      <c r="CL2711" t="s">
        <v>89</v>
      </c>
    </row>
    <row r="2712" spans="1:90">
      <c r="A2712" t="s">
        <v>72</v>
      </c>
      <c r="B2712" t="s">
        <v>73</v>
      </c>
      <c r="C2712" t="s">
        <v>74</v>
      </c>
      <c r="E2712" t="str">
        <f>"FES1162724621"</f>
        <v>FES1162724621</v>
      </c>
      <c r="F2712" s="3">
        <v>43791</v>
      </c>
      <c r="G2712">
        <v>202005</v>
      </c>
      <c r="H2712" t="s">
        <v>75</v>
      </c>
      <c r="I2712" t="s">
        <v>76</v>
      </c>
      <c r="J2712" t="s">
        <v>77</v>
      </c>
      <c r="K2712" t="s">
        <v>78</v>
      </c>
      <c r="L2712" t="s">
        <v>106</v>
      </c>
      <c r="M2712" t="s">
        <v>107</v>
      </c>
      <c r="N2712" t="s">
        <v>108</v>
      </c>
      <c r="O2712" t="s">
        <v>82</v>
      </c>
      <c r="P2712" t="str">
        <f>"2170718406                    "</f>
        <v xml:space="preserve">2170718406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8.58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 s="4">
        <v>50.45</v>
      </c>
      <c r="BM2712" s="4">
        <v>7.57</v>
      </c>
      <c r="BN2712" s="4">
        <v>58.02</v>
      </c>
      <c r="BO2712" s="4">
        <v>58.02</v>
      </c>
      <c r="BQ2712" t="s">
        <v>109</v>
      </c>
      <c r="BR2712" t="s">
        <v>84</v>
      </c>
      <c r="BS2712" s="3">
        <v>43794</v>
      </c>
      <c r="BT2712" s="5">
        <v>0.40069444444444446</v>
      </c>
      <c r="BU2712" t="s">
        <v>2799</v>
      </c>
      <c r="BV2712" t="s">
        <v>86</v>
      </c>
      <c r="BY2712">
        <v>1200</v>
      </c>
      <c r="CA2712" t="s">
        <v>2415</v>
      </c>
      <c r="CC2712" t="s">
        <v>107</v>
      </c>
      <c r="CD2712">
        <v>6001</v>
      </c>
      <c r="CE2712" t="s">
        <v>147</v>
      </c>
      <c r="CF2712" s="3">
        <v>43795</v>
      </c>
      <c r="CI2712">
        <v>1</v>
      </c>
      <c r="CJ2712">
        <v>1</v>
      </c>
      <c r="CK2712">
        <v>21</v>
      </c>
      <c r="CL2712" t="s">
        <v>89</v>
      </c>
    </row>
    <row r="2713" spans="1:90">
      <c r="A2713" t="s">
        <v>72</v>
      </c>
      <c r="B2713" t="s">
        <v>73</v>
      </c>
      <c r="C2713" t="s">
        <v>74</v>
      </c>
      <c r="E2713" t="str">
        <f>"FES1162724746"</f>
        <v>FES1162724746</v>
      </c>
      <c r="F2713" s="3">
        <v>43791</v>
      </c>
      <c r="G2713">
        <v>202005</v>
      </c>
      <c r="H2713" t="s">
        <v>75</v>
      </c>
      <c r="I2713" t="s">
        <v>76</v>
      </c>
      <c r="J2713" t="s">
        <v>77</v>
      </c>
      <c r="K2713" t="s">
        <v>78</v>
      </c>
      <c r="L2713" t="s">
        <v>112</v>
      </c>
      <c r="M2713" t="s">
        <v>113</v>
      </c>
      <c r="N2713" t="s">
        <v>206</v>
      </c>
      <c r="O2713" t="s">
        <v>82</v>
      </c>
      <c r="P2713" t="str">
        <f>"2170718540                    "</f>
        <v xml:space="preserve">2170718540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8.58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 s="4">
        <v>50.45</v>
      </c>
      <c r="BM2713" s="4">
        <v>7.57</v>
      </c>
      <c r="BN2713" s="4">
        <v>58.02</v>
      </c>
      <c r="BO2713" s="4">
        <v>58.02</v>
      </c>
      <c r="BQ2713" t="s">
        <v>109</v>
      </c>
      <c r="BR2713" t="s">
        <v>84</v>
      </c>
      <c r="BS2713" s="3">
        <v>43794</v>
      </c>
      <c r="BT2713" s="5">
        <v>0.35972222222222222</v>
      </c>
      <c r="BU2713" t="s">
        <v>1325</v>
      </c>
      <c r="BV2713" t="s">
        <v>86</v>
      </c>
      <c r="BY2713">
        <v>1200</v>
      </c>
      <c r="CA2713" t="s">
        <v>2212</v>
      </c>
      <c r="CC2713" t="s">
        <v>113</v>
      </c>
      <c r="CD2713">
        <v>4001</v>
      </c>
      <c r="CE2713" t="s">
        <v>147</v>
      </c>
      <c r="CF2713" s="3">
        <v>43795</v>
      </c>
      <c r="CI2713">
        <v>1</v>
      </c>
      <c r="CJ2713">
        <v>1</v>
      </c>
      <c r="CK2713">
        <v>21</v>
      </c>
      <c r="CL2713" t="s">
        <v>89</v>
      </c>
    </row>
    <row r="2714" spans="1:90">
      <c r="A2714" t="s">
        <v>72</v>
      </c>
      <c r="B2714" t="s">
        <v>73</v>
      </c>
      <c r="C2714" t="s">
        <v>74</v>
      </c>
      <c r="E2714" t="str">
        <f>"FES1162724590"</f>
        <v>FES1162724590</v>
      </c>
      <c r="F2714" s="3">
        <v>43791</v>
      </c>
      <c r="G2714">
        <v>202005</v>
      </c>
      <c r="H2714" t="s">
        <v>75</v>
      </c>
      <c r="I2714" t="s">
        <v>76</v>
      </c>
      <c r="J2714" t="s">
        <v>77</v>
      </c>
      <c r="K2714" t="s">
        <v>78</v>
      </c>
      <c r="L2714" t="s">
        <v>192</v>
      </c>
      <c r="M2714" t="s">
        <v>193</v>
      </c>
      <c r="N2714" t="s">
        <v>194</v>
      </c>
      <c r="O2714" t="s">
        <v>82</v>
      </c>
      <c r="P2714" t="str">
        <f>"2170717231                    "</f>
        <v xml:space="preserve">2170717231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16.63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 s="4">
        <v>97.75</v>
      </c>
      <c r="BM2714" s="4">
        <v>14.66</v>
      </c>
      <c r="BN2714" s="4">
        <v>112.41</v>
      </c>
      <c r="BO2714" s="4">
        <v>112.41</v>
      </c>
      <c r="BQ2714" t="s">
        <v>109</v>
      </c>
      <c r="BR2714" t="s">
        <v>84</v>
      </c>
      <c r="BS2714" s="3">
        <v>43792</v>
      </c>
      <c r="BT2714" s="5">
        <v>0.41666666666666669</v>
      </c>
      <c r="BU2714" t="s">
        <v>2800</v>
      </c>
      <c r="BV2714" t="s">
        <v>86</v>
      </c>
      <c r="BY2714">
        <v>1200</v>
      </c>
      <c r="CA2714" t="s">
        <v>2801</v>
      </c>
      <c r="CC2714" t="s">
        <v>193</v>
      </c>
      <c r="CD2714">
        <v>7130</v>
      </c>
      <c r="CE2714" t="s">
        <v>147</v>
      </c>
      <c r="CF2714" s="3">
        <v>43795</v>
      </c>
      <c r="CI2714">
        <v>1</v>
      </c>
      <c r="CJ2714">
        <v>0</v>
      </c>
      <c r="CK2714">
        <v>23</v>
      </c>
      <c r="CL2714" t="s">
        <v>89</v>
      </c>
    </row>
    <row r="2715" spans="1:90">
      <c r="A2715" t="s">
        <v>72</v>
      </c>
      <c r="B2715" t="s">
        <v>73</v>
      </c>
      <c r="C2715" t="s">
        <v>74</v>
      </c>
      <c r="E2715" t="str">
        <f>"FES1162724710"</f>
        <v>FES1162724710</v>
      </c>
      <c r="F2715" s="3">
        <v>43791</v>
      </c>
      <c r="G2715">
        <v>202005</v>
      </c>
      <c r="H2715" t="s">
        <v>75</v>
      </c>
      <c r="I2715" t="s">
        <v>76</v>
      </c>
      <c r="J2715" t="s">
        <v>77</v>
      </c>
      <c r="K2715" t="s">
        <v>78</v>
      </c>
      <c r="L2715" t="s">
        <v>1327</v>
      </c>
      <c r="M2715" t="s">
        <v>1328</v>
      </c>
      <c r="N2715" t="s">
        <v>1329</v>
      </c>
      <c r="O2715" t="s">
        <v>82</v>
      </c>
      <c r="P2715" t="str">
        <f>"2170718504                    "</f>
        <v xml:space="preserve">2170718504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16.63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 s="4">
        <v>97.75</v>
      </c>
      <c r="BM2715" s="4">
        <v>14.66</v>
      </c>
      <c r="BN2715" s="4">
        <v>112.41</v>
      </c>
      <c r="BO2715" s="4">
        <v>112.41</v>
      </c>
      <c r="BQ2715" t="s">
        <v>109</v>
      </c>
      <c r="BR2715" t="s">
        <v>84</v>
      </c>
      <c r="BS2715" s="3">
        <v>43794</v>
      </c>
      <c r="BT2715" s="5">
        <v>0.32291666666666669</v>
      </c>
      <c r="BU2715" t="s">
        <v>2802</v>
      </c>
      <c r="BV2715" t="s">
        <v>86</v>
      </c>
      <c r="BY2715">
        <v>1200</v>
      </c>
      <c r="CA2715" t="s">
        <v>2803</v>
      </c>
      <c r="CC2715" t="s">
        <v>1328</v>
      </c>
      <c r="CD2715">
        <v>9700</v>
      </c>
      <c r="CE2715" t="s">
        <v>147</v>
      </c>
      <c r="CF2715" s="3">
        <v>43796</v>
      </c>
      <c r="CI2715">
        <v>1</v>
      </c>
      <c r="CJ2715">
        <v>1</v>
      </c>
      <c r="CK2715">
        <v>23</v>
      </c>
      <c r="CL2715" t="s">
        <v>89</v>
      </c>
    </row>
    <row r="2716" spans="1:90">
      <c r="A2716" t="s">
        <v>72</v>
      </c>
      <c r="B2716" t="s">
        <v>73</v>
      </c>
      <c r="C2716" t="s">
        <v>74</v>
      </c>
      <c r="E2716" t="str">
        <f>"FES1162724692"</f>
        <v>FES1162724692</v>
      </c>
      <c r="F2716" s="3">
        <v>43791</v>
      </c>
      <c r="G2716">
        <v>202005</v>
      </c>
      <c r="H2716" t="s">
        <v>75</v>
      </c>
      <c r="I2716" t="s">
        <v>76</v>
      </c>
      <c r="J2716" t="s">
        <v>77</v>
      </c>
      <c r="K2716" t="s">
        <v>78</v>
      </c>
      <c r="L2716" t="s">
        <v>101</v>
      </c>
      <c r="M2716" t="s">
        <v>102</v>
      </c>
      <c r="N2716" t="s">
        <v>707</v>
      </c>
      <c r="O2716" t="s">
        <v>82</v>
      </c>
      <c r="P2716" t="str">
        <f>"2170718476                    "</f>
        <v xml:space="preserve">2170718476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8.58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1.8</v>
      </c>
      <c r="BJ2716">
        <v>0.7</v>
      </c>
      <c r="BK2716">
        <v>2</v>
      </c>
      <c r="BL2716" s="4">
        <v>50.45</v>
      </c>
      <c r="BM2716" s="4">
        <v>7.57</v>
      </c>
      <c r="BN2716" s="4">
        <v>58.02</v>
      </c>
      <c r="BO2716" s="4">
        <v>58.02</v>
      </c>
      <c r="BQ2716" t="s">
        <v>121</v>
      </c>
      <c r="BR2716" t="s">
        <v>84</v>
      </c>
      <c r="BS2716" s="3">
        <v>43794</v>
      </c>
      <c r="BT2716" s="5">
        <v>0.3298611111111111</v>
      </c>
      <c r="BU2716" t="s">
        <v>708</v>
      </c>
      <c r="BV2716" t="s">
        <v>86</v>
      </c>
      <c r="BY2716">
        <v>3712.34</v>
      </c>
      <c r="CA2716" t="s">
        <v>709</v>
      </c>
      <c r="CC2716" t="s">
        <v>102</v>
      </c>
      <c r="CD2716">
        <v>1</v>
      </c>
      <c r="CE2716" t="s">
        <v>88</v>
      </c>
      <c r="CF2716" s="3">
        <v>43795</v>
      </c>
      <c r="CI2716">
        <v>1</v>
      </c>
      <c r="CJ2716">
        <v>1</v>
      </c>
      <c r="CK2716">
        <v>21</v>
      </c>
      <c r="CL2716" t="s">
        <v>89</v>
      </c>
    </row>
    <row r="2717" spans="1:90">
      <c r="A2717" t="s">
        <v>72</v>
      </c>
      <c r="B2717" t="s">
        <v>73</v>
      </c>
      <c r="C2717" t="s">
        <v>74</v>
      </c>
      <c r="E2717" t="str">
        <f>"FES1162724665"</f>
        <v>FES1162724665</v>
      </c>
      <c r="F2717" s="3">
        <v>43791</v>
      </c>
      <c r="G2717">
        <v>202005</v>
      </c>
      <c r="H2717" t="s">
        <v>75</v>
      </c>
      <c r="I2717" t="s">
        <v>76</v>
      </c>
      <c r="J2717" t="s">
        <v>77</v>
      </c>
      <c r="K2717" t="s">
        <v>78</v>
      </c>
      <c r="L2717" t="s">
        <v>118</v>
      </c>
      <c r="M2717" t="s">
        <v>119</v>
      </c>
      <c r="N2717" t="s">
        <v>885</v>
      </c>
      <c r="O2717" t="s">
        <v>82</v>
      </c>
      <c r="P2717" t="str">
        <f>"2170718344                    "</f>
        <v xml:space="preserve">2170718344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21.45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5</v>
      </c>
      <c r="BJ2717">
        <v>3</v>
      </c>
      <c r="BK2717">
        <v>5</v>
      </c>
      <c r="BL2717" s="4">
        <v>126.08</v>
      </c>
      <c r="BM2717" s="4">
        <v>18.91</v>
      </c>
      <c r="BN2717" s="4">
        <v>144.99</v>
      </c>
      <c r="BO2717" s="4">
        <v>144.99</v>
      </c>
      <c r="BQ2717" t="s">
        <v>109</v>
      </c>
      <c r="BR2717" t="s">
        <v>84</v>
      </c>
      <c r="BS2717" s="3">
        <v>43794</v>
      </c>
      <c r="BT2717" s="5">
        <v>0.38055555555555554</v>
      </c>
      <c r="BU2717" t="s">
        <v>2804</v>
      </c>
      <c r="BV2717" t="s">
        <v>86</v>
      </c>
      <c r="BY2717">
        <v>15031.13</v>
      </c>
      <c r="CC2717" t="s">
        <v>119</v>
      </c>
      <c r="CD2717">
        <v>3212</v>
      </c>
      <c r="CE2717" t="s">
        <v>88</v>
      </c>
      <c r="CF2717" s="3">
        <v>43796</v>
      </c>
      <c r="CI2717">
        <v>1</v>
      </c>
      <c r="CJ2717">
        <v>1</v>
      </c>
      <c r="CK2717">
        <v>21</v>
      </c>
      <c r="CL2717" t="s">
        <v>89</v>
      </c>
    </row>
    <row r="2718" spans="1:90">
      <c r="A2718" t="s">
        <v>72</v>
      </c>
      <c r="B2718" t="s">
        <v>73</v>
      </c>
      <c r="C2718" t="s">
        <v>74</v>
      </c>
      <c r="E2718" t="str">
        <f>"FES1162724624"</f>
        <v>FES1162724624</v>
      </c>
      <c r="F2718" s="3">
        <v>43791</v>
      </c>
      <c r="G2718">
        <v>202005</v>
      </c>
      <c r="H2718" t="s">
        <v>75</v>
      </c>
      <c r="I2718" t="s">
        <v>76</v>
      </c>
      <c r="J2718" t="s">
        <v>77</v>
      </c>
      <c r="K2718" t="s">
        <v>78</v>
      </c>
      <c r="L2718" t="s">
        <v>112</v>
      </c>
      <c r="M2718" t="s">
        <v>113</v>
      </c>
      <c r="N2718" t="s">
        <v>887</v>
      </c>
      <c r="O2718" t="s">
        <v>82</v>
      </c>
      <c r="P2718" t="str">
        <f>"2170718414                    "</f>
        <v xml:space="preserve">2170718414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8.58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1.2</v>
      </c>
      <c r="BK2718">
        <v>1.5</v>
      </c>
      <c r="BL2718" s="4">
        <v>50.45</v>
      </c>
      <c r="BM2718" s="4">
        <v>7.57</v>
      </c>
      <c r="BN2718" s="4">
        <v>58.02</v>
      </c>
      <c r="BO2718" s="4">
        <v>58.02</v>
      </c>
      <c r="BQ2718" t="s">
        <v>121</v>
      </c>
      <c r="BR2718" t="s">
        <v>84</v>
      </c>
      <c r="BS2718" s="3">
        <v>43794</v>
      </c>
      <c r="BT2718" s="5">
        <v>0.28888888888888892</v>
      </c>
      <c r="BU2718" t="s">
        <v>2332</v>
      </c>
      <c r="BV2718" t="s">
        <v>86</v>
      </c>
      <c r="BY2718">
        <v>6104.7</v>
      </c>
      <c r="CA2718" t="s">
        <v>180</v>
      </c>
      <c r="CC2718" t="s">
        <v>113</v>
      </c>
      <c r="CD2718">
        <v>4001</v>
      </c>
      <c r="CE2718" t="s">
        <v>88</v>
      </c>
      <c r="CF2718" s="3">
        <v>43795</v>
      </c>
      <c r="CI2718">
        <v>1</v>
      </c>
      <c r="CJ2718">
        <v>1</v>
      </c>
      <c r="CK2718">
        <v>21</v>
      </c>
      <c r="CL2718" t="s">
        <v>89</v>
      </c>
    </row>
    <row r="2719" spans="1:90">
      <c r="A2719" t="s">
        <v>72</v>
      </c>
      <c r="B2719" t="s">
        <v>73</v>
      </c>
      <c r="C2719" t="s">
        <v>74</v>
      </c>
      <c r="E2719" t="str">
        <f>"FES1162724600"</f>
        <v>FES1162724600</v>
      </c>
      <c r="F2719" s="3">
        <v>43791</v>
      </c>
      <c r="G2719">
        <v>202005</v>
      </c>
      <c r="H2719" t="s">
        <v>75</v>
      </c>
      <c r="I2719" t="s">
        <v>76</v>
      </c>
      <c r="J2719" t="s">
        <v>77</v>
      </c>
      <c r="K2719" t="s">
        <v>78</v>
      </c>
      <c r="L2719" t="s">
        <v>176</v>
      </c>
      <c r="M2719" t="s">
        <v>177</v>
      </c>
      <c r="N2719" t="s">
        <v>417</v>
      </c>
      <c r="O2719" t="s">
        <v>82</v>
      </c>
      <c r="P2719" t="str">
        <f>"2170715145                    "</f>
        <v xml:space="preserve">2170715145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15.02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0.8</v>
      </c>
      <c r="BJ2719">
        <v>3.1</v>
      </c>
      <c r="BK2719">
        <v>3.5</v>
      </c>
      <c r="BL2719" s="4">
        <v>88.27</v>
      </c>
      <c r="BM2719" s="4">
        <v>13.24</v>
      </c>
      <c r="BN2719" s="4">
        <v>101.51</v>
      </c>
      <c r="BO2719" s="4">
        <v>101.51</v>
      </c>
      <c r="BQ2719" t="s">
        <v>121</v>
      </c>
      <c r="BR2719" t="s">
        <v>84</v>
      </c>
      <c r="BS2719" s="3">
        <v>43794</v>
      </c>
      <c r="BT2719" s="5">
        <v>0.31111111111111112</v>
      </c>
      <c r="BU2719" t="s">
        <v>2456</v>
      </c>
      <c r="BV2719" t="s">
        <v>86</v>
      </c>
      <c r="BY2719">
        <v>15522.24</v>
      </c>
      <c r="CA2719" t="s">
        <v>2786</v>
      </c>
      <c r="CC2719" t="s">
        <v>177</v>
      </c>
      <c r="CD2719">
        <v>3600</v>
      </c>
      <c r="CE2719" t="s">
        <v>88</v>
      </c>
      <c r="CF2719" s="3">
        <v>43795</v>
      </c>
      <c r="CI2719">
        <v>1</v>
      </c>
      <c r="CJ2719">
        <v>1</v>
      </c>
      <c r="CK2719">
        <v>21</v>
      </c>
      <c r="CL2719" t="s">
        <v>89</v>
      </c>
    </row>
    <row r="2720" spans="1:90">
      <c r="A2720" t="s">
        <v>72</v>
      </c>
      <c r="B2720" t="s">
        <v>73</v>
      </c>
      <c r="C2720" t="s">
        <v>74</v>
      </c>
      <c r="E2720" t="str">
        <f>"FES1162724658"</f>
        <v>FES1162724658</v>
      </c>
      <c r="F2720" s="3">
        <v>43791</v>
      </c>
      <c r="G2720">
        <v>202005</v>
      </c>
      <c r="H2720" t="s">
        <v>75</v>
      </c>
      <c r="I2720" t="s">
        <v>76</v>
      </c>
      <c r="J2720" t="s">
        <v>77</v>
      </c>
      <c r="K2720" t="s">
        <v>78</v>
      </c>
      <c r="L2720" t="s">
        <v>133</v>
      </c>
      <c r="M2720" t="s">
        <v>134</v>
      </c>
      <c r="N2720" t="s">
        <v>310</v>
      </c>
      <c r="O2720" t="s">
        <v>82</v>
      </c>
      <c r="P2720" t="str">
        <f>"2170718431                    "</f>
        <v xml:space="preserve">2170718431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17.16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3.7</v>
      </c>
      <c r="BJ2720">
        <v>0.7</v>
      </c>
      <c r="BK2720">
        <v>4</v>
      </c>
      <c r="BL2720" s="4">
        <v>100.87</v>
      </c>
      <c r="BM2720" s="4">
        <v>15.13</v>
      </c>
      <c r="BN2720" s="4">
        <v>116</v>
      </c>
      <c r="BO2720" s="4">
        <v>116</v>
      </c>
      <c r="BQ2720" t="s">
        <v>121</v>
      </c>
      <c r="BR2720" t="s">
        <v>84</v>
      </c>
      <c r="BS2720" s="3">
        <v>43794</v>
      </c>
      <c r="BT2720" s="5">
        <v>0.36249999999999999</v>
      </c>
      <c r="BU2720" t="s">
        <v>1108</v>
      </c>
      <c r="BV2720" t="s">
        <v>86</v>
      </c>
      <c r="BY2720">
        <v>3633.63</v>
      </c>
      <c r="CA2720" t="s">
        <v>2805</v>
      </c>
      <c r="CC2720" t="s">
        <v>134</v>
      </c>
      <c r="CD2720">
        <v>5201</v>
      </c>
      <c r="CE2720" t="s">
        <v>88</v>
      </c>
      <c r="CF2720" s="3">
        <v>43795</v>
      </c>
      <c r="CI2720">
        <v>1</v>
      </c>
      <c r="CJ2720">
        <v>1</v>
      </c>
      <c r="CK2720">
        <v>21</v>
      </c>
      <c r="CL2720" t="s">
        <v>89</v>
      </c>
    </row>
    <row r="2721" spans="1:90">
      <c r="A2721" t="s">
        <v>72</v>
      </c>
      <c r="B2721" t="s">
        <v>73</v>
      </c>
      <c r="C2721" t="s">
        <v>74</v>
      </c>
      <c r="E2721" t="str">
        <f>"FES1162724671"</f>
        <v>FES1162724671</v>
      </c>
      <c r="F2721" s="3">
        <v>43791</v>
      </c>
      <c r="G2721">
        <v>202005</v>
      </c>
      <c r="H2721" t="s">
        <v>75</v>
      </c>
      <c r="I2721" t="s">
        <v>76</v>
      </c>
      <c r="J2721" t="s">
        <v>77</v>
      </c>
      <c r="K2721" t="s">
        <v>78</v>
      </c>
      <c r="L2721" t="s">
        <v>118</v>
      </c>
      <c r="M2721" t="s">
        <v>119</v>
      </c>
      <c r="N2721" t="s">
        <v>120</v>
      </c>
      <c r="O2721" t="s">
        <v>82</v>
      </c>
      <c r="P2721" t="str">
        <f>"2170718457                    "</f>
        <v xml:space="preserve">2170718457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23.59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3.3</v>
      </c>
      <c r="BJ2721">
        <v>5.3</v>
      </c>
      <c r="BK2721">
        <v>5.5</v>
      </c>
      <c r="BL2721" s="4">
        <v>138.68</v>
      </c>
      <c r="BM2721" s="4">
        <v>20.8</v>
      </c>
      <c r="BN2721" s="4">
        <v>159.47999999999999</v>
      </c>
      <c r="BO2721" s="4">
        <v>159.47999999999999</v>
      </c>
      <c r="BQ2721" t="s">
        <v>121</v>
      </c>
      <c r="BR2721" t="s">
        <v>84</v>
      </c>
      <c r="BS2721" s="3">
        <v>43794</v>
      </c>
      <c r="BT2721" s="5">
        <v>0.37152777777777773</v>
      </c>
      <c r="BU2721" t="s">
        <v>2806</v>
      </c>
      <c r="BV2721" t="s">
        <v>86</v>
      </c>
      <c r="BY2721">
        <v>26336.68</v>
      </c>
      <c r="CC2721" t="s">
        <v>119</v>
      </c>
      <c r="CD2721">
        <v>3201</v>
      </c>
      <c r="CE2721" t="s">
        <v>88</v>
      </c>
      <c r="CF2721" s="3">
        <v>43796</v>
      </c>
      <c r="CI2721">
        <v>1</v>
      </c>
      <c r="CJ2721">
        <v>1</v>
      </c>
      <c r="CK2721">
        <v>21</v>
      </c>
      <c r="CL2721" t="s">
        <v>89</v>
      </c>
    </row>
    <row r="2722" spans="1:90">
      <c r="A2722" t="s">
        <v>72</v>
      </c>
      <c r="B2722" t="s">
        <v>73</v>
      </c>
      <c r="C2722" t="s">
        <v>74</v>
      </c>
      <c r="E2722" t="str">
        <f>"FES1162724616"</f>
        <v>FES1162724616</v>
      </c>
      <c r="F2722" s="3">
        <v>43791</v>
      </c>
      <c r="G2722">
        <v>202005</v>
      </c>
      <c r="H2722" t="s">
        <v>75</v>
      </c>
      <c r="I2722" t="s">
        <v>76</v>
      </c>
      <c r="J2722" t="s">
        <v>77</v>
      </c>
      <c r="K2722" t="s">
        <v>78</v>
      </c>
      <c r="L2722" t="s">
        <v>133</v>
      </c>
      <c r="M2722" t="s">
        <v>134</v>
      </c>
      <c r="N2722" t="s">
        <v>735</v>
      </c>
      <c r="O2722" t="s">
        <v>82</v>
      </c>
      <c r="P2722" t="str">
        <f>"2170718140                    "</f>
        <v xml:space="preserve">2170718140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8.58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 s="4">
        <v>50.45</v>
      </c>
      <c r="BM2722" s="4">
        <v>7.57</v>
      </c>
      <c r="BN2722" s="4">
        <v>58.02</v>
      </c>
      <c r="BO2722" s="4">
        <v>58.02</v>
      </c>
      <c r="BQ2722" t="s">
        <v>2807</v>
      </c>
      <c r="BR2722" t="s">
        <v>84</v>
      </c>
      <c r="BS2722" s="3">
        <v>43794</v>
      </c>
      <c r="BT2722" s="5">
        <v>0.43402777777777773</v>
      </c>
      <c r="BU2722" t="s">
        <v>2808</v>
      </c>
      <c r="BV2722" t="s">
        <v>86</v>
      </c>
      <c r="BY2722">
        <v>1200</v>
      </c>
      <c r="CA2722" t="s">
        <v>698</v>
      </c>
      <c r="CC2722" t="s">
        <v>134</v>
      </c>
      <c r="CD2722">
        <v>5201</v>
      </c>
      <c r="CE2722" t="s">
        <v>147</v>
      </c>
      <c r="CF2722" s="3">
        <v>43795</v>
      </c>
      <c r="CI2722">
        <v>1</v>
      </c>
      <c r="CJ2722">
        <v>1</v>
      </c>
      <c r="CK2722">
        <v>21</v>
      </c>
      <c r="CL2722" t="s">
        <v>89</v>
      </c>
    </row>
    <row r="2723" spans="1:90">
      <c r="A2723" t="s">
        <v>72</v>
      </c>
      <c r="B2723" t="s">
        <v>73</v>
      </c>
      <c r="C2723" t="s">
        <v>74</v>
      </c>
      <c r="E2723" t="str">
        <f>"FES1162724515"</f>
        <v>FES1162724515</v>
      </c>
      <c r="F2723" s="3">
        <v>43791</v>
      </c>
      <c r="G2723">
        <v>202005</v>
      </c>
      <c r="H2723" t="s">
        <v>75</v>
      </c>
      <c r="I2723" t="s">
        <v>76</v>
      </c>
      <c r="J2723" t="s">
        <v>77</v>
      </c>
      <c r="K2723" t="s">
        <v>78</v>
      </c>
      <c r="L2723" t="s">
        <v>75</v>
      </c>
      <c r="M2723" t="s">
        <v>76</v>
      </c>
      <c r="N2723" t="s">
        <v>236</v>
      </c>
      <c r="O2723" t="s">
        <v>82</v>
      </c>
      <c r="P2723" t="str">
        <f>"2170718292                    "</f>
        <v xml:space="preserve">2170718292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6.71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 s="4">
        <v>39.42</v>
      </c>
      <c r="BM2723" s="4">
        <v>5.91</v>
      </c>
      <c r="BN2723" s="4">
        <v>45.33</v>
      </c>
      <c r="BO2723" s="4">
        <v>45.33</v>
      </c>
      <c r="BQ2723" t="s">
        <v>109</v>
      </c>
      <c r="BR2723" t="s">
        <v>84</v>
      </c>
      <c r="BS2723" s="3">
        <v>43794</v>
      </c>
      <c r="BT2723" s="5">
        <v>0.28333333333333333</v>
      </c>
      <c r="BU2723" t="s">
        <v>2809</v>
      </c>
      <c r="BV2723" t="s">
        <v>86</v>
      </c>
      <c r="BY2723">
        <v>1200</v>
      </c>
      <c r="CA2723" t="s">
        <v>238</v>
      </c>
      <c r="CC2723" t="s">
        <v>76</v>
      </c>
      <c r="CD2723">
        <v>1665</v>
      </c>
      <c r="CE2723" t="s">
        <v>147</v>
      </c>
      <c r="CF2723" s="3">
        <v>43795</v>
      </c>
      <c r="CI2723">
        <v>1</v>
      </c>
      <c r="CJ2723">
        <v>1</v>
      </c>
      <c r="CK2723">
        <v>22</v>
      </c>
      <c r="CL2723" t="s">
        <v>89</v>
      </c>
    </row>
    <row r="2724" spans="1:90">
      <c r="A2724" t="s">
        <v>72</v>
      </c>
      <c r="B2724" t="s">
        <v>73</v>
      </c>
      <c r="C2724" t="s">
        <v>74</v>
      </c>
      <c r="E2724" t="str">
        <f>"FES1162724676"</f>
        <v>FES1162724676</v>
      </c>
      <c r="F2724" s="3">
        <v>43791</v>
      </c>
      <c r="G2724">
        <v>202005</v>
      </c>
      <c r="H2724" t="s">
        <v>75</v>
      </c>
      <c r="I2724" t="s">
        <v>76</v>
      </c>
      <c r="J2724" t="s">
        <v>77</v>
      </c>
      <c r="K2724" t="s">
        <v>78</v>
      </c>
      <c r="L2724" t="s">
        <v>101</v>
      </c>
      <c r="M2724" t="s">
        <v>102</v>
      </c>
      <c r="N2724" t="s">
        <v>181</v>
      </c>
      <c r="O2724" t="s">
        <v>82</v>
      </c>
      <c r="P2724" t="str">
        <f>"2170717763                    "</f>
        <v xml:space="preserve">2170717763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8.58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 s="4">
        <v>50.45</v>
      </c>
      <c r="BM2724" s="4">
        <v>7.57</v>
      </c>
      <c r="BN2724" s="4">
        <v>58.02</v>
      </c>
      <c r="BO2724" s="4">
        <v>58.02</v>
      </c>
      <c r="BQ2724" t="s">
        <v>121</v>
      </c>
      <c r="BR2724" t="s">
        <v>84</v>
      </c>
      <c r="BS2724" s="3">
        <v>43794</v>
      </c>
      <c r="BT2724" s="5">
        <v>0.3923611111111111</v>
      </c>
      <c r="BU2724" t="s">
        <v>2791</v>
      </c>
      <c r="BV2724" t="s">
        <v>86</v>
      </c>
      <c r="BY2724">
        <v>1200</v>
      </c>
      <c r="CC2724" t="s">
        <v>102</v>
      </c>
      <c r="CD2724">
        <v>200</v>
      </c>
      <c r="CE2724" t="s">
        <v>147</v>
      </c>
      <c r="CF2724" s="3">
        <v>43795</v>
      </c>
      <c r="CI2724">
        <v>1</v>
      </c>
      <c r="CJ2724">
        <v>1</v>
      </c>
      <c r="CK2724">
        <v>21</v>
      </c>
      <c r="CL2724" t="s">
        <v>89</v>
      </c>
    </row>
    <row r="2725" spans="1:90">
      <c r="A2725" t="s">
        <v>72</v>
      </c>
      <c r="B2725" t="s">
        <v>73</v>
      </c>
      <c r="C2725" t="s">
        <v>74</v>
      </c>
      <c r="E2725" t="str">
        <f>"FES1162724574"</f>
        <v>FES1162724574</v>
      </c>
      <c r="F2725" s="3">
        <v>43791</v>
      </c>
      <c r="G2725">
        <v>202005</v>
      </c>
      <c r="H2725" t="s">
        <v>75</v>
      </c>
      <c r="I2725" t="s">
        <v>76</v>
      </c>
      <c r="J2725" t="s">
        <v>77</v>
      </c>
      <c r="K2725" t="s">
        <v>78</v>
      </c>
      <c r="L2725" t="s">
        <v>701</v>
      </c>
      <c r="M2725" t="s">
        <v>702</v>
      </c>
      <c r="N2725" t="s">
        <v>2810</v>
      </c>
      <c r="O2725" t="s">
        <v>82</v>
      </c>
      <c r="P2725" t="str">
        <f>"2170713867                    "</f>
        <v xml:space="preserve">2170713867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12.07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 s="4">
        <v>70.95</v>
      </c>
      <c r="BM2725" s="4">
        <v>10.64</v>
      </c>
      <c r="BN2725" s="4">
        <v>81.59</v>
      </c>
      <c r="BO2725" s="4">
        <v>81.59</v>
      </c>
      <c r="BR2725" t="s">
        <v>84</v>
      </c>
      <c r="BS2725" s="3">
        <v>43794</v>
      </c>
      <c r="BT2725" s="5">
        <v>0.39583333333333331</v>
      </c>
      <c r="BU2725" t="s">
        <v>2811</v>
      </c>
      <c r="BV2725" t="s">
        <v>86</v>
      </c>
      <c r="BY2725">
        <v>1200</v>
      </c>
      <c r="CA2725" t="s">
        <v>873</v>
      </c>
      <c r="CC2725" t="s">
        <v>702</v>
      </c>
      <c r="CD2725">
        <v>299</v>
      </c>
      <c r="CE2725" t="s">
        <v>147</v>
      </c>
      <c r="CF2725" s="3">
        <v>43796</v>
      </c>
      <c r="CI2725">
        <v>1</v>
      </c>
      <c r="CJ2725">
        <v>1</v>
      </c>
      <c r="CK2725">
        <v>24</v>
      </c>
      <c r="CL2725" t="s">
        <v>89</v>
      </c>
    </row>
    <row r="2726" spans="1:90">
      <c r="A2726" t="s">
        <v>72</v>
      </c>
      <c r="B2726" t="s">
        <v>73</v>
      </c>
      <c r="C2726" t="s">
        <v>74</v>
      </c>
      <c r="E2726" t="str">
        <f>"FES1162724320"</f>
        <v>FES1162724320</v>
      </c>
      <c r="F2726" s="3">
        <v>43791</v>
      </c>
      <c r="G2726">
        <v>202005</v>
      </c>
      <c r="H2726" t="s">
        <v>75</v>
      </c>
      <c r="I2726" t="s">
        <v>76</v>
      </c>
      <c r="J2726" t="s">
        <v>77</v>
      </c>
      <c r="K2726" t="s">
        <v>78</v>
      </c>
      <c r="L2726" t="s">
        <v>133</v>
      </c>
      <c r="M2726" t="s">
        <v>134</v>
      </c>
      <c r="N2726" t="s">
        <v>310</v>
      </c>
      <c r="O2726" t="s">
        <v>82</v>
      </c>
      <c r="P2726" t="str">
        <f>"2170718191                    "</f>
        <v xml:space="preserve">2170718191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36.46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8.1999999999999993</v>
      </c>
      <c r="BJ2726">
        <v>2.9</v>
      </c>
      <c r="BK2726">
        <v>8.5</v>
      </c>
      <c r="BL2726" s="4">
        <v>214.31</v>
      </c>
      <c r="BM2726" s="4">
        <v>32.15</v>
      </c>
      <c r="BN2726" s="4">
        <v>246.46</v>
      </c>
      <c r="BO2726" s="4">
        <v>246.46</v>
      </c>
      <c r="BQ2726" t="s">
        <v>121</v>
      </c>
      <c r="BR2726" t="s">
        <v>84</v>
      </c>
      <c r="BS2726" s="3">
        <v>43794</v>
      </c>
      <c r="BT2726" s="5">
        <v>0.36249999999999999</v>
      </c>
      <c r="BU2726" t="s">
        <v>1108</v>
      </c>
      <c r="BV2726" t="s">
        <v>86</v>
      </c>
      <c r="BY2726">
        <v>14724.18</v>
      </c>
      <c r="CA2726" t="s">
        <v>2805</v>
      </c>
      <c r="CC2726" t="s">
        <v>134</v>
      </c>
      <c r="CD2726">
        <v>5201</v>
      </c>
      <c r="CE2726" t="s">
        <v>88</v>
      </c>
      <c r="CF2726" s="3">
        <v>43795</v>
      </c>
      <c r="CI2726">
        <v>1</v>
      </c>
      <c r="CJ2726">
        <v>1</v>
      </c>
      <c r="CK2726">
        <v>21</v>
      </c>
      <c r="CL2726" t="s">
        <v>89</v>
      </c>
    </row>
    <row r="2727" spans="1:90">
      <c r="A2727" t="s">
        <v>72</v>
      </c>
      <c r="B2727" t="s">
        <v>73</v>
      </c>
      <c r="C2727" t="s">
        <v>74</v>
      </c>
      <c r="E2727" t="str">
        <f>"FES1162724522"</f>
        <v>FES1162724522</v>
      </c>
      <c r="F2727" s="3">
        <v>43791</v>
      </c>
      <c r="G2727">
        <v>202005</v>
      </c>
      <c r="H2727" t="s">
        <v>75</v>
      </c>
      <c r="I2727" t="s">
        <v>76</v>
      </c>
      <c r="J2727" t="s">
        <v>77</v>
      </c>
      <c r="K2727" t="s">
        <v>78</v>
      </c>
      <c r="L2727" t="s">
        <v>75</v>
      </c>
      <c r="M2727" t="s">
        <v>76</v>
      </c>
      <c r="N2727" t="s">
        <v>466</v>
      </c>
      <c r="O2727" t="s">
        <v>82</v>
      </c>
      <c r="P2727" t="str">
        <f>"2170718306                    "</f>
        <v xml:space="preserve">2170718306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6.71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 s="4">
        <v>39.42</v>
      </c>
      <c r="BM2727" s="4">
        <v>5.91</v>
      </c>
      <c r="BN2727" s="4">
        <v>45.33</v>
      </c>
      <c r="BO2727" s="4">
        <v>45.33</v>
      </c>
      <c r="BQ2727" t="s">
        <v>109</v>
      </c>
      <c r="BR2727" t="s">
        <v>84</v>
      </c>
      <c r="BS2727" s="3">
        <v>43795</v>
      </c>
      <c r="BT2727" s="5">
        <v>0.58750000000000002</v>
      </c>
      <c r="BU2727" t="s">
        <v>2164</v>
      </c>
      <c r="BV2727" t="s">
        <v>89</v>
      </c>
      <c r="BY2727">
        <v>1200</v>
      </c>
      <c r="CA2727" t="s">
        <v>2165</v>
      </c>
      <c r="CC2727" t="s">
        <v>76</v>
      </c>
      <c r="CD2727">
        <v>1609</v>
      </c>
      <c r="CE2727" t="s">
        <v>147</v>
      </c>
      <c r="CF2727" s="3">
        <v>43796</v>
      </c>
      <c r="CI2727">
        <v>1</v>
      </c>
      <c r="CJ2727">
        <v>2</v>
      </c>
      <c r="CK2727">
        <v>22</v>
      </c>
      <c r="CL2727" t="s">
        <v>89</v>
      </c>
    </row>
    <row r="2728" spans="1:90">
      <c r="A2728" t="s">
        <v>72</v>
      </c>
      <c r="B2728" t="s">
        <v>73</v>
      </c>
      <c r="C2728" t="s">
        <v>74</v>
      </c>
      <c r="E2728" t="str">
        <f>"FES1162724507"</f>
        <v>FES1162724507</v>
      </c>
      <c r="F2728" s="3">
        <v>43791</v>
      </c>
      <c r="G2728">
        <v>202005</v>
      </c>
      <c r="H2728" t="s">
        <v>75</v>
      </c>
      <c r="I2728" t="s">
        <v>76</v>
      </c>
      <c r="J2728" t="s">
        <v>77</v>
      </c>
      <c r="K2728" t="s">
        <v>78</v>
      </c>
      <c r="L2728" t="s">
        <v>1589</v>
      </c>
      <c r="M2728" t="s">
        <v>1590</v>
      </c>
      <c r="N2728" t="s">
        <v>1591</v>
      </c>
      <c r="O2728" t="s">
        <v>82</v>
      </c>
      <c r="P2728" t="str">
        <f>"2170718279                    "</f>
        <v xml:space="preserve">2170718279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12.07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 s="4">
        <v>70.95</v>
      </c>
      <c r="BM2728" s="4">
        <v>10.64</v>
      </c>
      <c r="BN2728" s="4">
        <v>81.59</v>
      </c>
      <c r="BO2728" s="4">
        <v>81.59</v>
      </c>
      <c r="BR2728" t="s">
        <v>84</v>
      </c>
      <c r="BS2728" s="3">
        <v>43794</v>
      </c>
      <c r="BT2728" s="5">
        <v>0.35138888888888892</v>
      </c>
      <c r="BU2728" t="s">
        <v>2812</v>
      </c>
      <c r="BV2728" t="s">
        <v>86</v>
      </c>
      <c r="BY2728">
        <v>1200</v>
      </c>
      <c r="CA2728" t="s">
        <v>1593</v>
      </c>
      <c r="CC2728" t="s">
        <v>1590</v>
      </c>
      <c r="CD2728">
        <v>1034</v>
      </c>
      <c r="CE2728" t="s">
        <v>147</v>
      </c>
      <c r="CF2728" s="3">
        <v>43795</v>
      </c>
      <c r="CI2728">
        <v>1</v>
      </c>
      <c r="CJ2728">
        <v>1</v>
      </c>
      <c r="CK2728">
        <v>24</v>
      </c>
      <c r="CL2728" t="s">
        <v>89</v>
      </c>
    </row>
    <row r="2729" spans="1:90">
      <c r="A2729" t="s">
        <v>72</v>
      </c>
      <c r="B2729" t="s">
        <v>73</v>
      </c>
      <c r="C2729" t="s">
        <v>74</v>
      </c>
      <c r="E2729" t="str">
        <f>"FES1162724414"</f>
        <v>FES1162724414</v>
      </c>
      <c r="F2729" s="3">
        <v>43791</v>
      </c>
      <c r="G2729">
        <v>202005</v>
      </c>
      <c r="H2729" t="s">
        <v>75</v>
      </c>
      <c r="I2729" t="s">
        <v>76</v>
      </c>
      <c r="J2729" t="s">
        <v>77</v>
      </c>
      <c r="K2729" t="s">
        <v>78</v>
      </c>
      <c r="L2729" t="s">
        <v>75</v>
      </c>
      <c r="M2729" t="s">
        <v>76</v>
      </c>
      <c r="N2729" t="s">
        <v>236</v>
      </c>
      <c r="O2729" t="s">
        <v>82</v>
      </c>
      <c r="P2729" t="str">
        <f>"2170716+405                   "</f>
        <v xml:space="preserve">2170716+405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6.71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 s="4">
        <v>39.42</v>
      </c>
      <c r="BM2729" s="4">
        <v>5.91</v>
      </c>
      <c r="BN2729" s="4">
        <v>45.33</v>
      </c>
      <c r="BO2729" s="4">
        <v>45.33</v>
      </c>
      <c r="BQ2729" t="s">
        <v>109</v>
      </c>
      <c r="BR2729" t="s">
        <v>84</v>
      </c>
      <c r="BS2729" s="3">
        <v>43794</v>
      </c>
      <c r="BT2729" s="5">
        <v>0.28125</v>
      </c>
      <c r="BU2729" t="s">
        <v>2809</v>
      </c>
      <c r="BV2729" t="s">
        <v>86</v>
      </c>
      <c r="BY2729">
        <v>1200</v>
      </c>
      <c r="CA2729" t="s">
        <v>238</v>
      </c>
      <c r="CC2729" t="s">
        <v>76</v>
      </c>
      <c r="CD2729">
        <v>1665</v>
      </c>
      <c r="CE2729" t="s">
        <v>147</v>
      </c>
      <c r="CF2729" s="3">
        <v>43795</v>
      </c>
      <c r="CI2729">
        <v>1</v>
      </c>
      <c r="CJ2729">
        <v>1</v>
      </c>
      <c r="CK2729">
        <v>22</v>
      </c>
      <c r="CL2729" t="s">
        <v>89</v>
      </c>
    </row>
    <row r="2730" spans="1:90">
      <c r="A2730" t="s">
        <v>72</v>
      </c>
      <c r="B2730" t="s">
        <v>73</v>
      </c>
      <c r="C2730" t="s">
        <v>74</v>
      </c>
      <c r="E2730" t="str">
        <f>"FES1162724611"</f>
        <v>FES1162724611</v>
      </c>
      <c r="F2730" s="3">
        <v>43791</v>
      </c>
      <c r="G2730">
        <v>202005</v>
      </c>
      <c r="H2730" t="s">
        <v>75</v>
      </c>
      <c r="I2730" t="s">
        <v>76</v>
      </c>
      <c r="J2730" t="s">
        <v>77</v>
      </c>
      <c r="K2730" t="s">
        <v>78</v>
      </c>
      <c r="L2730" t="s">
        <v>1589</v>
      </c>
      <c r="M2730" t="s">
        <v>1590</v>
      </c>
      <c r="N2730" t="s">
        <v>1658</v>
      </c>
      <c r="O2730" t="s">
        <v>82</v>
      </c>
      <c r="P2730" t="str">
        <f>"2170716391                    "</f>
        <v xml:space="preserve">2170716391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12.07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 s="4">
        <v>70.95</v>
      </c>
      <c r="BM2730" s="4">
        <v>10.64</v>
      </c>
      <c r="BN2730" s="4">
        <v>81.59</v>
      </c>
      <c r="BO2730" s="4">
        <v>81.59</v>
      </c>
      <c r="BR2730" t="s">
        <v>84</v>
      </c>
      <c r="BS2730" s="3">
        <v>43794</v>
      </c>
      <c r="BT2730" s="5">
        <v>0.33333333333333331</v>
      </c>
      <c r="BU2730" t="s">
        <v>2813</v>
      </c>
      <c r="BV2730" t="s">
        <v>86</v>
      </c>
      <c r="BY2730">
        <v>1200</v>
      </c>
      <c r="CC2730" t="s">
        <v>1590</v>
      </c>
      <c r="CD2730">
        <v>1034</v>
      </c>
      <c r="CE2730" t="s">
        <v>147</v>
      </c>
      <c r="CI2730">
        <v>1</v>
      </c>
      <c r="CJ2730">
        <v>1</v>
      </c>
      <c r="CK2730">
        <v>24</v>
      </c>
      <c r="CL2730" t="s">
        <v>89</v>
      </c>
    </row>
    <row r="2731" spans="1:90">
      <c r="A2731" t="s">
        <v>72</v>
      </c>
      <c r="B2731" t="s">
        <v>73</v>
      </c>
      <c r="C2731" t="s">
        <v>74</v>
      </c>
      <c r="E2731" t="str">
        <f>"FES1162724461"</f>
        <v>FES1162724461</v>
      </c>
      <c r="F2731" s="3">
        <v>43791</v>
      </c>
      <c r="G2731">
        <v>202005</v>
      </c>
      <c r="H2731" t="s">
        <v>75</v>
      </c>
      <c r="I2731" t="s">
        <v>76</v>
      </c>
      <c r="J2731" t="s">
        <v>77</v>
      </c>
      <c r="K2731" t="s">
        <v>78</v>
      </c>
      <c r="L2731" t="s">
        <v>2348</v>
      </c>
      <c r="M2731" t="s">
        <v>2349</v>
      </c>
      <c r="N2731" t="s">
        <v>2350</v>
      </c>
      <c r="O2731" t="s">
        <v>82</v>
      </c>
      <c r="P2731" t="str">
        <f>"2170718218                    "</f>
        <v xml:space="preserve">2170718218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114.28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14.6</v>
      </c>
      <c r="BJ2731">
        <v>8.5</v>
      </c>
      <c r="BK2731">
        <v>15</v>
      </c>
      <c r="BL2731" s="4">
        <v>671.72</v>
      </c>
      <c r="BM2731" s="4">
        <v>100.76</v>
      </c>
      <c r="BN2731" s="4">
        <v>772.48</v>
      </c>
      <c r="BO2731" s="4">
        <v>772.48</v>
      </c>
      <c r="BQ2731" t="s">
        <v>121</v>
      </c>
      <c r="BR2731" t="s">
        <v>84</v>
      </c>
      <c r="BS2731" s="3">
        <v>43795</v>
      </c>
      <c r="BT2731" s="5">
        <v>0.53055555555555556</v>
      </c>
      <c r="BU2731" t="s">
        <v>2814</v>
      </c>
      <c r="BV2731" t="s">
        <v>89</v>
      </c>
      <c r="BW2731" t="s">
        <v>371</v>
      </c>
      <c r="BX2731" t="s">
        <v>372</v>
      </c>
      <c r="BY2731">
        <v>42748.32</v>
      </c>
      <c r="CA2731" t="s">
        <v>123</v>
      </c>
      <c r="CC2731" t="s">
        <v>2349</v>
      </c>
      <c r="CD2731">
        <v>4490</v>
      </c>
      <c r="CE2731" t="s">
        <v>88</v>
      </c>
      <c r="CF2731" s="3">
        <v>43797</v>
      </c>
      <c r="CI2731">
        <v>1</v>
      </c>
      <c r="CJ2731">
        <v>2</v>
      </c>
      <c r="CK2731">
        <v>23</v>
      </c>
      <c r="CL2731" t="s">
        <v>89</v>
      </c>
    </row>
    <row r="2732" spans="1:90">
      <c r="A2732" t="s">
        <v>72</v>
      </c>
      <c r="B2732" t="s">
        <v>73</v>
      </c>
      <c r="C2732" t="s">
        <v>74</v>
      </c>
      <c r="E2732" t="str">
        <f>"FES1162724748"</f>
        <v>FES1162724748</v>
      </c>
      <c r="F2732" s="3">
        <v>43791</v>
      </c>
      <c r="G2732">
        <v>202005</v>
      </c>
      <c r="H2732" t="s">
        <v>75</v>
      </c>
      <c r="I2732" t="s">
        <v>76</v>
      </c>
      <c r="J2732" t="s">
        <v>77</v>
      </c>
      <c r="K2732" t="s">
        <v>78</v>
      </c>
      <c r="L2732" t="s">
        <v>118</v>
      </c>
      <c r="M2732" t="s">
        <v>119</v>
      </c>
      <c r="N2732" t="s">
        <v>630</v>
      </c>
      <c r="O2732" t="s">
        <v>82</v>
      </c>
      <c r="P2732" t="str">
        <f>"2170718542                    "</f>
        <v xml:space="preserve">2170718542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8.58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1.9</v>
      </c>
      <c r="BJ2732">
        <v>0.9</v>
      </c>
      <c r="BK2732">
        <v>2</v>
      </c>
      <c r="BL2732" s="4">
        <v>50.45</v>
      </c>
      <c r="BM2732" s="4">
        <v>7.57</v>
      </c>
      <c r="BN2732" s="4">
        <v>58.02</v>
      </c>
      <c r="BO2732" s="4">
        <v>58.02</v>
      </c>
      <c r="BQ2732" t="s">
        <v>121</v>
      </c>
      <c r="BR2732" t="s">
        <v>84</v>
      </c>
      <c r="BS2732" s="3">
        <v>43794</v>
      </c>
      <c r="BT2732" s="5">
        <v>0.34027777777777773</v>
      </c>
      <c r="BU2732" t="s">
        <v>287</v>
      </c>
      <c r="BV2732" t="s">
        <v>86</v>
      </c>
      <c r="BY2732">
        <v>4676.18</v>
      </c>
      <c r="CC2732" t="s">
        <v>119</v>
      </c>
      <c r="CD2732">
        <v>3201</v>
      </c>
      <c r="CE2732" t="s">
        <v>88</v>
      </c>
      <c r="CF2732" s="3">
        <v>43796</v>
      </c>
      <c r="CI2732">
        <v>1</v>
      </c>
      <c r="CJ2732">
        <v>1</v>
      </c>
      <c r="CK2732">
        <v>21</v>
      </c>
      <c r="CL2732" t="s">
        <v>89</v>
      </c>
    </row>
    <row r="2733" spans="1:90">
      <c r="A2733" t="s">
        <v>72</v>
      </c>
      <c r="B2733" t="s">
        <v>73</v>
      </c>
      <c r="C2733" t="s">
        <v>74</v>
      </c>
      <c r="E2733" t="str">
        <f>"FES1162724736"</f>
        <v>FES1162724736</v>
      </c>
      <c r="F2733" s="3">
        <v>43791</v>
      </c>
      <c r="G2733">
        <v>202005</v>
      </c>
      <c r="H2733" t="s">
        <v>75</v>
      </c>
      <c r="I2733" t="s">
        <v>76</v>
      </c>
      <c r="J2733" t="s">
        <v>77</v>
      </c>
      <c r="K2733" t="s">
        <v>78</v>
      </c>
      <c r="L2733" t="s">
        <v>118</v>
      </c>
      <c r="M2733" t="s">
        <v>119</v>
      </c>
      <c r="N2733" t="s">
        <v>130</v>
      </c>
      <c r="O2733" t="s">
        <v>82</v>
      </c>
      <c r="P2733" t="str">
        <f>"2170718526                    "</f>
        <v xml:space="preserve">2170718526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8.58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1.3</v>
      </c>
      <c r="BJ2733">
        <v>0.9</v>
      </c>
      <c r="BK2733">
        <v>1.5</v>
      </c>
      <c r="BL2733" s="4">
        <v>50.45</v>
      </c>
      <c r="BM2733" s="4">
        <v>7.57</v>
      </c>
      <c r="BN2733" s="4">
        <v>58.02</v>
      </c>
      <c r="BO2733" s="4">
        <v>58.02</v>
      </c>
      <c r="BQ2733" t="s">
        <v>109</v>
      </c>
      <c r="BR2733" t="s">
        <v>84</v>
      </c>
      <c r="BS2733" s="3">
        <v>43794</v>
      </c>
      <c r="BT2733" s="5">
        <v>0.43124999999999997</v>
      </c>
      <c r="BU2733" t="s">
        <v>2815</v>
      </c>
      <c r="BV2733" t="s">
        <v>86</v>
      </c>
      <c r="BY2733">
        <v>4518.26</v>
      </c>
      <c r="CC2733" t="s">
        <v>119</v>
      </c>
      <c r="CD2733">
        <v>3201</v>
      </c>
      <c r="CE2733" t="s">
        <v>88</v>
      </c>
      <c r="CF2733" s="3">
        <v>43796</v>
      </c>
      <c r="CI2733">
        <v>1</v>
      </c>
      <c r="CJ2733">
        <v>1</v>
      </c>
      <c r="CK2733">
        <v>21</v>
      </c>
      <c r="CL2733" t="s">
        <v>89</v>
      </c>
    </row>
    <row r="2734" spans="1:90">
      <c r="A2734" t="s">
        <v>72</v>
      </c>
      <c r="B2734" t="s">
        <v>73</v>
      </c>
      <c r="C2734" t="s">
        <v>74</v>
      </c>
      <c r="E2734" t="str">
        <f>"FES1162724653"</f>
        <v>FES1162724653</v>
      </c>
      <c r="F2734" s="3">
        <v>43791</v>
      </c>
      <c r="G2734">
        <v>202005</v>
      </c>
      <c r="H2734" t="s">
        <v>75</v>
      </c>
      <c r="I2734" t="s">
        <v>76</v>
      </c>
      <c r="J2734" t="s">
        <v>77</v>
      </c>
      <c r="K2734" t="s">
        <v>78</v>
      </c>
      <c r="L2734" t="s">
        <v>95</v>
      </c>
      <c r="M2734" t="s">
        <v>96</v>
      </c>
      <c r="N2734" t="s">
        <v>2816</v>
      </c>
      <c r="O2734" t="s">
        <v>82</v>
      </c>
      <c r="P2734" t="str">
        <f>"2170718437                    "</f>
        <v xml:space="preserve">2170718437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6.71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 s="4">
        <v>39.42</v>
      </c>
      <c r="BM2734" s="4">
        <v>5.91</v>
      </c>
      <c r="BN2734" s="4">
        <v>45.33</v>
      </c>
      <c r="BO2734" s="4">
        <v>45.33</v>
      </c>
      <c r="BR2734" t="s">
        <v>84</v>
      </c>
      <c r="BS2734" s="3">
        <v>43794</v>
      </c>
      <c r="BT2734" s="5">
        <v>0.41666666666666669</v>
      </c>
      <c r="BU2734" t="s">
        <v>2817</v>
      </c>
      <c r="BV2734" t="s">
        <v>86</v>
      </c>
      <c r="BY2734">
        <v>1200</v>
      </c>
      <c r="CA2734" t="s">
        <v>123</v>
      </c>
      <c r="CC2734" t="s">
        <v>96</v>
      </c>
      <c r="CD2734">
        <v>1451</v>
      </c>
      <c r="CE2734" t="s">
        <v>147</v>
      </c>
      <c r="CF2734" s="3">
        <v>43795</v>
      </c>
      <c r="CI2734">
        <v>1</v>
      </c>
      <c r="CJ2734">
        <v>1</v>
      </c>
      <c r="CK2734">
        <v>22</v>
      </c>
      <c r="CL2734" t="s">
        <v>89</v>
      </c>
    </row>
    <row r="2735" spans="1:90">
      <c r="A2735" t="s">
        <v>72</v>
      </c>
      <c r="B2735" t="s">
        <v>73</v>
      </c>
      <c r="C2735" t="s">
        <v>74</v>
      </c>
      <c r="E2735" t="str">
        <f>"FES1162724413"</f>
        <v>FES1162724413</v>
      </c>
      <c r="F2735" s="3">
        <v>43791</v>
      </c>
      <c r="G2735">
        <v>202005</v>
      </c>
      <c r="H2735" t="s">
        <v>75</v>
      </c>
      <c r="I2735" t="s">
        <v>76</v>
      </c>
      <c r="J2735" t="s">
        <v>77</v>
      </c>
      <c r="K2735" t="s">
        <v>78</v>
      </c>
      <c r="L2735" t="s">
        <v>101</v>
      </c>
      <c r="M2735" t="s">
        <v>102</v>
      </c>
      <c r="N2735" t="s">
        <v>2740</v>
      </c>
      <c r="O2735" t="s">
        <v>82</v>
      </c>
      <c r="P2735" t="str">
        <f>"2170716400                    "</f>
        <v xml:space="preserve">2170716400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8.58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 s="4">
        <v>50.45</v>
      </c>
      <c r="BM2735" s="4">
        <v>7.57</v>
      </c>
      <c r="BN2735" s="4">
        <v>58.02</v>
      </c>
      <c r="BO2735" s="4">
        <v>58.02</v>
      </c>
      <c r="BR2735" t="s">
        <v>84</v>
      </c>
      <c r="BS2735" s="3">
        <v>43794</v>
      </c>
      <c r="BT2735" s="5">
        <v>0.375</v>
      </c>
      <c r="BU2735" t="s">
        <v>2818</v>
      </c>
      <c r="BV2735" t="s">
        <v>86</v>
      </c>
      <c r="BY2735">
        <v>1200</v>
      </c>
      <c r="CC2735" t="s">
        <v>102</v>
      </c>
      <c r="CD2735">
        <v>200</v>
      </c>
      <c r="CE2735" t="s">
        <v>147</v>
      </c>
      <c r="CF2735" s="3">
        <v>43795</v>
      </c>
      <c r="CI2735">
        <v>1</v>
      </c>
      <c r="CJ2735">
        <v>1</v>
      </c>
      <c r="CK2735">
        <v>21</v>
      </c>
      <c r="CL2735" t="s">
        <v>89</v>
      </c>
    </row>
    <row r="2736" spans="1:90">
      <c r="A2736" t="s">
        <v>72</v>
      </c>
      <c r="B2736" t="s">
        <v>73</v>
      </c>
      <c r="C2736" t="s">
        <v>74</v>
      </c>
      <c r="E2736" t="str">
        <f>"FES1162724617"</f>
        <v>FES1162724617</v>
      </c>
      <c r="F2736" s="3">
        <v>43791</v>
      </c>
      <c r="G2736">
        <v>202005</v>
      </c>
      <c r="H2736" t="s">
        <v>75</v>
      </c>
      <c r="I2736" t="s">
        <v>76</v>
      </c>
      <c r="J2736" t="s">
        <v>77</v>
      </c>
      <c r="K2736" t="s">
        <v>78</v>
      </c>
      <c r="L2736" t="s">
        <v>482</v>
      </c>
      <c r="M2736" t="s">
        <v>483</v>
      </c>
      <c r="N2736" t="s">
        <v>544</v>
      </c>
      <c r="O2736" t="s">
        <v>82</v>
      </c>
      <c r="P2736" t="str">
        <f>"2170718249                    "</f>
        <v xml:space="preserve">2170718249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6.71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 s="4">
        <v>39.42</v>
      </c>
      <c r="BM2736" s="4">
        <v>5.91</v>
      </c>
      <c r="BN2736" s="4">
        <v>45.33</v>
      </c>
      <c r="BO2736" s="4">
        <v>45.33</v>
      </c>
      <c r="BQ2736" t="s">
        <v>545</v>
      </c>
      <c r="BR2736" t="s">
        <v>84</v>
      </c>
      <c r="BS2736" s="3">
        <v>43794</v>
      </c>
      <c r="BT2736" s="5">
        <v>0.38541666666666669</v>
      </c>
      <c r="BU2736" t="s">
        <v>1767</v>
      </c>
      <c r="BV2736" t="s">
        <v>86</v>
      </c>
      <c r="BY2736">
        <v>1200</v>
      </c>
      <c r="CA2736" t="s">
        <v>123</v>
      </c>
      <c r="CC2736" t="s">
        <v>483</v>
      </c>
      <c r="CD2736">
        <v>1459</v>
      </c>
      <c r="CE2736" t="s">
        <v>147</v>
      </c>
      <c r="CF2736" s="3">
        <v>43795</v>
      </c>
      <c r="CI2736">
        <v>1</v>
      </c>
      <c r="CJ2736">
        <v>1</v>
      </c>
      <c r="CK2736">
        <v>22</v>
      </c>
      <c r="CL2736" t="s">
        <v>89</v>
      </c>
    </row>
    <row r="2737" spans="1:90">
      <c r="A2737" t="s">
        <v>72</v>
      </c>
      <c r="B2737" t="s">
        <v>73</v>
      </c>
      <c r="C2737" t="s">
        <v>74</v>
      </c>
      <c r="E2737" t="str">
        <f>"FES1162724435"</f>
        <v>FES1162724435</v>
      </c>
      <c r="F2737" s="3">
        <v>43791</v>
      </c>
      <c r="G2737">
        <v>202005</v>
      </c>
      <c r="H2737" t="s">
        <v>75</v>
      </c>
      <c r="I2737" t="s">
        <v>76</v>
      </c>
      <c r="J2737" t="s">
        <v>77</v>
      </c>
      <c r="K2737" t="s">
        <v>78</v>
      </c>
      <c r="L2737" t="s">
        <v>681</v>
      </c>
      <c r="M2737" t="s">
        <v>682</v>
      </c>
      <c r="N2737" t="s">
        <v>2585</v>
      </c>
      <c r="O2737" t="s">
        <v>82</v>
      </c>
      <c r="P2737" t="str">
        <f>"2170718921                    "</f>
        <v xml:space="preserve">2170718921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12.07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 s="4">
        <v>70.95</v>
      </c>
      <c r="BM2737" s="4">
        <v>10.64</v>
      </c>
      <c r="BN2737" s="4">
        <v>81.59</v>
      </c>
      <c r="BO2737" s="4">
        <v>81.59</v>
      </c>
      <c r="BQ2737" t="s">
        <v>121</v>
      </c>
      <c r="BR2737" t="s">
        <v>84</v>
      </c>
      <c r="BS2737" s="3">
        <v>43794</v>
      </c>
      <c r="BT2737" s="5">
        <v>0.38611111111111113</v>
      </c>
      <c r="BU2737" t="s">
        <v>2819</v>
      </c>
      <c r="BV2737" t="s">
        <v>86</v>
      </c>
      <c r="BY2737">
        <v>1200</v>
      </c>
      <c r="CA2737" t="s">
        <v>1224</v>
      </c>
      <c r="CC2737" t="s">
        <v>682</v>
      </c>
      <c r="CD2737">
        <v>1939</v>
      </c>
      <c r="CE2737" t="s">
        <v>147</v>
      </c>
      <c r="CF2737" s="3">
        <v>43795</v>
      </c>
      <c r="CI2737">
        <v>1</v>
      </c>
      <c r="CJ2737">
        <v>1</v>
      </c>
      <c r="CK2737">
        <v>24</v>
      </c>
      <c r="CL2737" t="s">
        <v>89</v>
      </c>
    </row>
    <row r="2738" spans="1:90">
      <c r="A2738" t="s">
        <v>72</v>
      </c>
      <c r="B2738" t="s">
        <v>73</v>
      </c>
      <c r="C2738" t="s">
        <v>74</v>
      </c>
      <c r="E2738" t="str">
        <f>"FES1162724667"</f>
        <v>FES1162724667</v>
      </c>
      <c r="F2738" s="3">
        <v>43791</v>
      </c>
      <c r="G2738">
        <v>202005</v>
      </c>
      <c r="H2738" t="s">
        <v>75</v>
      </c>
      <c r="I2738" t="s">
        <v>76</v>
      </c>
      <c r="J2738" t="s">
        <v>77</v>
      </c>
      <c r="K2738" t="s">
        <v>78</v>
      </c>
      <c r="L2738" t="s">
        <v>566</v>
      </c>
      <c r="M2738" t="s">
        <v>567</v>
      </c>
      <c r="N2738" t="s">
        <v>568</v>
      </c>
      <c r="O2738" t="s">
        <v>82</v>
      </c>
      <c r="P2738" t="str">
        <f>"2170718449                    "</f>
        <v xml:space="preserve">2170718449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12.07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 s="4">
        <v>70.95</v>
      </c>
      <c r="BM2738" s="4">
        <v>10.64</v>
      </c>
      <c r="BN2738" s="4">
        <v>81.59</v>
      </c>
      <c r="BO2738" s="4">
        <v>81.59</v>
      </c>
      <c r="BQ2738" t="s">
        <v>121</v>
      </c>
      <c r="BR2738" t="s">
        <v>84</v>
      </c>
      <c r="BS2738" s="3">
        <v>43794</v>
      </c>
      <c r="BT2738" s="5">
        <v>0.27083333333333331</v>
      </c>
      <c r="BU2738" t="s">
        <v>2820</v>
      </c>
      <c r="BV2738" t="s">
        <v>86</v>
      </c>
      <c r="BY2738">
        <v>1200</v>
      </c>
      <c r="CA2738" t="s">
        <v>2007</v>
      </c>
      <c r="CC2738" t="s">
        <v>567</v>
      </c>
      <c r="CD2738">
        <v>2410</v>
      </c>
      <c r="CE2738" t="s">
        <v>147</v>
      </c>
      <c r="CF2738" s="3">
        <v>43795</v>
      </c>
      <c r="CI2738">
        <v>1</v>
      </c>
      <c r="CJ2738">
        <v>1</v>
      </c>
      <c r="CK2738">
        <v>24</v>
      </c>
      <c r="CL2738" t="s">
        <v>89</v>
      </c>
    </row>
    <row r="2739" spans="1:90">
      <c r="A2739" t="s">
        <v>72</v>
      </c>
      <c r="B2739" t="s">
        <v>73</v>
      </c>
      <c r="C2739" t="s">
        <v>74</v>
      </c>
      <c r="E2739" t="str">
        <f>"FES1162724632"</f>
        <v>FES1162724632</v>
      </c>
      <c r="F2739" s="3">
        <v>43791</v>
      </c>
      <c r="G2739">
        <v>202005</v>
      </c>
      <c r="H2739" t="s">
        <v>75</v>
      </c>
      <c r="I2739" t="s">
        <v>76</v>
      </c>
      <c r="J2739" t="s">
        <v>77</v>
      </c>
      <c r="K2739" t="s">
        <v>78</v>
      </c>
      <c r="L2739" t="s">
        <v>124</v>
      </c>
      <c r="M2739" t="s">
        <v>125</v>
      </c>
      <c r="N2739" t="s">
        <v>2821</v>
      </c>
      <c r="O2739" t="s">
        <v>82</v>
      </c>
      <c r="P2739" t="str">
        <f>"2170718389                    "</f>
        <v xml:space="preserve">2170718389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6.71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 s="4">
        <v>39.42</v>
      </c>
      <c r="BM2739" s="4">
        <v>5.91</v>
      </c>
      <c r="BN2739" s="4">
        <v>45.33</v>
      </c>
      <c r="BO2739" s="4">
        <v>45.33</v>
      </c>
      <c r="BQ2739" t="s">
        <v>2822</v>
      </c>
      <c r="BR2739" t="s">
        <v>84</v>
      </c>
      <c r="BS2739" s="3">
        <v>43794</v>
      </c>
      <c r="BT2739" s="5">
        <v>0.32708333333333334</v>
      </c>
      <c r="BU2739" t="s">
        <v>2823</v>
      </c>
      <c r="BV2739" t="s">
        <v>86</v>
      </c>
      <c r="BY2739">
        <v>1200</v>
      </c>
      <c r="CA2739" t="s">
        <v>1097</v>
      </c>
      <c r="CC2739" t="s">
        <v>125</v>
      </c>
      <c r="CD2739">
        <v>2042</v>
      </c>
      <c r="CE2739" t="s">
        <v>147</v>
      </c>
      <c r="CF2739" s="3">
        <v>43795</v>
      </c>
      <c r="CI2739">
        <v>1</v>
      </c>
      <c r="CJ2739">
        <v>1</v>
      </c>
      <c r="CK2739">
        <v>22</v>
      </c>
      <c r="CL2739" t="s">
        <v>89</v>
      </c>
    </row>
    <row r="2740" spans="1:90">
      <c r="A2740" t="s">
        <v>72</v>
      </c>
      <c r="B2740" t="s">
        <v>73</v>
      </c>
      <c r="C2740" t="s">
        <v>74</v>
      </c>
      <c r="E2740" t="str">
        <f>"FES1162724681"</f>
        <v>FES1162724681</v>
      </c>
      <c r="F2740" s="3">
        <v>43791</v>
      </c>
      <c r="G2740">
        <v>202005</v>
      </c>
      <c r="H2740" t="s">
        <v>75</v>
      </c>
      <c r="I2740" t="s">
        <v>76</v>
      </c>
      <c r="J2740" t="s">
        <v>77</v>
      </c>
      <c r="K2740" t="s">
        <v>78</v>
      </c>
      <c r="L2740" t="s">
        <v>112</v>
      </c>
      <c r="M2740" t="s">
        <v>113</v>
      </c>
      <c r="N2740" t="s">
        <v>446</v>
      </c>
      <c r="O2740" t="s">
        <v>82</v>
      </c>
      <c r="P2740" t="str">
        <f>"2170718462                    "</f>
        <v xml:space="preserve">2170718462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8.58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 s="4">
        <v>50.45</v>
      </c>
      <c r="BM2740" s="4">
        <v>7.57</v>
      </c>
      <c r="BN2740" s="4">
        <v>58.02</v>
      </c>
      <c r="BO2740" s="4">
        <v>58.02</v>
      </c>
      <c r="BQ2740" t="s">
        <v>121</v>
      </c>
      <c r="BR2740" t="s">
        <v>84</v>
      </c>
      <c r="BS2740" s="3">
        <v>43794</v>
      </c>
      <c r="BT2740" s="5">
        <v>0.38750000000000001</v>
      </c>
      <c r="BU2740" t="s">
        <v>2819</v>
      </c>
      <c r="BV2740" t="s">
        <v>86</v>
      </c>
      <c r="BY2740">
        <v>1200</v>
      </c>
      <c r="CA2740" t="s">
        <v>255</v>
      </c>
      <c r="CC2740" t="s">
        <v>113</v>
      </c>
      <c r="CD2740">
        <v>4052</v>
      </c>
      <c r="CE2740" t="s">
        <v>147</v>
      </c>
      <c r="CF2740" s="3">
        <v>43795</v>
      </c>
      <c r="CI2740">
        <v>1</v>
      </c>
      <c r="CJ2740">
        <v>1</v>
      </c>
      <c r="CK2740">
        <v>21</v>
      </c>
      <c r="CL2740" t="s">
        <v>89</v>
      </c>
    </row>
    <row r="2741" spans="1:90">
      <c r="A2741" t="s">
        <v>72</v>
      </c>
      <c r="B2741" t="s">
        <v>73</v>
      </c>
      <c r="C2741" t="s">
        <v>74</v>
      </c>
      <c r="E2741" t="str">
        <f>"FES1162724644"</f>
        <v>FES1162724644</v>
      </c>
      <c r="F2741" s="3">
        <v>43791</v>
      </c>
      <c r="G2741">
        <v>202005</v>
      </c>
      <c r="H2741" t="s">
        <v>75</v>
      </c>
      <c r="I2741" t="s">
        <v>76</v>
      </c>
      <c r="J2741" t="s">
        <v>77</v>
      </c>
      <c r="K2741" t="s">
        <v>78</v>
      </c>
      <c r="L2741" t="s">
        <v>1204</v>
      </c>
      <c r="M2741" t="s">
        <v>1205</v>
      </c>
      <c r="N2741" t="s">
        <v>1206</v>
      </c>
      <c r="O2741" t="s">
        <v>82</v>
      </c>
      <c r="P2741" t="str">
        <f>"2170718426                    "</f>
        <v xml:space="preserve">2170718426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8.58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 s="4">
        <v>50.45</v>
      </c>
      <c r="BM2741" s="4">
        <v>7.57</v>
      </c>
      <c r="BN2741" s="4">
        <v>58.02</v>
      </c>
      <c r="BO2741" s="4">
        <v>58.02</v>
      </c>
      <c r="BQ2741" t="s">
        <v>109</v>
      </c>
      <c r="BR2741" t="s">
        <v>84</v>
      </c>
      <c r="BS2741" s="3">
        <v>43794</v>
      </c>
      <c r="BT2741" s="5">
        <v>0.61319444444444449</v>
      </c>
      <c r="BU2741" t="s">
        <v>1685</v>
      </c>
      <c r="BV2741" t="s">
        <v>86</v>
      </c>
      <c r="BY2741">
        <v>1200</v>
      </c>
      <c r="CA2741" t="s">
        <v>435</v>
      </c>
      <c r="CC2741" t="s">
        <v>1205</v>
      </c>
      <c r="CD2741">
        <v>3760</v>
      </c>
      <c r="CE2741" t="s">
        <v>147</v>
      </c>
      <c r="CF2741" s="3">
        <v>43796</v>
      </c>
      <c r="CI2741">
        <v>4</v>
      </c>
      <c r="CJ2741">
        <v>1</v>
      </c>
      <c r="CK2741">
        <v>21</v>
      </c>
      <c r="CL2741" t="s">
        <v>89</v>
      </c>
    </row>
    <row r="2742" spans="1:90">
      <c r="A2742" t="s">
        <v>72</v>
      </c>
      <c r="B2742" t="s">
        <v>73</v>
      </c>
      <c r="C2742" t="s">
        <v>74</v>
      </c>
      <c r="E2742" t="str">
        <f>"FES1162724654"</f>
        <v>FES1162724654</v>
      </c>
      <c r="F2742" s="3">
        <v>43791</v>
      </c>
      <c r="G2742">
        <v>202005</v>
      </c>
      <c r="H2742" t="s">
        <v>75</v>
      </c>
      <c r="I2742" t="s">
        <v>76</v>
      </c>
      <c r="J2742" t="s">
        <v>77</v>
      </c>
      <c r="K2742" t="s">
        <v>78</v>
      </c>
      <c r="L2742" t="s">
        <v>296</v>
      </c>
      <c r="M2742" t="s">
        <v>297</v>
      </c>
      <c r="N2742" t="s">
        <v>298</v>
      </c>
      <c r="O2742" t="s">
        <v>82</v>
      </c>
      <c r="P2742" t="str">
        <f>"2170718439                    "</f>
        <v xml:space="preserve">2170718439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16.63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 s="4">
        <v>97.75</v>
      </c>
      <c r="BM2742" s="4">
        <v>14.66</v>
      </c>
      <c r="BN2742" s="4">
        <v>112.41</v>
      </c>
      <c r="BO2742" s="4">
        <v>112.41</v>
      </c>
      <c r="BQ2742" t="s">
        <v>121</v>
      </c>
      <c r="BR2742" t="s">
        <v>84</v>
      </c>
      <c r="BS2742" s="3">
        <v>43795</v>
      </c>
      <c r="BT2742" s="5">
        <v>0.37708333333333338</v>
      </c>
      <c r="BU2742" t="s">
        <v>658</v>
      </c>
      <c r="BV2742" t="s">
        <v>86</v>
      </c>
      <c r="BY2742">
        <v>1200</v>
      </c>
      <c r="CA2742" t="s">
        <v>300</v>
      </c>
      <c r="CC2742" t="s">
        <v>297</v>
      </c>
      <c r="CD2742">
        <v>6849</v>
      </c>
      <c r="CE2742" t="s">
        <v>147</v>
      </c>
      <c r="CF2742" s="3">
        <v>43796</v>
      </c>
      <c r="CI2742">
        <v>3</v>
      </c>
      <c r="CJ2742">
        <v>2</v>
      </c>
      <c r="CK2742">
        <v>23</v>
      </c>
      <c r="CL2742" t="s">
        <v>89</v>
      </c>
    </row>
    <row r="2743" spans="1:90">
      <c r="A2743" t="s">
        <v>72</v>
      </c>
      <c r="B2743" t="s">
        <v>73</v>
      </c>
      <c r="C2743" t="s">
        <v>74</v>
      </c>
      <c r="E2743" t="str">
        <f>"FES1162724685"</f>
        <v>FES1162724685</v>
      </c>
      <c r="F2743" s="3">
        <v>43791</v>
      </c>
      <c r="G2743">
        <v>202005</v>
      </c>
      <c r="H2743" t="s">
        <v>75</v>
      </c>
      <c r="I2743" t="s">
        <v>76</v>
      </c>
      <c r="J2743" t="s">
        <v>77</v>
      </c>
      <c r="K2743" t="s">
        <v>78</v>
      </c>
      <c r="L2743" t="s">
        <v>118</v>
      </c>
      <c r="M2743" t="s">
        <v>119</v>
      </c>
      <c r="N2743" t="s">
        <v>130</v>
      </c>
      <c r="O2743" t="s">
        <v>82</v>
      </c>
      <c r="P2743" t="str">
        <f>"2170718466                    "</f>
        <v xml:space="preserve">2170718466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8.58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 s="4">
        <v>50.45</v>
      </c>
      <c r="BM2743" s="4">
        <v>7.57</v>
      </c>
      <c r="BN2743" s="4">
        <v>58.02</v>
      </c>
      <c r="BO2743" s="4">
        <v>58.02</v>
      </c>
      <c r="BQ2743" t="s">
        <v>109</v>
      </c>
      <c r="BR2743" t="s">
        <v>84</v>
      </c>
      <c r="BS2743" s="3">
        <v>43794</v>
      </c>
      <c r="BT2743" s="5">
        <v>0.43124999999999997</v>
      </c>
      <c r="BU2743" t="s">
        <v>131</v>
      </c>
      <c r="BV2743" t="s">
        <v>86</v>
      </c>
      <c r="BY2743">
        <v>1200</v>
      </c>
      <c r="CA2743" t="s">
        <v>132</v>
      </c>
      <c r="CC2743" t="s">
        <v>119</v>
      </c>
      <c r="CD2743">
        <v>3201</v>
      </c>
      <c r="CE2743" t="s">
        <v>147</v>
      </c>
      <c r="CF2743" s="3">
        <v>43796</v>
      </c>
      <c r="CI2743">
        <v>1</v>
      </c>
      <c r="CJ2743">
        <v>1</v>
      </c>
      <c r="CK2743">
        <v>21</v>
      </c>
      <c r="CL2743" t="s">
        <v>89</v>
      </c>
    </row>
    <row r="2744" spans="1:90">
      <c r="A2744" t="s">
        <v>72</v>
      </c>
      <c r="B2744" t="s">
        <v>73</v>
      </c>
      <c r="C2744" t="s">
        <v>74</v>
      </c>
      <c r="E2744" t="str">
        <f>"FES1162724646"</f>
        <v>FES1162724646</v>
      </c>
      <c r="F2744" s="3">
        <v>43791</v>
      </c>
      <c r="G2744">
        <v>202005</v>
      </c>
      <c r="H2744" t="s">
        <v>75</v>
      </c>
      <c r="I2744" t="s">
        <v>76</v>
      </c>
      <c r="J2744" t="s">
        <v>77</v>
      </c>
      <c r="K2744" t="s">
        <v>78</v>
      </c>
      <c r="L2744" t="s">
        <v>296</v>
      </c>
      <c r="M2744" t="s">
        <v>297</v>
      </c>
      <c r="N2744" t="s">
        <v>298</v>
      </c>
      <c r="O2744" t="s">
        <v>82</v>
      </c>
      <c r="P2744" t="str">
        <f>"2170716490                    "</f>
        <v xml:space="preserve">2170716490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16.63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 s="4">
        <v>97.75</v>
      </c>
      <c r="BM2744" s="4">
        <v>14.66</v>
      </c>
      <c r="BN2744" s="4">
        <v>112.41</v>
      </c>
      <c r="BO2744" s="4">
        <v>112.41</v>
      </c>
      <c r="BQ2744" t="s">
        <v>121</v>
      </c>
      <c r="BR2744" t="s">
        <v>84</v>
      </c>
      <c r="BS2744" s="3">
        <v>43795</v>
      </c>
      <c r="BT2744" s="5">
        <v>0.37708333333333338</v>
      </c>
      <c r="BU2744" t="s">
        <v>658</v>
      </c>
      <c r="BV2744" t="s">
        <v>86</v>
      </c>
      <c r="BY2744">
        <v>1200</v>
      </c>
      <c r="CA2744" t="s">
        <v>300</v>
      </c>
      <c r="CC2744" t="s">
        <v>297</v>
      </c>
      <c r="CD2744">
        <v>6849</v>
      </c>
      <c r="CE2744" t="s">
        <v>147</v>
      </c>
      <c r="CF2744" s="3">
        <v>43796</v>
      </c>
      <c r="CI2744">
        <v>3</v>
      </c>
      <c r="CJ2744">
        <v>2</v>
      </c>
      <c r="CK2744">
        <v>23</v>
      </c>
      <c r="CL2744" t="s">
        <v>89</v>
      </c>
    </row>
    <row r="2745" spans="1:90">
      <c r="A2745" t="s">
        <v>72</v>
      </c>
      <c r="B2745" t="s">
        <v>73</v>
      </c>
      <c r="C2745" t="s">
        <v>74</v>
      </c>
      <c r="E2745" t="str">
        <f>"FES1162724633"</f>
        <v>FES1162724633</v>
      </c>
      <c r="F2745" s="3">
        <v>43791</v>
      </c>
      <c r="G2745">
        <v>202005</v>
      </c>
      <c r="H2745" t="s">
        <v>75</v>
      </c>
      <c r="I2745" t="s">
        <v>76</v>
      </c>
      <c r="J2745" t="s">
        <v>77</v>
      </c>
      <c r="K2745" t="s">
        <v>78</v>
      </c>
      <c r="L2745" t="s">
        <v>90</v>
      </c>
      <c r="M2745" t="s">
        <v>91</v>
      </c>
      <c r="N2745" t="s">
        <v>505</v>
      </c>
      <c r="O2745" t="s">
        <v>82</v>
      </c>
      <c r="P2745" t="str">
        <f>"2170718396                    "</f>
        <v xml:space="preserve">2170718396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8.58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 s="4">
        <v>50.45</v>
      </c>
      <c r="BM2745" s="4">
        <v>7.57</v>
      </c>
      <c r="BN2745" s="4">
        <v>58.02</v>
      </c>
      <c r="BO2745" s="4">
        <v>58.02</v>
      </c>
      <c r="BQ2745" t="s">
        <v>121</v>
      </c>
      <c r="BR2745" t="s">
        <v>84</v>
      </c>
      <c r="BS2745" s="3">
        <v>43794</v>
      </c>
      <c r="BT2745" s="5">
        <v>0.37986111111111115</v>
      </c>
      <c r="BU2745" t="s">
        <v>2824</v>
      </c>
      <c r="BV2745" t="s">
        <v>86</v>
      </c>
      <c r="BY2745">
        <v>1200</v>
      </c>
      <c r="CA2745" t="s">
        <v>1121</v>
      </c>
      <c r="CC2745" t="s">
        <v>91</v>
      </c>
      <c r="CD2745">
        <v>7764</v>
      </c>
      <c r="CE2745" t="s">
        <v>147</v>
      </c>
      <c r="CF2745" s="3">
        <v>43795</v>
      </c>
      <c r="CI2745">
        <v>1</v>
      </c>
      <c r="CJ2745">
        <v>1</v>
      </c>
      <c r="CK2745">
        <v>21</v>
      </c>
      <c r="CL2745" t="s">
        <v>89</v>
      </c>
    </row>
    <row r="2746" spans="1:90">
      <c r="A2746" t="s">
        <v>72</v>
      </c>
      <c r="B2746" t="s">
        <v>73</v>
      </c>
      <c r="C2746" t="s">
        <v>74</v>
      </c>
      <c r="E2746" t="str">
        <f>"FES1162724695"</f>
        <v>FES1162724695</v>
      </c>
      <c r="F2746" s="3">
        <v>43791</v>
      </c>
      <c r="G2746">
        <v>202005</v>
      </c>
      <c r="H2746" t="s">
        <v>75</v>
      </c>
      <c r="I2746" t="s">
        <v>76</v>
      </c>
      <c r="J2746" t="s">
        <v>77</v>
      </c>
      <c r="K2746" t="s">
        <v>78</v>
      </c>
      <c r="L2746" t="s">
        <v>90</v>
      </c>
      <c r="M2746" t="s">
        <v>91</v>
      </c>
      <c r="N2746" t="s">
        <v>1632</v>
      </c>
      <c r="O2746" t="s">
        <v>82</v>
      </c>
      <c r="P2746" t="str">
        <f>"2170718480                    "</f>
        <v xml:space="preserve">2170718480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8.58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 s="4">
        <v>50.45</v>
      </c>
      <c r="BM2746" s="4">
        <v>7.57</v>
      </c>
      <c r="BN2746" s="4">
        <v>58.02</v>
      </c>
      <c r="BO2746" s="4">
        <v>58.02</v>
      </c>
      <c r="BQ2746" t="s">
        <v>109</v>
      </c>
      <c r="BR2746" t="s">
        <v>84</v>
      </c>
      <c r="BS2746" s="3">
        <v>43794</v>
      </c>
      <c r="BT2746" s="5">
        <v>0.36527777777777781</v>
      </c>
      <c r="BU2746" t="s">
        <v>2825</v>
      </c>
      <c r="BV2746" t="s">
        <v>86</v>
      </c>
      <c r="BY2746">
        <v>1200</v>
      </c>
      <c r="CA2746" t="s">
        <v>323</v>
      </c>
      <c r="CC2746" t="s">
        <v>91</v>
      </c>
      <c r="CD2746">
        <v>7460</v>
      </c>
      <c r="CE2746" t="s">
        <v>147</v>
      </c>
      <c r="CF2746" s="3">
        <v>43794</v>
      </c>
      <c r="CI2746">
        <v>1</v>
      </c>
      <c r="CJ2746">
        <v>1</v>
      </c>
      <c r="CK2746">
        <v>21</v>
      </c>
      <c r="CL2746" t="s">
        <v>89</v>
      </c>
    </row>
    <row r="2747" spans="1:90">
      <c r="A2747" t="s">
        <v>72</v>
      </c>
      <c r="B2747" t="s">
        <v>73</v>
      </c>
      <c r="C2747" t="s">
        <v>74</v>
      </c>
      <c r="E2747" t="str">
        <f>"FES1162724612"</f>
        <v>FES1162724612</v>
      </c>
      <c r="F2747" s="3">
        <v>43791</v>
      </c>
      <c r="G2747">
        <v>202005</v>
      </c>
      <c r="H2747" t="s">
        <v>75</v>
      </c>
      <c r="I2747" t="s">
        <v>76</v>
      </c>
      <c r="J2747" t="s">
        <v>77</v>
      </c>
      <c r="K2747" t="s">
        <v>78</v>
      </c>
      <c r="L2747" t="s">
        <v>214</v>
      </c>
      <c r="M2747" t="s">
        <v>214</v>
      </c>
      <c r="N2747" t="s">
        <v>314</v>
      </c>
      <c r="O2747" t="s">
        <v>82</v>
      </c>
      <c r="P2747" t="str">
        <f>"2170712138                    "</f>
        <v xml:space="preserve">2170712138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16.63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 s="4">
        <v>97.75</v>
      </c>
      <c r="BM2747" s="4">
        <v>14.66</v>
      </c>
      <c r="BN2747" s="4">
        <v>112.41</v>
      </c>
      <c r="BO2747" s="4">
        <v>112.41</v>
      </c>
      <c r="BQ2747" t="s">
        <v>109</v>
      </c>
      <c r="BR2747" t="s">
        <v>84</v>
      </c>
      <c r="BS2747" s="3">
        <v>43794</v>
      </c>
      <c r="BT2747" s="5">
        <v>0.40972222222222227</v>
      </c>
      <c r="BU2747" t="s">
        <v>2826</v>
      </c>
      <c r="BV2747" t="s">
        <v>86</v>
      </c>
      <c r="BY2747">
        <v>1200</v>
      </c>
      <c r="CA2747" t="s">
        <v>217</v>
      </c>
      <c r="CC2747" t="s">
        <v>214</v>
      </c>
      <c r="CD2747">
        <v>7646</v>
      </c>
      <c r="CE2747" t="s">
        <v>147</v>
      </c>
      <c r="CF2747" s="3">
        <v>43795</v>
      </c>
      <c r="CI2747">
        <v>1</v>
      </c>
      <c r="CJ2747">
        <v>1</v>
      </c>
      <c r="CK2747">
        <v>23</v>
      </c>
      <c r="CL2747" t="s">
        <v>89</v>
      </c>
    </row>
    <row r="2748" spans="1:90">
      <c r="A2748" t="s">
        <v>72</v>
      </c>
      <c r="B2748" t="s">
        <v>73</v>
      </c>
      <c r="C2748" t="s">
        <v>74</v>
      </c>
      <c r="E2748" t="str">
        <f>"FES1162724694"</f>
        <v>FES1162724694</v>
      </c>
      <c r="F2748" s="3">
        <v>43791</v>
      </c>
      <c r="G2748">
        <v>202005</v>
      </c>
      <c r="H2748" t="s">
        <v>75</v>
      </c>
      <c r="I2748" t="s">
        <v>76</v>
      </c>
      <c r="J2748" t="s">
        <v>77</v>
      </c>
      <c r="K2748" t="s">
        <v>78</v>
      </c>
      <c r="L2748" t="s">
        <v>349</v>
      </c>
      <c r="M2748" t="s">
        <v>350</v>
      </c>
      <c r="N2748" t="s">
        <v>351</v>
      </c>
      <c r="O2748" t="s">
        <v>82</v>
      </c>
      <c r="P2748" t="str">
        <f>"2170718478                    "</f>
        <v xml:space="preserve">2170718478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8.58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 s="4">
        <v>50.45</v>
      </c>
      <c r="BM2748" s="4">
        <v>7.57</v>
      </c>
      <c r="BN2748" s="4">
        <v>58.02</v>
      </c>
      <c r="BO2748" s="4">
        <v>58.02</v>
      </c>
      <c r="BQ2748" t="s">
        <v>109</v>
      </c>
      <c r="BR2748" t="s">
        <v>84</v>
      </c>
      <c r="BS2748" s="3">
        <v>43794</v>
      </c>
      <c r="BT2748" s="5">
        <v>0.42638888888888887</v>
      </c>
      <c r="BU2748" t="s">
        <v>1347</v>
      </c>
      <c r="BV2748" t="s">
        <v>86</v>
      </c>
      <c r="BY2748">
        <v>1200</v>
      </c>
      <c r="CC2748" t="s">
        <v>350</v>
      </c>
      <c r="CD2748">
        <v>6536</v>
      </c>
      <c r="CE2748" t="s">
        <v>147</v>
      </c>
      <c r="CF2748" s="3">
        <v>43797</v>
      </c>
      <c r="CI2748">
        <v>1</v>
      </c>
      <c r="CJ2748">
        <v>1</v>
      </c>
      <c r="CK2748">
        <v>21</v>
      </c>
      <c r="CL2748" t="s">
        <v>89</v>
      </c>
    </row>
    <row r="2749" spans="1:90">
      <c r="A2749" t="s">
        <v>72</v>
      </c>
      <c r="B2749" t="s">
        <v>73</v>
      </c>
      <c r="C2749" t="s">
        <v>74</v>
      </c>
      <c r="E2749" t="str">
        <f>"FES1162724732"</f>
        <v>FES1162724732</v>
      </c>
      <c r="F2749" s="3">
        <v>43791</v>
      </c>
      <c r="G2749">
        <v>202005</v>
      </c>
      <c r="H2749" t="s">
        <v>75</v>
      </c>
      <c r="I2749" t="s">
        <v>76</v>
      </c>
      <c r="J2749" t="s">
        <v>77</v>
      </c>
      <c r="K2749" t="s">
        <v>78</v>
      </c>
      <c r="L2749" t="s">
        <v>90</v>
      </c>
      <c r="M2749" t="s">
        <v>91</v>
      </c>
      <c r="N2749" t="s">
        <v>763</v>
      </c>
      <c r="O2749" t="s">
        <v>82</v>
      </c>
      <c r="P2749" t="str">
        <f>"21707185241                   "</f>
        <v xml:space="preserve">21707185241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8.58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 s="4">
        <v>50.45</v>
      </c>
      <c r="BM2749" s="4">
        <v>7.57</v>
      </c>
      <c r="BN2749" s="4">
        <v>58.02</v>
      </c>
      <c r="BO2749" s="4">
        <v>58.02</v>
      </c>
      <c r="BQ2749" t="s">
        <v>109</v>
      </c>
      <c r="BR2749" t="s">
        <v>84</v>
      </c>
      <c r="BS2749" s="3">
        <v>43794</v>
      </c>
      <c r="BT2749" s="5">
        <v>0.37013888888888885</v>
      </c>
      <c r="BU2749" t="s">
        <v>2827</v>
      </c>
      <c r="BV2749" t="s">
        <v>86</v>
      </c>
      <c r="BY2749">
        <v>1200</v>
      </c>
      <c r="CA2749" t="s">
        <v>140</v>
      </c>
      <c r="CC2749" t="s">
        <v>91</v>
      </c>
      <c r="CD2749">
        <v>7560</v>
      </c>
      <c r="CE2749" t="s">
        <v>147</v>
      </c>
      <c r="CF2749" s="3">
        <v>43795</v>
      </c>
      <c r="CI2749">
        <v>1</v>
      </c>
      <c r="CJ2749">
        <v>1</v>
      </c>
      <c r="CK2749">
        <v>21</v>
      </c>
      <c r="CL2749" t="s">
        <v>89</v>
      </c>
    </row>
    <row r="2750" spans="1:90">
      <c r="A2750" t="s">
        <v>72</v>
      </c>
      <c r="B2750" t="s">
        <v>73</v>
      </c>
      <c r="C2750" t="s">
        <v>74</v>
      </c>
      <c r="E2750" t="str">
        <f>"FES1162724647"</f>
        <v>FES1162724647</v>
      </c>
      <c r="F2750" s="3">
        <v>43791</v>
      </c>
      <c r="G2750">
        <v>202005</v>
      </c>
      <c r="H2750" t="s">
        <v>75</v>
      </c>
      <c r="I2750" t="s">
        <v>76</v>
      </c>
      <c r="J2750" t="s">
        <v>77</v>
      </c>
      <c r="K2750" t="s">
        <v>78</v>
      </c>
      <c r="L2750" t="s">
        <v>578</v>
      </c>
      <c r="M2750" t="s">
        <v>579</v>
      </c>
      <c r="N2750" t="s">
        <v>1020</v>
      </c>
      <c r="O2750" t="s">
        <v>82</v>
      </c>
      <c r="P2750" t="str">
        <f>"2170718394                    "</f>
        <v xml:space="preserve">2170718394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8.58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 s="4">
        <v>50.45</v>
      </c>
      <c r="BM2750" s="4">
        <v>7.57</v>
      </c>
      <c r="BN2750" s="4">
        <v>58.02</v>
      </c>
      <c r="BO2750" s="4">
        <v>58.02</v>
      </c>
      <c r="BQ2750" t="s">
        <v>121</v>
      </c>
      <c r="BR2750" t="s">
        <v>84</v>
      </c>
      <c r="BS2750" s="3">
        <v>43794</v>
      </c>
      <c r="BT2750" s="5">
        <v>0.40625</v>
      </c>
      <c r="BU2750" t="s">
        <v>1305</v>
      </c>
      <c r="BV2750" t="s">
        <v>86</v>
      </c>
      <c r="BY2750">
        <v>1200</v>
      </c>
      <c r="CA2750" t="s">
        <v>1022</v>
      </c>
      <c r="CC2750" t="s">
        <v>579</v>
      </c>
      <c r="CD2750">
        <v>7600</v>
      </c>
      <c r="CE2750" t="s">
        <v>147</v>
      </c>
      <c r="CF2750" s="3">
        <v>43795</v>
      </c>
      <c r="CI2750">
        <v>1</v>
      </c>
      <c r="CJ2750">
        <v>1</v>
      </c>
      <c r="CK2750">
        <v>21</v>
      </c>
      <c r="CL2750" t="s">
        <v>89</v>
      </c>
    </row>
    <row r="2751" spans="1:90">
      <c r="A2751" t="s">
        <v>72</v>
      </c>
      <c r="B2751" t="s">
        <v>73</v>
      </c>
      <c r="C2751" t="s">
        <v>74</v>
      </c>
      <c r="E2751" t="str">
        <f>"FES1162724689"</f>
        <v>FES1162724689</v>
      </c>
      <c r="F2751" s="3">
        <v>43791</v>
      </c>
      <c r="G2751">
        <v>202005</v>
      </c>
      <c r="H2751" t="s">
        <v>75</v>
      </c>
      <c r="I2751" t="s">
        <v>76</v>
      </c>
      <c r="J2751" t="s">
        <v>77</v>
      </c>
      <c r="K2751" t="s">
        <v>78</v>
      </c>
      <c r="L2751" t="s">
        <v>106</v>
      </c>
      <c r="M2751" t="s">
        <v>107</v>
      </c>
      <c r="N2751" t="s">
        <v>150</v>
      </c>
      <c r="O2751" t="s">
        <v>82</v>
      </c>
      <c r="P2751" t="str">
        <f>"217071847                     "</f>
        <v xml:space="preserve">217071847 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8.58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 s="4">
        <v>50.45</v>
      </c>
      <c r="BM2751" s="4">
        <v>7.57</v>
      </c>
      <c r="BN2751" s="4">
        <v>58.02</v>
      </c>
      <c r="BO2751" s="4">
        <v>58.02</v>
      </c>
      <c r="BQ2751" t="s">
        <v>109</v>
      </c>
      <c r="BR2751" t="s">
        <v>84</v>
      </c>
      <c r="BS2751" s="3">
        <v>43794</v>
      </c>
      <c r="BT2751" s="5">
        <v>0.4236111111111111</v>
      </c>
      <c r="BU2751" t="s">
        <v>151</v>
      </c>
      <c r="BV2751" t="s">
        <v>86</v>
      </c>
      <c r="BY2751">
        <v>1200</v>
      </c>
      <c r="CA2751" t="s">
        <v>111</v>
      </c>
      <c r="CC2751" t="s">
        <v>107</v>
      </c>
      <c r="CD2751">
        <v>6001</v>
      </c>
      <c r="CE2751" t="s">
        <v>147</v>
      </c>
      <c r="CF2751" s="3">
        <v>43795</v>
      </c>
      <c r="CI2751">
        <v>1</v>
      </c>
      <c r="CJ2751">
        <v>1</v>
      </c>
      <c r="CK2751">
        <v>21</v>
      </c>
      <c r="CL2751" t="s">
        <v>89</v>
      </c>
    </row>
    <row r="2752" spans="1:90">
      <c r="A2752" t="s">
        <v>72</v>
      </c>
      <c r="B2752" t="s">
        <v>73</v>
      </c>
      <c r="C2752" t="s">
        <v>74</v>
      </c>
      <c r="E2752" t="str">
        <f>"FES1162724737"</f>
        <v>FES1162724737</v>
      </c>
      <c r="F2752" s="3">
        <v>43791</v>
      </c>
      <c r="G2752">
        <v>202005</v>
      </c>
      <c r="H2752" t="s">
        <v>75</v>
      </c>
      <c r="I2752" t="s">
        <v>76</v>
      </c>
      <c r="J2752" t="s">
        <v>77</v>
      </c>
      <c r="K2752" t="s">
        <v>78</v>
      </c>
      <c r="L2752" t="s">
        <v>296</v>
      </c>
      <c r="M2752" t="s">
        <v>297</v>
      </c>
      <c r="N2752" t="s">
        <v>672</v>
      </c>
      <c r="O2752" t="s">
        <v>82</v>
      </c>
      <c r="P2752" t="str">
        <f>"2170718530                    "</f>
        <v xml:space="preserve">2170718530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16.63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 s="4">
        <v>97.75</v>
      </c>
      <c r="BM2752" s="4">
        <v>14.66</v>
      </c>
      <c r="BN2752" s="4">
        <v>112.41</v>
      </c>
      <c r="BO2752" s="4">
        <v>112.41</v>
      </c>
      <c r="BQ2752" t="s">
        <v>142</v>
      </c>
      <c r="BR2752" t="s">
        <v>84</v>
      </c>
      <c r="BS2752" s="3">
        <v>43795</v>
      </c>
      <c r="BT2752" s="5">
        <v>0.38611111111111113</v>
      </c>
      <c r="BU2752" t="s">
        <v>690</v>
      </c>
      <c r="BV2752" t="s">
        <v>86</v>
      </c>
      <c r="BY2752">
        <v>1200</v>
      </c>
      <c r="CA2752" t="s">
        <v>300</v>
      </c>
      <c r="CC2752" t="s">
        <v>297</v>
      </c>
      <c r="CD2752">
        <v>6850</v>
      </c>
      <c r="CE2752" t="s">
        <v>147</v>
      </c>
      <c r="CF2752" s="3">
        <v>43796</v>
      </c>
      <c r="CI2752">
        <v>3</v>
      </c>
      <c r="CJ2752">
        <v>2</v>
      </c>
      <c r="CK2752">
        <v>23</v>
      </c>
      <c r="CL2752" t="s">
        <v>89</v>
      </c>
    </row>
    <row r="2753" spans="1:90">
      <c r="A2753" t="s">
        <v>72</v>
      </c>
      <c r="B2753" t="s">
        <v>73</v>
      </c>
      <c r="C2753" t="s">
        <v>74</v>
      </c>
      <c r="E2753" t="str">
        <f>"FES1162724614"</f>
        <v>FES1162724614</v>
      </c>
      <c r="F2753" s="3">
        <v>43791</v>
      </c>
      <c r="G2753">
        <v>202005</v>
      </c>
      <c r="H2753" t="s">
        <v>75</v>
      </c>
      <c r="I2753" t="s">
        <v>76</v>
      </c>
      <c r="J2753" t="s">
        <v>77</v>
      </c>
      <c r="K2753" t="s">
        <v>78</v>
      </c>
      <c r="L2753" t="s">
        <v>214</v>
      </c>
      <c r="M2753" t="s">
        <v>214</v>
      </c>
      <c r="N2753" t="s">
        <v>1523</v>
      </c>
      <c r="O2753" t="s">
        <v>82</v>
      </c>
      <c r="P2753" t="str">
        <f>"2170718041                    "</f>
        <v xml:space="preserve">2170718041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16.63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 s="4">
        <v>97.75</v>
      </c>
      <c r="BM2753" s="4">
        <v>14.66</v>
      </c>
      <c r="BN2753" s="4">
        <v>112.41</v>
      </c>
      <c r="BO2753" s="4">
        <v>112.41</v>
      </c>
      <c r="BR2753" t="s">
        <v>84</v>
      </c>
      <c r="BS2753" s="3">
        <v>43794</v>
      </c>
      <c r="BT2753" s="5">
        <v>0.4145833333333333</v>
      </c>
      <c r="BU2753" t="s">
        <v>2828</v>
      </c>
      <c r="BV2753" t="s">
        <v>86</v>
      </c>
      <c r="BY2753">
        <v>1200</v>
      </c>
      <c r="CA2753" t="s">
        <v>217</v>
      </c>
      <c r="CC2753" t="s">
        <v>214</v>
      </c>
      <c r="CD2753">
        <v>7646</v>
      </c>
      <c r="CE2753" t="s">
        <v>147</v>
      </c>
      <c r="CF2753" s="3">
        <v>43795</v>
      </c>
      <c r="CI2753">
        <v>1</v>
      </c>
      <c r="CJ2753">
        <v>1</v>
      </c>
      <c r="CK2753">
        <v>23</v>
      </c>
      <c r="CL2753" t="s">
        <v>89</v>
      </c>
    </row>
    <row r="2754" spans="1:90">
      <c r="A2754" t="s">
        <v>72</v>
      </c>
      <c r="B2754" t="s">
        <v>73</v>
      </c>
      <c r="C2754" t="s">
        <v>74</v>
      </c>
      <c r="E2754" t="str">
        <f>"FES1162724738"</f>
        <v>FES1162724738</v>
      </c>
      <c r="F2754" s="3">
        <v>43791</v>
      </c>
      <c r="G2754">
        <v>202005</v>
      </c>
      <c r="H2754" t="s">
        <v>75</v>
      </c>
      <c r="I2754" t="s">
        <v>76</v>
      </c>
      <c r="J2754" t="s">
        <v>77</v>
      </c>
      <c r="K2754" t="s">
        <v>78</v>
      </c>
      <c r="L2754" t="s">
        <v>578</v>
      </c>
      <c r="M2754" t="s">
        <v>579</v>
      </c>
      <c r="N2754" t="s">
        <v>1020</v>
      </c>
      <c r="O2754" t="s">
        <v>82</v>
      </c>
      <c r="P2754" t="str">
        <f>"2170718531                    "</f>
        <v xml:space="preserve">2170718531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8.58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 s="4">
        <v>50.45</v>
      </c>
      <c r="BM2754" s="4">
        <v>7.57</v>
      </c>
      <c r="BN2754" s="4">
        <v>58.02</v>
      </c>
      <c r="BO2754" s="4">
        <v>58.02</v>
      </c>
      <c r="BQ2754" t="s">
        <v>121</v>
      </c>
      <c r="BR2754" t="s">
        <v>84</v>
      </c>
      <c r="BS2754" s="3">
        <v>43794</v>
      </c>
      <c r="BT2754" s="5">
        <v>0.4069444444444445</v>
      </c>
      <c r="BU2754" t="s">
        <v>1305</v>
      </c>
      <c r="BV2754" t="s">
        <v>86</v>
      </c>
      <c r="BY2754">
        <v>1200</v>
      </c>
      <c r="CA2754" t="s">
        <v>1022</v>
      </c>
      <c r="CC2754" t="s">
        <v>579</v>
      </c>
      <c r="CD2754">
        <v>7600</v>
      </c>
      <c r="CE2754" t="s">
        <v>147</v>
      </c>
      <c r="CF2754" s="3">
        <v>43795</v>
      </c>
      <c r="CI2754">
        <v>1</v>
      </c>
      <c r="CJ2754">
        <v>1</v>
      </c>
      <c r="CK2754">
        <v>21</v>
      </c>
      <c r="CL2754" t="s">
        <v>89</v>
      </c>
    </row>
    <row r="2755" spans="1:90">
      <c r="A2755" t="s">
        <v>72</v>
      </c>
      <c r="B2755" t="s">
        <v>73</v>
      </c>
      <c r="C2755" t="s">
        <v>74</v>
      </c>
      <c r="E2755" t="str">
        <f>"FES1162724594"</f>
        <v>FES1162724594</v>
      </c>
      <c r="F2755" s="3">
        <v>43791</v>
      </c>
      <c r="G2755">
        <v>202005</v>
      </c>
      <c r="H2755" t="s">
        <v>75</v>
      </c>
      <c r="I2755" t="s">
        <v>76</v>
      </c>
      <c r="J2755" t="s">
        <v>77</v>
      </c>
      <c r="K2755" t="s">
        <v>78</v>
      </c>
      <c r="L2755" t="s">
        <v>176</v>
      </c>
      <c r="M2755" t="s">
        <v>177</v>
      </c>
      <c r="N2755" t="s">
        <v>222</v>
      </c>
      <c r="O2755" t="s">
        <v>82</v>
      </c>
      <c r="P2755" t="str">
        <f>"2170718398                    "</f>
        <v xml:space="preserve">2170718398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8.58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1.3</v>
      </c>
      <c r="BJ2755">
        <v>0.9</v>
      </c>
      <c r="BK2755">
        <v>1.5</v>
      </c>
      <c r="BL2755" s="4">
        <v>50.45</v>
      </c>
      <c r="BM2755" s="4">
        <v>7.57</v>
      </c>
      <c r="BN2755" s="4">
        <v>58.02</v>
      </c>
      <c r="BO2755" s="4">
        <v>58.02</v>
      </c>
      <c r="BQ2755" t="s">
        <v>121</v>
      </c>
      <c r="BR2755" t="s">
        <v>84</v>
      </c>
      <c r="BS2755" s="3">
        <v>43794</v>
      </c>
      <c r="BT2755" s="5">
        <v>0.41875000000000001</v>
      </c>
      <c r="BU2755" t="s">
        <v>2829</v>
      </c>
      <c r="BV2755" t="s">
        <v>86</v>
      </c>
      <c r="BY2755">
        <v>4308.93</v>
      </c>
      <c r="CA2755" t="s">
        <v>224</v>
      </c>
      <c r="CC2755" t="s">
        <v>177</v>
      </c>
      <c r="CD2755">
        <v>3610</v>
      </c>
      <c r="CE2755" t="s">
        <v>88</v>
      </c>
      <c r="CF2755" s="3">
        <v>43795</v>
      </c>
      <c r="CI2755">
        <v>1</v>
      </c>
      <c r="CJ2755">
        <v>1</v>
      </c>
      <c r="CK2755">
        <v>21</v>
      </c>
      <c r="CL2755" t="s">
        <v>89</v>
      </c>
    </row>
    <row r="2756" spans="1:90">
      <c r="A2756" t="s">
        <v>72</v>
      </c>
      <c r="B2756" t="s">
        <v>73</v>
      </c>
      <c r="C2756" t="s">
        <v>74</v>
      </c>
      <c r="E2756" t="str">
        <f>"FES1162724680"</f>
        <v>FES1162724680</v>
      </c>
      <c r="F2756" s="3">
        <v>43791</v>
      </c>
      <c r="G2756">
        <v>202005</v>
      </c>
      <c r="H2756" t="s">
        <v>75</v>
      </c>
      <c r="I2756" t="s">
        <v>76</v>
      </c>
      <c r="J2756" t="s">
        <v>77</v>
      </c>
      <c r="K2756" t="s">
        <v>78</v>
      </c>
      <c r="L2756" t="s">
        <v>112</v>
      </c>
      <c r="M2756" t="s">
        <v>113</v>
      </c>
      <c r="N2756" t="s">
        <v>446</v>
      </c>
      <c r="O2756" t="s">
        <v>82</v>
      </c>
      <c r="P2756" t="str">
        <f>"2170718096                    "</f>
        <v xml:space="preserve">2170718096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8.58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1.5</v>
      </c>
      <c r="BK2756">
        <v>1.5</v>
      </c>
      <c r="BL2756" s="4">
        <v>50.45</v>
      </c>
      <c r="BM2756" s="4">
        <v>7.57</v>
      </c>
      <c r="BN2756" s="4">
        <v>58.02</v>
      </c>
      <c r="BO2756" s="4">
        <v>58.02</v>
      </c>
      <c r="BQ2756" t="s">
        <v>121</v>
      </c>
      <c r="BR2756" t="s">
        <v>84</v>
      </c>
      <c r="BS2756" s="3">
        <v>43794</v>
      </c>
      <c r="BT2756" s="5">
        <v>0.31944444444444448</v>
      </c>
      <c r="BU2756" t="s">
        <v>2819</v>
      </c>
      <c r="BV2756" t="s">
        <v>86</v>
      </c>
      <c r="BY2756">
        <v>7540</v>
      </c>
      <c r="CA2756" t="s">
        <v>255</v>
      </c>
      <c r="CC2756" t="s">
        <v>113</v>
      </c>
      <c r="CD2756">
        <v>4052</v>
      </c>
      <c r="CE2756" t="s">
        <v>88</v>
      </c>
      <c r="CF2756" s="3">
        <v>43795</v>
      </c>
      <c r="CI2756">
        <v>1</v>
      </c>
      <c r="CJ2756">
        <v>1</v>
      </c>
      <c r="CK2756">
        <v>21</v>
      </c>
      <c r="CL2756" t="s">
        <v>89</v>
      </c>
    </row>
    <row r="2757" spans="1:90">
      <c r="A2757" t="s">
        <v>72</v>
      </c>
      <c r="B2757" t="s">
        <v>73</v>
      </c>
      <c r="C2757" t="s">
        <v>74</v>
      </c>
      <c r="E2757" t="str">
        <f>"FES1162724588"</f>
        <v>FES1162724588</v>
      </c>
      <c r="F2757" s="3">
        <v>43791</v>
      </c>
      <c r="G2757">
        <v>202005</v>
      </c>
      <c r="H2757" t="s">
        <v>75</v>
      </c>
      <c r="I2757" t="s">
        <v>76</v>
      </c>
      <c r="J2757" t="s">
        <v>77</v>
      </c>
      <c r="K2757" t="s">
        <v>78</v>
      </c>
      <c r="L2757" t="s">
        <v>118</v>
      </c>
      <c r="M2757" t="s">
        <v>119</v>
      </c>
      <c r="N2757" t="s">
        <v>775</v>
      </c>
      <c r="O2757" t="s">
        <v>82</v>
      </c>
      <c r="P2757" t="str">
        <f>"2170718388                    "</f>
        <v xml:space="preserve">2170718388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8.58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0.8</v>
      </c>
      <c r="BJ2757">
        <v>0.9</v>
      </c>
      <c r="BK2757">
        <v>1</v>
      </c>
      <c r="BL2757" s="4">
        <v>50.45</v>
      </c>
      <c r="BM2757" s="4">
        <v>7.57</v>
      </c>
      <c r="BN2757" s="4">
        <v>58.02</v>
      </c>
      <c r="BO2757" s="4">
        <v>58.02</v>
      </c>
      <c r="BQ2757" t="s">
        <v>142</v>
      </c>
      <c r="BR2757" t="s">
        <v>84</v>
      </c>
      <c r="BS2757" s="3">
        <v>43794</v>
      </c>
      <c r="BT2757" s="5">
        <v>0.42986111111111108</v>
      </c>
      <c r="BU2757" t="s">
        <v>2830</v>
      </c>
      <c r="BV2757" t="s">
        <v>86</v>
      </c>
      <c r="BY2757">
        <v>4660.66</v>
      </c>
      <c r="CC2757" t="s">
        <v>119</v>
      </c>
      <c r="CD2757">
        <v>3201</v>
      </c>
      <c r="CE2757" t="s">
        <v>88</v>
      </c>
      <c r="CF2757" s="3">
        <v>43796</v>
      </c>
      <c r="CI2757">
        <v>1</v>
      </c>
      <c r="CJ2757">
        <v>1</v>
      </c>
      <c r="CK2757">
        <v>21</v>
      </c>
      <c r="CL2757" t="s">
        <v>89</v>
      </c>
    </row>
    <row r="2758" spans="1:90">
      <c r="A2758" t="s">
        <v>72</v>
      </c>
      <c r="B2758" t="s">
        <v>73</v>
      </c>
      <c r="C2758" t="s">
        <v>74</v>
      </c>
      <c r="E2758" t="str">
        <f>"FES1162724509"</f>
        <v>FES1162724509</v>
      </c>
      <c r="F2758" s="3">
        <v>43791</v>
      </c>
      <c r="G2758">
        <v>202005</v>
      </c>
      <c r="H2758" t="s">
        <v>75</v>
      </c>
      <c r="I2758" t="s">
        <v>76</v>
      </c>
      <c r="J2758" t="s">
        <v>77</v>
      </c>
      <c r="K2758" t="s">
        <v>78</v>
      </c>
      <c r="L2758" t="s">
        <v>90</v>
      </c>
      <c r="M2758" t="s">
        <v>91</v>
      </c>
      <c r="N2758" t="s">
        <v>1481</v>
      </c>
      <c r="O2758" t="s">
        <v>82</v>
      </c>
      <c r="P2758" t="str">
        <f>"2170718282                    "</f>
        <v xml:space="preserve">2170718282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15.02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3.3</v>
      </c>
      <c r="BJ2758">
        <v>2.1</v>
      </c>
      <c r="BK2758">
        <v>3.5</v>
      </c>
      <c r="BL2758" s="4">
        <v>88.27</v>
      </c>
      <c r="BM2758" s="4">
        <v>13.24</v>
      </c>
      <c r="BN2758" s="4">
        <v>101.51</v>
      </c>
      <c r="BO2758" s="4">
        <v>101.51</v>
      </c>
      <c r="BQ2758" t="s">
        <v>121</v>
      </c>
      <c r="BR2758" t="s">
        <v>84</v>
      </c>
      <c r="BS2758" s="3">
        <v>43794</v>
      </c>
      <c r="BT2758" s="5">
        <v>0.40833333333333338</v>
      </c>
      <c r="BU2758" t="s">
        <v>2831</v>
      </c>
      <c r="BV2758" t="s">
        <v>86</v>
      </c>
      <c r="BY2758">
        <v>10561.65</v>
      </c>
      <c r="CA2758" t="s">
        <v>1902</v>
      </c>
      <c r="CC2758" t="s">
        <v>91</v>
      </c>
      <c r="CD2758">
        <v>7441</v>
      </c>
      <c r="CE2758" t="s">
        <v>88</v>
      </c>
      <c r="CF2758" s="3">
        <v>43795</v>
      </c>
      <c r="CI2758">
        <v>1</v>
      </c>
      <c r="CJ2758">
        <v>1</v>
      </c>
      <c r="CK2758">
        <v>21</v>
      </c>
      <c r="CL2758" t="s">
        <v>89</v>
      </c>
    </row>
    <row r="2759" spans="1:90">
      <c r="A2759" t="s">
        <v>72</v>
      </c>
      <c r="B2759" t="s">
        <v>73</v>
      </c>
      <c r="C2759" t="s">
        <v>74</v>
      </c>
      <c r="E2759" t="str">
        <f>"FES1162724482"</f>
        <v>FES1162724482</v>
      </c>
      <c r="F2759" s="3">
        <v>43791</v>
      </c>
      <c r="G2759">
        <v>202005</v>
      </c>
      <c r="H2759" t="s">
        <v>75</v>
      </c>
      <c r="I2759" t="s">
        <v>76</v>
      </c>
      <c r="J2759" t="s">
        <v>77</v>
      </c>
      <c r="K2759" t="s">
        <v>78</v>
      </c>
      <c r="L2759" t="s">
        <v>90</v>
      </c>
      <c r="M2759" t="s">
        <v>91</v>
      </c>
      <c r="N2759" t="s">
        <v>576</v>
      </c>
      <c r="O2759" t="s">
        <v>82</v>
      </c>
      <c r="P2759" t="str">
        <f>"2170718244                    "</f>
        <v xml:space="preserve">2170718244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36.46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4.5999999999999996</v>
      </c>
      <c r="BJ2759">
        <v>8.5</v>
      </c>
      <c r="BK2759">
        <v>8.5</v>
      </c>
      <c r="BL2759" s="4">
        <v>214.31</v>
      </c>
      <c r="BM2759" s="4">
        <v>32.15</v>
      </c>
      <c r="BN2759" s="4">
        <v>246.46</v>
      </c>
      <c r="BO2759" s="4">
        <v>246.46</v>
      </c>
      <c r="BQ2759" t="s">
        <v>109</v>
      </c>
      <c r="BR2759" t="s">
        <v>84</v>
      </c>
      <c r="BS2759" s="3">
        <v>43794</v>
      </c>
      <c r="BT2759" s="5">
        <v>0.32847222222222222</v>
      </c>
      <c r="BU2759" t="s">
        <v>2081</v>
      </c>
      <c r="BV2759" t="s">
        <v>86</v>
      </c>
      <c r="BY2759">
        <v>42389.01</v>
      </c>
      <c r="CA2759" t="s">
        <v>213</v>
      </c>
      <c r="CC2759" t="s">
        <v>91</v>
      </c>
      <c r="CD2759">
        <v>7441</v>
      </c>
      <c r="CE2759" t="s">
        <v>88</v>
      </c>
      <c r="CF2759" s="3">
        <v>43795</v>
      </c>
      <c r="CI2759">
        <v>1</v>
      </c>
      <c r="CJ2759">
        <v>1</v>
      </c>
      <c r="CK2759">
        <v>21</v>
      </c>
      <c r="CL2759" t="s">
        <v>89</v>
      </c>
    </row>
    <row r="2760" spans="1:90">
      <c r="A2760" t="s">
        <v>72</v>
      </c>
      <c r="B2760" t="s">
        <v>73</v>
      </c>
      <c r="C2760" t="s">
        <v>74</v>
      </c>
      <c r="E2760" t="str">
        <f>"FES1162724483"</f>
        <v>FES1162724483</v>
      </c>
      <c r="F2760" s="3">
        <v>43791</v>
      </c>
      <c r="G2760">
        <v>202005</v>
      </c>
      <c r="H2760" t="s">
        <v>75</v>
      </c>
      <c r="I2760" t="s">
        <v>76</v>
      </c>
      <c r="J2760" t="s">
        <v>77</v>
      </c>
      <c r="K2760" t="s">
        <v>78</v>
      </c>
      <c r="L2760" t="s">
        <v>90</v>
      </c>
      <c r="M2760" t="s">
        <v>91</v>
      </c>
      <c r="N2760" t="s">
        <v>2832</v>
      </c>
      <c r="O2760" t="s">
        <v>82</v>
      </c>
      <c r="P2760" t="str">
        <f>"2170718246                    "</f>
        <v xml:space="preserve">2170718246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38.6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2</v>
      </c>
      <c r="BI2760">
        <v>8.9</v>
      </c>
      <c r="BJ2760">
        <v>5.8</v>
      </c>
      <c r="BK2760">
        <v>9</v>
      </c>
      <c r="BL2760" s="4">
        <v>226.91</v>
      </c>
      <c r="BM2760" s="4">
        <v>34.04</v>
      </c>
      <c r="BN2760" s="4">
        <v>260.95</v>
      </c>
      <c r="BO2760" s="4">
        <v>260.95</v>
      </c>
      <c r="BQ2760" t="s">
        <v>109</v>
      </c>
      <c r="BR2760" t="s">
        <v>84</v>
      </c>
      <c r="BS2760" s="3">
        <v>43794</v>
      </c>
      <c r="BT2760" s="5">
        <v>0.32013888888888892</v>
      </c>
      <c r="BU2760" t="s">
        <v>2833</v>
      </c>
      <c r="BV2760" t="s">
        <v>86</v>
      </c>
      <c r="BY2760">
        <v>29128.38</v>
      </c>
      <c r="CA2760" t="s">
        <v>140</v>
      </c>
      <c r="CC2760" t="s">
        <v>91</v>
      </c>
      <c r="CD2760">
        <v>7530</v>
      </c>
      <c r="CE2760" t="s">
        <v>1892</v>
      </c>
      <c r="CF2760" s="3">
        <v>43795</v>
      </c>
      <c r="CI2760">
        <v>1</v>
      </c>
      <c r="CJ2760">
        <v>1</v>
      </c>
      <c r="CK2760">
        <v>21</v>
      </c>
      <c r="CL2760" t="s">
        <v>89</v>
      </c>
    </row>
    <row r="2761" spans="1:90">
      <c r="A2761" t="s">
        <v>72</v>
      </c>
      <c r="B2761" t="s">
        <v>73</v>
      </c>
      <c r="C2761" t="s">
        <v>74</v>
      </c>
      <c r="E2761" t="str">
        <f>"FES1162724602"</f>
        <v>FES1162724602</v>
      </c>
      <c r="F2761" s="3">
        <v>43791</v>
      </c>
      <c r="G2761">
        <v>202005</v>
      </c>
      <c r="H2761" t="s">
        <v>75</v>
      </c>
      <c r="I2761" t="s">
        <v>76</v>
      </c>
      <c r="J2761" t="s">
        <v>77</v>
      </c>
      <c r="K2761" t="s">
        <v>78</v>
      </c>
      <c r="L2761" t="s">
        <v>106</v>
      </c>
      <c r="M2761" t="s">
        <v>107</v>
      </c>
      <c r="N2761" t="s">
        <v>489</v>
      </c>
      <c r="O2761" t="s">
        <v>82</v>
      </c>
      <c r="P2761" t="str">
        <f>"2170715312                    "</f>
        <v xml:space="preserve">2170715312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8.58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1.7</v>
      </c>
      <c r="BJ2761">
        <v>1.1000000000000001</v>
      </c>
      <c r="BK2761">
        <v>2</v>
      </c>
      <c r="BL2761" s="4">
        <v>50.45</v>
      </c>
      <c r="BM2761" s="4">
        <v>7.57</v>
      </c>
      <c r="BN2761" s="4">
        <v>58.02</v>
      </c>
      <c r="BO2761" s="4">
        <v>58.02</v>
      </c>
      <c r="BQ2761" t="s">
        <v>121</v>
      </c>
      <c r="BR2761" t="s">
        <v>84</v>
      </c>
      <c r="BS2761" s="3">
        <v>43794</v>
      </c>
      <c r="BT2761" s="5">
        <v>0.40069444444444446</v>
      </c>
      <c r="BU2761" t="s">
        <v>2834</v>
      </c>
      <c r="BV2761" t="s">
        <v>86</v>
      </c>
      <c r="BY2761">
        <v>5601.14</v>
      </c>
      <c r="CA2761" t="s">
        <v>773</v>
      </c>
      <c r="CC2761" t="s">
        <v>107</v>
      </c>
      <c r="CD2761">
        <v>6001</v>
      </c>
      <c r="CE2761" t="s">
        <v>88</v>
      </c>
      <c r="CF2761" s="3">
        <v>43795</v>
      </c>
      <c r="CI2761">
        <v>1</v>
      </c>
      <c r="CJ2761">
        <v>1</v>
      </c>
      <c r="CK2761">
        <v>21</v>
      </c>
      <c r="CL2761" t="s">
        <v>89</v>
      </c>
    </row>
    <row r="2762" spans="1:90">
      <c r="A2762" t="s">
        <v>72</v>
      </c>
      <c r="B2762" t="s">
        <v>73</v>
      </c>
      <c r="C2762" t="s">
        <v>74</v>
      </c>
      <c r="E2762" t="str">
        <f>"FES1162724373"</f>
        <v>FES1162724373</v>
      </c>
      <c r="F2762" s="3">
        <v>43791</v>
      </c>
      <c r="G2762">
        <v>202005</v>
      </c>
      <c r="H2762" t="s">
        <v>75</v>
      </c>
      <c r="I2762" t="s">
        <v>76</v>
      </c>
      <c r="J2762" t="s">
        <v>77</v>
      </c>
      <c r="K2762" t="s">
        <v>78</v>
      </c>
      <c r="L2762" t="s">
        <v>101</v>
      </c>
      <c r="M2762" t="s">
        <v>102</v>
      </c>
      <c r="N2762" t="s">
        <v>1293</v>
      </c>
      <c r="O2762" t="s">
        <v>82</v>
      </c>
      <c r="P2762" t="str">
        <f>"2170715682                    "</f>
        <v xml:space="preserve">2170715682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15.02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3.2</v>
      </c>
      <c r="BJ2762">
        <v>2.5</v>
      </c>
      <c r="BK2762">
        <v>3.5</v>
      </c>
      <c r="BL2762" s="4">
        <v>88.27</v>
      </c>
      <c r="BM2762" s="4">
        <v>13.24</v>
      </c>
      <c r="BN2762" s="4">
        <v>101.51</v>
      </c>
      <c r="BO2762" s="4">
        <v>101.51</v>
      </c>
      <c r="BQ2762" t="s">
        <v>109</v>
      </c>
      <c r="BR2762" t="s">
        <v>84</v>
      </c>
      <c r="BS2762" s="3">
        <v>43794</v>
      </c>
      <c r="BT2762" s="5">
        <v>0.40277777777777773</v>
      </c>
      <c r="BU2762" t="s">
        <v>480</v>
      </c>
      <c r="BV2762" t="s">
        <v>86</v>
      </c>
      <c r="BY2762">
        <v>12553.8</v>
      </c>
      <c r="CA2762" t="s">
        <v>123</v>
      </c>
      <c r="CC2762" t="s">
        <v>102</v>
      </c>
      <c r="CD2762">
        <v>200</v>
      </c>
      <c r="CE2762" t="s">
        <v>88</v>
      </c>
      <c r="CF2762" s="3">
        <v>43795</v>
      </c>
      <c r="CI2762">
        <v>1</v>
      </c>
      <c r="CJ2762">
        <v>1</v>
      </c>
      <c r="CK2762">
        <v>21</v>
      </c>
      <c r="CL2762" t="s">
        <v>89</v>
      </c>
    </row>
    <row r="2763" spans="1:90">
      <c r="A2763" t="s">
        <v>72</v>
      </c>
      <c r="B2763" t="s">
        <v>73</v>
      </c>
      <c r="C2763" t="s">
        <v>74</v>
      </c>
      <c r="E2763" t="str">
        <f>"FES1162724485"</f>
        <v>FES1162724485</v>
      </c>
      <c r="F2763" s="3">
        <v>43791</v>
      </c>
      <c r="G2763">
        <v>202005</v>
      </c>
      <c r="H2763" t="s">
        <v>75</v>
      </c>
      <c r="I2763" t="s">
        <v>76</v>
      </c>
      <c r="J2763" t="s">
        <v>77</v>
      </c>
      <c r="K2763" t="s">
        <v>78</v>
      </c>
      <c r="L2763" t="s">
        <v>112</v>
      </c>
      <c r="M2763" t="s">
        <v>113</v>
      </c>
      <c r="N2763" t="s">
        <v>1083</v>
      </c>
      <c r="O2763" t="s">
        <v>82</v>
      </c>
      <c r="P2763" t="str">
        <f>"2170717654                    "</f>
        <v xml:space="preserve">2170717654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8.58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1.5</v>
      </c>
      <c r="BJ2763">
        <v>1</v>
      </c>
      <c r="BK2763">
        <v>1.5</v>
      </c>
      <c r="BL2763" s="4">
        <v>50.45</v>
      </c>
      <c r="BM2763" s="4">
        <v>7.57</v>
      </c>
      <c r="BN2763" s="4">
        <v>58.02</v>
      </c>
      <c r="BO2763" s="4">
        <v>58.02</v>
      </c>
      <c r="BQ2763" t="s">
        <v>121</v>
      </c>
      <c r="BR2763" t="s">
        <v>84</v>
      </c>
      <c r="BS2763" s="3">
        <v>43794</v>
      </c>
      <c r="BT2763" s="5">
        <v>0.31805555555555554</v>
      </c>
      <c r="BU2763" t="s">
        <v>2835</v>
      </c>
      <c r="BV2763" t="s">
        <v>86</v>
      </c>
      <c r="BY2763">
        <v>5059.82</v>
      </c>
      <c r="CA2763" t="s">
        <v>2212</v>
      </c>
      <c r="CC2763" t="s">
        <v>113</v>
      </c>
      <c r="CD2763">
        <v>4001</v>
      </c>
      <c r="CE2763" t="s">
        <v>88</v>
      </c>
      <c r="CF2763" s="3">
        <v>43795</v>
      </c>
      <c r="CI2763">
        <v>1</v>
      </c>
      <c r="CJ2763">
        <v>1</v>
      </c>
      <c r="CK2763">
        <v>21</v>
      </c>
      <c r="CL2763" t="s">
        <v>89</v>
      </c>
    </row>
    <row r="2764" spans="1:90">
      <c r="A2764" t="s">
        <v>72</v>
      </c>
      <c r="B2764" t="s">
        <v>73</v>
      </c>
      <c r="C2764" t="s">
        <v>74</v>
      </c>
      <c r="E2764" t="str">
        <f>"FES1162724540"</f>
        <v>FES1162724540</v>
      </c>
      <c r="F2764" s="3">
        <v>43791</v>
      </c>
      <c r="G2764">
        <v>202005</v>
      </c>
      <c r="H2764" t="s">
        <v>75</v>
      </c>
      <c r="I2764" t="s">
        <v>76</v>
      </c>
      <c r="J2764" t="s">
        <v>77</v>
      </c>
      <c r="K2764" t="s">
        <v>78</v>
      </c>
      <c r="L2764" t="s">
        <v>112</v>
      </c>
      <c r="M2764" t="s">
        <v>113</v>
      </c>
      <c r="N2764" t="s">
        <v>373</v>
      </c>
      <c r="O2764" t="s">
        <v>82</v>
      </c>
      <c r="P2764" t="str">
        <f>"2170718322                    "</f>
        <v xml:space="preserve">2170718322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21.45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3.6</v>
      </c>
      <c r="BJ2764">
        <v>5</v>
      </c>
      <c r="BK2764">
        <v>5</v>
      </c>
      <c r="BL2764" s="4">
        <v>126.08</v>
      </c>
      <c r="BM2764" s="4">
        <v>18.91</v>
      </c>
      <c r="BN2764" s="4">
        <v>144.99</v>
      </c>
      <c r="BO2764" s="4">
        <v>144.99</v>
      </c>
      <c r="BQ2764" t="s">
        <v>121</v>
      </c>
      <c r="BR2764" t="s">
        <v>84</v>
      </c>
      <c r="BS2764" s="3">
        <v>43794</v>
      </c>
      <c r="BT2764" s="5">
        <v>0.3576388888888889</v>
      </c>
      <c r="BU2764" t="s">
        <v>2836</v>
      </c>
      <c r="BV2764" t="s">
        <v>86</v>
      </c>
      <c r="BY2764">
        <v>24827.99</v>
      </c>
      <c r="CA2764" t="s">
        <v>255</v>
      </c>
      <c r="CC2764" t="s">
        <v>113</v>
      </c>
      <c r="CD2764">
        <v>4052</v>
      </c>
      <c r="CE2764" t="s">
        <v>88</v>
      </c>
      <c r="CF2764" s="3">
        <v>43795</v>
      </c>
      <c r="CI2764">
        <v>1</v>
      </c>
      <c r="CJ2764">
        <v>1</v>
      </c>
      <c r="CK2764">
        <v>21</v>
      </c>
      <c r="CL2764" t="s">
        <v>89</v>
      </c>
    </row>
    <row r="2765" spans="1:90">
      <c r="A2765" t="s">
        <v>72</v>
      </c>
      <c r="B2765" t="s">
        <v>73</v>
      </c>
      <c r="C2765" t="s">
        <v>74</v>
      </c>
      <c r="E2765" t="str">
        <f>"FES1162724582"</f>
        <v>FES1162724582</v>
      </c>
      <c r="F2765" s="3">
        <v>43791</v>
      </c>
      <c r="G2765">
        <v>202005</v>
      </c>
      <c r="H2765" t="s">
        <v>75</v>
      </c>
      <c r="I2765" t="s">
        <v>76</v>
      </c>
      <c r="J2765" t="s">
        <v>77</v>
      </c>
      <c r="K2765" t="s">
        <v>78</v>
      </c>
      <c r="L2765" t="s">
        <v>176</v>
      </c>
      <c r="M2765" t="s">
        <v>177</v>
      </c>
      <c r="N2765" t="s">
        <v>256</v>
      </c>
      <c r="O2765" t="s">
        <v>82</v>
      </c>
      <c r="P2765" t="str">
        <f>"2170718379                    "</f>
        <v xml:space="preserve">2170718379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8.58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 s="4">
        <v>50.45</v>
      </c>
      <c r="BM2765" s="4">
        <v>7.57</v>
      </c>
      <c r="BN2765" s="4">
        <v>58.02</v>
      </c>
      <c r="BO2765" s="4">
        <v>58.02</v>
      </c>
      <c r="BQ2765" t="s">
        <v>109</v>
      </c>
      <c r="BR2765" t="s">
        <v>84</v>
      </c>
      <c r="BS2765" s="3">
        <v>43794</v>
      </c>
      <c r="BT2765" s="5">
        <v>0.35625000000000001</v>
      </c>
      <c r="BU2765" t="s">
        <v>536</v>
      </c>
      <c r="BV2765" t="s">
        <v>86</v>
      </c>
      <c r="BY2765">
        <v>1200</v>
      </c>
      <c r="CA2765" t="s">
        <v>180</v>
      </c>
      <c r="CC2765" t="s">
        <v>177</v>
      </c>
      <c r="CD2765">
        <v>3610</v>
      </c>
      <c r="CE2765" t="s">
        <v>147</v>
      </c>
      <c r="CF2765" s="3">
        <v>43795</v>
      </c>
      <c r="CI2765">
        <v>1</v>
      </c>
      <c r="CJ2765">
        <v>1</v>
      </c>
      <c r="CK2765">
        <v>21</v>
      </c>
      <c r="CL2765" t="s">
        <v>89</v>
      </c>
    </row>
    <row r="2766" spans="1:90">
      <c r="A2766" t="s">
        <v>72</v>
      </c>
      <c r="B2766" t="s">
        <v>73</v>
      </c>
      <c r="C2766" t="s">
        <v>74</v>
      </c>
      <c r="E2766" t="str">
        <f>"FES1162724460"</f>
        <v>FES1162724460</v>
      </c>
      <c r="F2766" s="3">
        <v>43791</v>
      </c>
      <c r="G2766">
        <v>202005</v>
      </c>
      <c r="H2766" t="s">
        <v>75</v>
      </c>
      <c r="I2766" t="s">
        <v>76</v>
      </c>
      <c r="J2766" t="s">
        <v>77</v>
      </c>
      <c r="K2766" t="s">
        <v>78</v>
      </c>
      <c r="L2766" t="s">
        <v>90</v>
      </c>
      <c r="M2766" t="s">
        <v>91</v>
      </c>
      <c r="N2766" t="s">
        <v>401</v>
      </c>
      <c r="O2766" t="s">
        <v>82</v>
      </c>
      <c r="P2766" t="str">
        <f>"2170718217                    "</f>
        <v xml:space="preserve">2170718217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32.17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5.5</v>
      </c>
      <c r="BJ2766">
        <v>7.2</v>
      </c>
      <c r="BK2766">
        <v>7.5</v>
      </c>
      <c r="BL2766" s="4">
        <v>189.1</v>
      </c>
      <c r="BM2766" s="4">
        <v>28.37</v>
      </c>
      <c r="BN2766" s="4">
        <v>217.47</v>
      </c>
      <c r="BO2766" s="4">
        <v>217.47</v>
      </c>
      <c r="BQ2766" t="s">
        <v>109</v>
      </c>
      <c r="BR2766" t="s">
        <v>84</v>
      </c>
      <c r="BS2766" s="3">
        <v>43794</v>
      </c>
      <c r="BT2766" s="5">
        <v>0.31944444444444448</v>
      </c>
      <c r="BU2766" t="s">
        <v>402</v>
      </c>
      <c r="BV2766" t="s">
        <v>86</v>
      </c>
      <c r="BY2766">
        <v>35861.94</v>
      </c>
      <c r="CA2766" t="s">
        <v>221</v>
      </c>
      <c r="CC2766" t="s">
        <v>91</v>
      </c>
      <c r="CD2766">
        <v>7441</v>
      </c>
      <c r="CE2766" t="s">
        <v>88</v>
      </c>
      <c r="CF2766" s="3">
        <v>43795</v>
      </c>
      <c r="CI2766">
        <v>1</v>
      </c>
      <c r="CJ2766">
        <v>1</v>
      </c>
      <c r="CK2766">
        <v>21</v>
      </c>
      <c r="CL2766" t="s">
        <v>89</v>
      </c>
    </row>
    <row r="2767" spans="1:90">
      <c r="A2767" t="s">
        <v>72</v>
      </c>
      <c r="B2767" t="s">
        <v>73</v>
      </c>
      <c r="C2767" t="s">
        <v>74</v>
      </c>
      <c r="E2767" t="str">
        <f>"FES1162724217"</f>
        <v>FES1162724217</v>
      </c>
      <c r="F2767" s="3">
        <v>43791</v>
      </c>
      <c r="G2767">
        <v>202005</v>
      </c>
      <c r="H2767" t="s">
        <v>75</v>
      </c>
      <c r="I2767" t="s">
        <v>76</v>
      </c>
      <c r="J2767" t="s">
        <v>77</v>
      </c>
      <c r="K2767" t="s">
        <v>78</v>
      </c>
      <c r="L2767" t="s">
        <v>1048</v>
      </c>
      <c r="M2767" t="s">
        <v>1049</v>
      </c>
      <c r="N2767" t="s">
        <v>1050</v>
      </c>
      <c r="O2767" t="s">
        <v>82</v>
      </c>
      <c r="P2767" t="str">
        <f>"2170715544                    "</f>
        <v xml:space="preserve">2170715544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8.58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 s="4">
        <v>50.45</v>
      </c>
      <c r="BM2767" s="4">
        <v>7.57</v>
      </c>
      <c r="BN2767" s="4">
        <v>58.02</v>
      </c>
      <c r="BO2767" s="4">
        <v>58.02</v>
      </c>
      <c r="BR2767" t="s">
        <v>84</v>
      </c>
      <c r="BS2767" s="3">
        <v>43794</v>
      </c>
      <c r="BT2767" s="5">
        <v>0.34652777777777777</v>
      </c>
      <c r="BU2767" t="s">
        <v>2837</v>
      </c>
      <c r="BV2767" t="s">
        <v>86</v>
      </c>
      <c r="BY2767">
        <v>1200</v>
      </c>
      <c r="CA2767" t="s">
        <v>1052</v>
      </c>
      <c r="CC2767" t="s">
        <v>1049</v>
      </c>
      <c r="CD2767">
        <v>4120</v>
      </c>
      <c r="CE2767" t="s">
        <v>147</v>
      </c>
      <c r="CF2767" s="3">
        <v>43795</v>
      </c>
      <c r="CI2767">
        <v>1</v>
      </c>
      <c r="CJ2767">
        <v>1</v>
      </c>
      <c r="CK2767">
        <v>21</v>
      </c>
      <c r="CL2767" t="s">
        <v>89</v>
      </c>
    </row>
    <row r="2768" spans="1:90">
      <c r="A2768" t="s">
        <v>72</v>
      </c>
      <c r="B2768" t="s">
        <v>73</v>
      </c>
      <c r="C2768" t="s">
        <v>74</v>
      </c>
      <c r="E2768" t="str">
        <f>"FES1162724592"</f>
        <v>FES1162724592</v>
      </c>
      <c r="F2768" s="3">
        <v>43791</v>
      </c>
      <c r="G2768">
        <v>202005</v>
      </c>
      <c r="H2768" t="s">
        <v>75</v>
      </c>
      <c r="I2768" t="s">
        <v>76</v>
      </c>
      <c r="J2768" t="s">
        <v>77</v>
      </c>
      <c r="K2768" t="s">
        <v>78</v>
      </c>
      <c r="L2768" t="s">
        <v>176</v>
      </c>
      <c r="M2768" t="s">
        <v>177</v>
      </c>
      <c r="N2768" t="s">
        <v>178</v>
      </c>
      <c r="O2768" t="s">
        <v>82</v>
      </c>
      <c r="P2768" t="str">
        <f>"217071393                     "</f>
        <v xml:space="preserve">217071393 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8.58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 s="4">
        <v>50.45</v>
      </c>
      <c r="BM2768" s="4">
        <v>7.57</v>
      </c>
      <c r="BN2768" s="4">
        <v>58.02</v>
      </c>
      <c r="BO2768" s="4">
        <v>58.02</v>
      </c>
      <c r="BQ2768" t="s">
        <v>142</v>
      </c>
      <c r="BR2768" t="s">
        <v>84</v>
      </c>
      <c r="BS2768" s="3">
        <v>43794</v>
      </c>
      <c r="BT2768" s="5">
        <v>0.33333333333333331</v>
      </c>
      <c r="BU2768" t="s">
        <v>2537</v>
      </c>
      <c r="BV2768" t="s">
        <v>86</v>
      </c>
      <c r="BY2768">
        <v>1200</v>
      </c>
      <c r="CA2768" t="s">
        <v>180</v>
      </c>
      <c r="CC2768" t="s">
        <v>177</v>
      </c>
      <c r="CD2768">
        <v>3610</v>
      </c>
      <c r="CE2768" t="s">
        <v>147</v>
      </c>
      <c r="CF2768" s="3">
        <v>43795</v>
      </c>
      <c r="CI2768">
        <v>1</v>
      </c>
      <c r="CJ2768">
        <v>1</v>
      </c>
      <c r="CK2768">
        <v>21</v>
      </c>
      <c r="CL2768" t="s">
        <v>89</v>
      </c>
    </row>
    <row r="2769" spans="1:90">
      <c r="A2769" t="s">
        <v>72</v>
      </c>
      <c r="B2769" t="s">
        <v>73</v>
      </c>
      <c r="C2769" t="s">
        <v>74</v>
      </c>
      <c r="E2769" t="str">
        <f>"FES1162724560"</f>
        <v>FES1162724560</v>
      </c>
      <c r="F2769" s="3">
        <v>43791</v>
      </c>
      <c r="G2769">
        <v>202005</v>
      </c>
      <c r="H2769" t="s">
        <v>75</v>
      </c>
      <c r="I2769" t="s">
        <v>76</v>
      </c>
      <c r="J2769" t="s">
        <v>77</v>
      </c>
      <c r="K2769" t="s">
        <v>78</v>
      </c>
      <c r="L2769" t="s">
        <v>112</v>
      </c>
      <c r="M2769" t="s">
        <v>113</v>
      </c>
      <c r="N2769" t="s">
        <v>160</v>
      </c>
      <c r="O2769" t="s">
        <v>82</v>
      </c>
      <c r="P2769" t="str">
        <f>"2170718348                    "</f>
        <v xml:space="preserve">2170718348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8.58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 s="4">
        <v>50.45</v>
      </c>
      <c r="BM2769" s="4">
        <v>7.57</v>
      </c>
      <c r="BN2769" s="4">
        <v>58.02</v>
      </c>
      <c r="BO2769" s="4">
        <v>58.02</v>
      </c>
      <c r="BQ2769" t="s">
        <v>161</v>
      </c>
      <c r="BR2769" t="s">
        <v>84</v>
      </c>
      <c r="BS2769" s="3">
        <v>43794</v>
      </c>
      <c r="BT2769" s="5">
        <v>0.38819444444444445</v>
      </c>
      <c r="BU2769" t="s">
        <v>162</v>
      </c>
      <c r="BV2769" t="s">
        <v>86</v>
      </c>
      <c r="BY2769">
        <v>1200</v>
      </c>
      <c r="CA2769" t="s">
        <v>163</v>
      </c>
      <c r="CC2769" t="s">
        <v>113</v>
      </c>
      <c r="CD2769">
        <v>4000</v>
      </c>
      <c r="CE2769" t="s">
        <v>147</v>
      </c>
      <c r="CF2769" s="3">
        <v>43795</v>
      </c>
      <c r="CI2769">
        <v>1</v>
      </c>
      <c r="CJ2769">
        <v>1</v>
      </c>
      <c r="CK2769">
        <v>21</v>
      </c>
      <c r="CL2769" t="s">
        <v>89</v>
      </c>
    </row>
    <row r="2770" spans="1:90">
      <c r="A2770" t="s">
        <v>72</v>
      </c>
      <c r="B2770" t="s">
        <v>73</v>
      </c>
      <c r="C2770" t="s">
        <v>74</v>
      </c>
      <c r="E2770" t="str">
        <f>"FES1162724585"</f>
        <v>FES1162724585</v>
      </c>
      <c r="F2770" s="3">
        <v>43791</v>
      </c>
      <c r="G2770">
        <v>202005</v>
      </c>
      <c r="H2770" t="s">
        <v>75</v>
      </c>
      <c r="I2770" t="s">
        <v>76</v>
      </c>
      <c r="J2770" t="s">
        <v>77</v>
      </c>
      <c r="K2770" t="s">
        <v>78</v>
      </c>
      <c r="L2770" t="s">
        <v>251</v>
      </c>
      <c r="M2770" t="s">
        <v>252</v>
      </c>
      <c r="N2770" t="s">
        <v>330</v>
      </c>
      <c r="O2770" t="s">
        <v>82</v>
      </c>
      <c r="P2770" t="str">
        <f>"2170718086                    "</f>
        <v xml:space="preserve">2170718086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8.58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 s="4">
        <v>50.45</v>
      </c>
      <c r="BM2770" s="4">
        <v>7.57</v>
      </c>
      <c r="BN2770" s="4">
        <v>58.02</v>
      </c>
      <c r="BO2770" s="4">
        <v>58.02</v>
      </c>
      <c r="BQ2770" t="s">
        <v>109</v>
      </c>
      <c r="BR2770" t="s">
        <v>84</v>
      </c>
      <c r="BS2770" s="3">
        <v>43794</v>
      </c>
      <c r="BT2770" s="5">
        <v>0.40972222222222227</v>
      </c>
      <c r="BU2770" t="s">
        <v>1248</v>
      </c>
      <c r="BV2770" t="s">
        <v>86</v>
      </c>
      <c r="BY2770">
        <v>1200</v>
      </c>
      <c r="CA2770" t="s">
        <v>255</v>
      </c>
      <c r="CC2770" t="s">
        <v>252</v>
      </c>
      <c r="CD2770">
        <v>4133</v>
      </c>
      <c r="CE2770" t="s">
        <v>147</v>
      </c>
      <c r="CF2770" s="3">
        <v>43795</v>
      </c>
      <c r="CI2770">
        <v>1</v>
      </c>
      <c r="CJ2770">
        <v>1</v>
      </c>
      <c r="CK2770">
        <v>21</v>
      </c>
      <c r="CL2770" t="s">
        <v>89</v>
      </c>
    </row>
    <row r="2771" spans="1:90">
      <c r="A2771" t="s">
        <v>72</v>
      </c>
      <c r="B2771" t="s">
        <v>73</v>
      </c>
      <c r="C2771" t="s">
        <v>74</v>
      </c>
      <c r="E2771" t="str">
        <f>"FES1162724539"</f>
        <v>FES1162724539</v>
      </c>
      <c r="F2771" s="3">
        <v>43791</v>
      </c>
      <c r="G2771">
        <v>202005</v>
      </c>
      <c r="H2771" t="s">
        <v>75</v>
      </c>
      <c r="I2771" t="s">
        <v>76</v>
      </c>
      <c r="J2771" t="s">
        <v>77</v>
      </c>
      <c r="K2771" t="s">
        <v>78</v>
      </c>
      <c r="L2771" t="s">
        <v>176</v>
      </c>
      <c r="M2771" t="s">
        <v>177</v>
      </c>
      <c r="N2771" t="s">
        <v>178</v>
      </c>
      <c r="O2771" t="s">
        <v>82</v>
      </c>
      <c r="P2771" t="str">
        <f>"2170718321                    "</f>
        <v xml:space="preserve">2170718321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12.87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2.6</v>
      </c>
      <c r="BJ2771">
        <v>0.9</v>
      </c>
      <c r="BK2771">
        <v>3</v>
      </c>
      <c r="BL2771" s="4">
        <v>75.66</v>
      </c>
      <c r="BM2771" s="4">
        <v>11.35</v>
      </c>
      <c r="BN2771" s="4">
        <v>87.01</v>
      </c>
      <c r="BO2771" s="4">
        <v>87.01</v>
      </c>
      <c r="BQ2771" t="s">
        <v>142</v>
      </c>
      <c r="BR2771" t="s">
        <v>84</v>
      </c>
      <c r="BS2771" s="3">
        <v>43794</v>
      </c>
      <c r="BT2771" s="5">
        <v>0.33333333333333331</v>
      </c>
      <c r="BU2771" t="s">
        <v>2537</v>
      </c>
      <c r="BV2771" t="s">
        <v>86</v>
      </c>
      <c r="BY2771">
        <v>4636.79</v>
      </c>
      <c r="CA2771" t="s">
        <v>180</v>
      </c>
      <c r="CC2771" t="s">
        <v>177</v>
      </c>
      <c r="CD2771">
        <v>3610</v>
      </c>
      <c r="CE2771" t="s">
        <v>88</v>
      </c>
      <c r="CF2771" s="3">
        <v>43795</v>
      </c>
      <c r="CI2771">
        <v>1</v>
      </c>
      <c r="CJ2771">
        <v>1</v>
      </c>
      <c r="CK2771">
        <v>21</v>
      </c>
      <c r="CL2771" t="s">
        <v>89</v>
      </c>
    </row>
    <row r="2772" spans="1:90">
      <c r="A2772" t="s">
        <v>72</v>
      </c>
      <c r="B2772" t="s">
        <v>73</v>
      </c>
      <c r="C2772" t="s">
        <v>74</v>
      </c>
      <c r="E2772" t="str">
        <f>"FES1162724544"</f>
        <v>FES1162724544</v>
      </c>
      <c r="F2772" s="3">
        <v>43791</v>
      </c>
      <c r="G2772">
        <v>202005</v>
      </c>
      <c r="H2772" t="s">
        <v>75</v>
      </c>
      <c r="I2772" t="s">
        <v>76</v>
      </c>
      <c r="J2772" t="s">
        <v>77</v>
      </c>
      <c r="K2772" t="s">
        <v>78</v>
      </c>
      <c r="L2772" t="s">
        <v>112</v>
      </c>
      <c r="M2772" t="s">
        <v>113</v>
      </c>
      <c r="N2772" t="s">
        <v>1382</v>
      </c>
      <c r="O2772" t="s">
        <v>82</v>
      </c>
      <c r="P2772" t="str">
        <f>"2170718327                    "</f>
        <v xml:space="preserve">2170718327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8.58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 s="4">
        <v>50.45</v>
      </c>
      <c r="BM2772" s="4">
        <v>7.57</v>
      </c>
      <c r="BN2772" s="4">
        <v>58.02</v>
      </c>
      <c r="BO2772" s="4">
        <v>58.02</v>
      </c>
      <c r="BQ2772" t="s">
        <v>121</v>
      </c>
      <c r="BR2772" t="s">
        <v>84</v>
      </c>
      <c r="BS2772" s="3">
        <v>43794</v>
      </c>
      <c r="BT2772" s="5">
        <v>0.61319444444444449</v>
      </c>
      <c r="BU2772" t="s">
        <v>1383</v>
      </c>
      <c r="BV2772" t="s">
        <v>89</v>
      </c>
      <c r="BW2772" t="s">
        <v>144</v>
      </c>
      <c r="BX2772" t="s">
        <v>145</v>
      </c>
      <c r="BY2772">
        <v>1200</v>
      </c>
      <c r="CA2772" t="s">
        <v>2212</v>
      </c>
      <c r="CC2772" t="s">
        <v>113</v>
      </c>
      <c r="CD2772">
        <v>4001</v>
      </c>
      <c r="CE2772" t="s">
        <v>147</v>
      </c>
      <c r="CF2772" s="3">
        <v>43795</v>
      </c>
      <c r="CI2772">
        <v>1</v>
      </c>
      <c r="CJ2772">
        <v>1</v>
      </c>
      <c r="CK2772">
        <v>21</v>
      </c>
      <c r="CL2772" t="s">
        <v>89</v>
      </c>
    </row>
    <row r="2773" spans="1:90">
      <c r="A2773" t="s">
        <v>72</v>
      </c>
      <c r="B2773" t="s">
        <v>73</v>
      </c>
      <c r="C2773" t="s">
        <v>74</v>
      </c>
      <c r="E2773" t="str">
        <f>"FES1162724562"</f>
        <v>FES1162724562</v>
      </c>
      <c r="F2773" s="3">
        <v>43791</v>
      </c>
      <c r="G2773">
        <v>202005</v>
      </c>
      <c r="H2773" t="s">
        <v>75</v>
      </c>
      <c r="I2773" t="s">
        <v>76</v>
      </c>
      <c r="J2773" t="s">
        <v>77</v>
      </c>
      <c r="K2773" t="s">
        <v>78</v>
      </c>
      <c r="L2773" t="s">
        <v>118</v>
      </c>
      <c r="M2773" t="s">
        <v>119</v>
      </c>
      <c r="N2773" t="s">
        <v>775</v>
      </c>
      <c r="O2773" t="s">
        <v>82</v>
      </c>
      <c r="P2773" t="str">
        <f>"2170718350                    "</f>
        <v xml:space="preserve">2170718350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8.58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 s="4">
        <v>50.45</v>
      </c>
      <c r="BM2773" s="4">
        <v>7.57</v>
      </c>
      <c r="BN2773" s="4">
        <v>58.02</v>
      </c>
      <c r="BO2773" s="4">
        <v>58.02</v>
      </c>
      <c r="BQ2773" t="s">
        <v>142</v>
      </c>
      <c r="BR2773" t="s">
        <v>84</v>
      </c>
      <c r="BS2773" s="3">
        <v>43794</v>
      </c>
      <c r="BT2773" s="5">
        <v>0.42986111111111108</v>
      </c>
      <c r="BU2773" t="s">
        <v>2838</v>
      </c>
      <c r="BV2773" t="s">
        <v>86</v>
      </c>
      <c r="BY2773">
        <v>1200</v>
      </c>
      <c r="CA2773" t="s">
        <v>171</v>
      </c>
      <c r="CC2773" t="s">
        <v>119</v>
      </c>
      <c r="CD2773">
        <v>3201</v>
      </c>
      <c r="CE2773" t="s">
        <v>147</v>
      </c>
      <c r="CF2773" s="3">
        <v>43796</v>
      </c>
      <c r="CI2773">
        <v>1</v>
      </c>
      <c r="CJ2773">
        <v>1</v>
      </c>
      <c r="CK2773">
        <v>21</v>
      </c>
      <c r="CL2773" t="s">
        <v>89</v>
      </c>
    </row>
    <row r="2774" spans="1:90">
      <c r="A2774" t="s">
        <v>72</v>
      </c>
      <c r="B2774" t="s">
        <v>73</v>
      </c>
      <c r="C2774" t="s">
        <v>74</v>
      </c>
      <c r="E2774" t="str">
        <f>"FES1162724589"</f>
        <v>FES1162724589</v>
      </c>
      <c r="F2774" s="3">
        <v>43791</v>
      </c>
      <c r="G2774">
        <v>202005</v>
      </c>
      <c r="H2774" t="s">
        <v>75</v>
      </c>
      <c r="I2774" t="s">
        <v>76</v>
      </c>
      <c r="J2774" t="s">
        <v>77</v>
      </c>
      <c r="K2774" t="s">
        <v>78</v>
      </c>
      <c r="L2774" t="s">
        <v>202</v>
      </c>
      <c r="M2774" t="s">
        <v>203</v>
      </c>
      <c r="N2774" t="s">
        <v>2839</v>
      </c>
      <c r="O2774" t="s">
        <v>82</v>
      </c>
      <c r="P2774" t="str">
        <f>"2170718390                    "</f>
        <v xml:space="preserve">2170718390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9.1199999999999992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3.5</v>
      </c>
      <c r="BJ2774">
        <v>1.6</v>
      </c>
      <c r="BK2774">
        <v>3.5</v>
      </c>
      <c r="BL2774" s="4">
        <v>53.59</v>
      </c>
      <c r="BM2774" s="4">
        <v>8.0399999999999991</v>
      </c>
      <c r="BN2774" s="4">
        <v>61.63</v>
      </c>
      <c r="BO2774" s="4">
        <v>61.63</v>
      </c>
      <c r="BQ2774" t="s">
        <v>121</v>
      </c>
      <c r="BR2774" t="s">
        <v>84</v>
      </c>
      <c r="BS2774" s="3">
        <v>43794</v>
      </c>
      <c r="BT2774" s="5">
        <v>0.43402777777777773</v>
      </c>
      <c r="BU2774" t="s">
        <v>2840</v>
      </c>
      <c r="BV2774" t="s">
        <v>86</v>
      </c>
      <c r="BY2774">
        <v>7914.94</v>
      </c>
      <c r="CA2774" t="s">
        <v>1181</v>
      </c>
      <c r="CC2774" t="s">
        <v>203</v>
      </c>
      <c r="CD2774">
        <v>1401</v>
      </c>
      <c r="CE2774" t="s">
        <v>88</v>
      </c>
      <c r="CF2774" s="3">
        <v>43795</v>
      </c>
      <c r="CI2774">
        <v>1</v>
      </c>
      <c r="CJ2774">
        <v>1</v>
      </c>
      <c r="CK2774">
        <v>22</v>
      </c>
      <c r="CL2774" t="s">
        <v>89</v>
      </c>
    </row>
    <row r="2775" spans="1:90">
      <c r="A2775" t="s">
        <v>72</v>
      </c>
      <c r="B2775" t="s">
        <v>73</v>
      </c>
      <c r="C2775" t="s">
        <v>74</v>
      </c>
      <c r="E2775" t="str">
        <f>"FES1162724631"</f>
        <v>FES1162724631</v>
      </c>
      <c r="F2775" s="3">
        <v>43791</v>
      </c>
      <c r="G2775">
        <v>202005</v>
      </c>
      <c r="H2775" t="s">
        <v>75</v>
      </c>
      <c r="I2775" t="s">
        <v>76</v>
      </c>
      <c r="J2775" t="s">
        <v>77</v>
      </c>
      <c r="K2775" t="s">
        <v>78</v>
      </c>
      <c r="L2775" t="s">
        <v>124</v>
      </c>
      <c r="M2775" t="s">
        <v>125</v>
      </c>
      <c r="N2775" t="s">
        <v>2821</v>
      </c>
      <c r="O2775" t="s">
        <v>82</v>
      </c>
      <c r="P2775" t="str">
        <f>"2170718387                    "</f>
        <v xml:space="preserve">2170718387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6.71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0.2</v>
      </c>
      <c r="BJ2775">
        <v>0.6</v>
      </c>
      <c r="BK2775">
        <v>1</v>
      </c>
      <c r="BL2775" s="4">
        <v>39.42</v>
      </c>
      <c r="BM2775" s="4">
        <v>5.91</v>
      </c>
      <c r="BN2775" s="4">
        <v>45.33</v>
      </c>
      <c r="BO2775" s="4">
        <v>45.33</v>
      </c>
      <c r="BQ2775" t="s">
        <v>121</v>
      </c>
      <c r="BR2775" t="s">
        <v>84</v>
      </c>
      <c r="BS2775" s="3">
        <v>43794</v>
      </c>
      <c r="BT2775" s="5">
        <v>0.32708333333333334</v>
      </c>
      <c r="BU2775" t="s">
        <v>2841</v>
      </c>
      <c r="BV2775" t="s">
        <v>86</v>
      </c>
      <c r="BY2775">
        <v>2952.89</v>
      </c>
      <c r="CA2775" t="s">
        <v>1097</v>
      </c>
      <c r="CC2775" t="s">
        <v>125</v>
      </c>
      <c r="CD2775">
        <v>2042</v>
      </c>
      <c r="CE2775" t="s">
        <v>88</v>
      </c>
      <c r="CF2775" s="3">
        <v>43795</v>
      </c>
      <c r="CI2775">
        <v>1</v>
      </c>
      <c r="CJ2775">
        <v>1</v>
      </c>
      <c r="CK2775">
        <v>22</v>
      </c>
      <c r="CL2775" t="s">
        <v>89</v>
      </c>
    </row>
    <row r="2776" spans="1:90">
      <c r="A2776" t="s">
        <v>72</v>
      </c>
      <c r="B2776" t="s">
        <v>73</v>
      </c>
      <c r="C2776" t="s">
        <v>74</v>
      </c>
      <c r="E2776" t="str">
        <f>"FES1162724641"</f>
        <v>FES1162724641</v>
      </c>
      <c r="F2776" s="3">
        <v>43791</v>
      </c>
      <c r="G2776">
        <v>202005</v>
      </c>
      <c r="H2776" t="s">
        <v>75</v>
      </c>
      <c r="I2776" t="s">
        <v>76</v>
      </c>
      <c r="J2776" t="s">
        <v>77</v>
      </c>
      <c r="K2776" t="s">
        <v>78</v>
      </c>
      <c r="L2776" t="s">
        <v>124</v>
      </c>
      <c r="M2776" t="s">
        <v>125</v>
      </c>
      <c r="N2776" t="s">
        <v>2842</v>
      </c>
      <c r="O2776" t="s">
        <v>82</v>
      </c>
      <c r="P2776" t="str">
        <f>"2170718351                    "</f>
        <v xml:space="preserve">2170718351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6.71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1.2</v>
      </c>
      <c r="BJ2776">
        <v>0.7</v>
      </c>
      <c r="BK2776">
        <v>1.5</v>
      </c>
      <c r="BL2776" s="4">
        <v>39.42</v>
      </c>
      <c r="BM2776" s="4">
        <v>5.91</v>
      </c>
      <c r="BN2776" s="4">
        <v>45.33</v>
      </c>
      <c r="BO2776" s="4">
        <v>45.33</v>
      </c>
      <c r="BQ2776" t="s">
        <v>121</v>
      </c>
      <c r="BR2776" t="s">
        <v>84</v>
      </c>
      <c r="BS2776" s="3">
        <v>43794</v>
      </c>
      <c r="BT2776" s="5">
        <v>0.4375</v>
      </c>
      <c r="BU2776" t="s">
        <v>2843</v>
      </c>
      <c r="BV2776" t="s">
        <v>86</v>
      </c>
      <c r="BY2776">
        <v>3344.98</v>
      </c>
      <c r="CC2776" t="s">
        <v>125</v>
      </c>
      <c r="CD2776">
        <v>2040</v>
      </c>
      <c r="CE2776" t="s">
        <v>88</v>
      </c>
      <c r="CF2776" s="3">
        <v>43795</v>
      </c>
      <c r="CI2776">
        <v>1</v>
      </c>
      <c r="CJ2776">
        <v>1</v>
      </c>
      <c r="CK2776">
        <v>22</v>
      </c>
      <c r="CL2776" t="s">
        <v>89</v>
      </c>
    </row>
    <row r="2777" spans="1:90">
      <c r="A2777" t="s">
        <v>72</v>
      </c>
      <c r="B2777" t="s">
        <v>73</v>
      </c>
      <c r="C2777" t="s">
        <v>74</v>
      </c>
      <c r="E2777" t="str">
        <f>"FES1162724568"</f>
        <v>FES1162724568</v>
      </c>
      <c r="F2777" s="3">
        <v>43791</v>
      </c>
      <c r="G2777">
        <v>202005</v>
      </c>
      <c r="H2777" t="s">
        <v>75</v>
      </c>
      <c r="I2777" t="s">
        <v>76</v>
      </c>
      <c r="J2777" t="s">
        <v>77</v>
      </c>
      <c r="K2777" t="s">
        <v>78</v>
      </c>
      <c r="L2777" t="s">
        <v>251</v>
      </c>
      <c r="M2777" t="s">
        <v>252</v>
      </c>
      <c r="N2777" t="s">
        <v>1070</v>
      </c>
      <c r="O2777" t="s">
        <v>82</v>
      </c>
      <c r="P2777" t="str">
        <f>"2170718358                    "</f>
        <v xml:space="preserve">2170718358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17.16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2.2999999999999998</v>
      </c>
      <c r="BJ2777">
        <v>3.7</v>
      </c>
      <c r="BK2777">
        <v>4</v>
      </c>
      <c r="BL2777" s="4">
        <v>100.87</v>
      </c>
      <c r="BM2777" s="4">
        <v>15.13</v>
      </c>
      <c r="BN2777" s="4">
        <v>116</v>
      </c>
      <c r="BO2777" s="4">
        <v>116</v>
      </c>
      <c r="BQ2777" t="s">
        <v>142</v>
      </c>
      <c r="BR2777" t="s">
        <v>84</v>
      </c>
      <c r="BS2777" s="3">
        <v>43794</v>
      </c>
      <c r="BT2777" s="5">
        <v>0.40416666666666662</v>
      </c>
      <c r="BU2777" t="s">
        <v>2844</v>
      </c>
      <c r="BV2777" t="s">
        <v>86</v>
      </c>
      <c r="BY2777">
        <v>18293.099999999999</v>
      </c>
      <c r="CA2777" t="s">
        <v>255</v>
      </c>
      <c r="CC2777" t="s">
        <v>252</v>
      </c>
      <c r="CD2777">
        <v>4133</v>
      </c>
      <c r="CE2777" t="s">
        <v>88</v>
      </c>
      <c r="CF2777" s="3">
        <v>43795</v>
      </c>
      <c r="CI2777">
        <v>1</v>
      </c>
      <c r="CJ2777">
        <v>1</v>
      </c>
      <c r="CK2777">
        <v>21</v>
      </c>
      <c r="CL2777" t="s">
        <v>89</v>
      </c>
    </row>
    <row r="2778" spans="1:90">
      <c r="A2778" t="s">
        <v>72</v>
      </c>
      <c r="B2778" t="s">
        <v>73</v>
      </c>
      <c r="C2778" t="s">
        <v>74</v>
      </c>
      <c r="E2778" t="str">
        <f>"FES1162724241"</f>
        <v>FES1162724241</v>
      </c>
      <c r="F2778" s="3">
        <v>43791</v>
      </c>
      <c r="G2778">
        <v>202005</v>
      </c>
      <c r="H2778" t="s">
        <v>75</v>
      </c>
      <c r="I2778" t="s">
        <v>76</v>
      </c>
      <c r="J2778" t="s">
        <v>77</v>
      </c>
      <c r="K2778" t="s">
        <v>78</v>
      </c>
      <c r="L2778" t="s">
        <v>101</v>
      </c>
      <c r="M2778" t="s">
        <v>102</v>
      </c>
      <c r="N2778" t="s">
        <v>707</v>
      </c>
      <c r="O2778" t="s">
        <v>82</v>
      </c>
      <c r="P2778" t="str">
        <f>"2170715927                    "</f>
        <v xml:space="preserve">2170715927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12.87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2.8</v>
      </c>
      <c r="BJ2778">
        <v>1.6</v>
      </c>
      <c r="BK2778">
        <v>3</v>
      </c>
      <c r="BL2778" s="4">
        <v>75.66</v>
      </c>
      <c r="BM2778" s="4">
        <v>11.35</v>
      </c>
      <c r="BN2778" s="4">
        <v>87.01</v>
      </c>
      <c r="BO2778" s="4">
        <v>87.01</v>
      </c>
      <c r="BQ2778" t="s">
        <v>121</v>
      </c>
      <c r="BR2778" t="s">
        <v>84</v>
      </c>
      <c r="BS2778" s="3">
        <v>43794</v>
      </c>
      <c r="BT2778" s="5">
        <v>0.32916666666666666</v>
      </c>
      <c r="BU2778" t="s">
        <v>708</v>
      </c>
      <c r="BV2778" t="s">
        <v>86</v>
      </c>
      <c r="BY2778">
        <v>8219.42</v>
      </c>
      <c r="CA2778" t="s">
        <v>709</v>
      </c>
      <c r="CC2778" t="s">
        <v>102</v>
      </c>
      <c r="CD2778">
        <v>1</v>
      </c>
      <c r="CE2778" t="s">
        <v>88</v>
      </c>
      <c r="CF2778" s="3">
        <v>43795</v>
      </c>
      <c r="CI2778">
        <v>1</v>
      </c>
      <c r="CJ2778">
        <v>1</v>
      </c>
      <c r="CK2778">
        <v>21</v>
      </c>
      <c r="CL2778" t="s">
        <v>89</v>
      </c>
    </row>
    <row r="2779" spans="1:90">
      <c r="A2779" t="s">
        <v>72</v>
      </c>
      <c r="B2779" t="s">
        <v>73</v>
      </c>
      <c r="C2779" t="s">
        <v>74</v>
      </c>
      <c r="E2779" t="str">
        <f>"FES2170718329"</f>
        <v>FES2170718329</v>
      </c>
      <c r="F2779" s="3">
        <v>43791</v>
      </c>
      <c r="G2779">
        <v>202005</v>
      </c>
      <c r="H2779" t="s">
        <v>75</v>
      </c>
      <c r="I2779" t="s">
        <v>76</v>
      </c>
      <c r="J2779" t="s">
        <v>77</v>
      </c>
      <c r="K2779" t="s">
        <v>78</v>
      </c>
      <c r="L2779" t="s">
        <v>90</v>
      </c>
      <c r="M2779" t="s">
        <v>91</v>
      </c>
      <c r="N2779" t="s">
        <v>2775</v>
      </c>
      <c r="O2779" t="s">
        <v>82</v>
      </c>
      <c r="P2779" t="str">
        <f>"2170718329                    "</f>
        <v xml:space="preserve">2170718329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8.58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1.1000000000000001</v>
      </c>
      <c r="BJ2779">
        <v>0.6</v>
      </c>
      <c r="BK2779">
        <v>1.5</v>
      </c>
      <c r="BL2779" s="4">
        <v>50.45</v>
      </c>
      <c r="BM2779" s="4">
        <v>7.57</v>
      </c>
      <c r="BN2779" s="4">
        <v>58.02</v>
      </c>
      <c r="BO2779" s="4">
        <v>58.02</v>
      </c>
      <c r="BQ2779" t="s">
        <v>109</v>
      </c>
      <c r="BR2779" t="s">
        <v>84</v>
      </c>
      <c r="BS2779" s="3">
        <v>43794</v>
      </c>
      <c r="BT2779" s="5">
        <v>0.37638888888888888</v>
      </c>
      <c r="BU2779" t="s">
        <v>2776</v>
      </c>
      <c r="BV2779" t="s">
        <v>86</v>
      </c>
      <c r="BY2779">
        <v>2833.9</v>
      </c>
      <c r="CA2779" t="s">
        <v>2777</v>
      </c>
      <c r="CC2779" t="s">
        <v>91</v>
      </c>
      <c r="CD2779">
        <v>7550</v>
      </c>
      <c r="CE2779" t="s">
        <v>88</v>
      </c>
      <c r="CI2779">
        <v>1</v>
      </c>
      <c r="CJ2779">
        <v>1</v>
      </c>
      <c r="CK2779">
        <v>21</v>
      </c>
      <c r="CL2779" t="s">
        <v>89</v>
      </c>
    </row>
    <row r="2780" spans="1:90">
      <c r="A2780" t="s">
        <v>72</v>
      </c>
      <c r="B2780" t="s">
        <v>73</v>
      </c>
      <c r="C2780" t="s">
        <v>74</v>
      </c>
      <c r="E2780" t="str">
        <f>"FES1162724545"</f>
        <v>FES1162724545</v>
      </c>
      <c r="F2780" s="3">
        <v>43791</v>
      </c>
      <c r="G2780">
        <v>202005</v>
      </c>
      <c r="H2780" t="s">
        <v>75</v>
      </c>
      <c r="I2780" t="s">
        <v>76</v>
      </c>
      <c r="J2780" t="s">
        <v>77</v>
      </c>
      <c r="K2780" t="s">
        <v>78</v>
      </c>
      <c r="L2780" t="s">
        <v>90</v>
      </c>
      <c r="M2780" t="s">
        <v>91</v>
      </c>
      <c r="N2780" t="s">
        <v>2775</v>
      </c>
      <c r="O2780" t="s">
        <v>82</v>
      </c>
      <c r="P2780" t="str">
        <f>"2170718328                    "</f>
        <v xml:space="preserve">2170718328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10.73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2.1</v>
      </c>
      <c r="BJ2780">
        <v>1.7</v>
      </c>
      <c r="BK2780">
        <v>2.5</v>
      </c>
      <c r="BL2780" s="4">
        <v>63.06</v>
      </c>
      <c r="BM2780" s="4">
        <v>9.4600000000000009</v>
      </c>
      <c r="BN2780" s="4">
        <v>72.52</v>
      </c>
      <c r="BO2780" s="4">
        <v>72.52</v>
      </c>
      <c r="BQ2780" t="s">
        <v>109</v>
      </c>
      <c r="BR2780" t="s">
        <v>84</v>
      </c>
      <c r="BS2780" s="3">
        <v>43794</v>
      </c>
      <c r="BT2780" s="5">
        <v>0.37638888888888888</v>
      </c>
      <c r="BU2780" t="s">
        <v>2776</v>
      </c>
      <c r="BV2780" t="s">
        <v>86</v>
      </c>
      <c r="BY2780">
        <v>8377.52</v>
      </c>
      <c r="CA2780" t="s">
        <v>2777</v>
      </c>
      <c r="CC2780" t="s">
        <v>91</v>
      </c>
      <c r="CD2780">
        <v>7550</v>
      </c>
      <c r="CE2780" t="s">
        <v>88</v>
      </c>
      <c r="CF2780" s="3">
        <v>43795</v>
      </c>
      <c r="CI2780">
        <v>1</v>
      </c>
      <c r="CJ2780">
        <v>1</v>
      </c>
      <c r="CK2780">
        <v>21</v>
      </c>
      <c r="CL2780" t="s">
        <v>89</v>
      </c>
    </row>
    <row r="2781" spans="1:90">
      <c r="A2781" t="s">
        <v>72</v>
      </c>
      <c r="B2781" t="s">
        <v>73</v>
      </c>
      <c r="C2781" t="s">
        <v>74</v>
      </c>
      <c r="E2781" t="str">
        <f>"FES1162724541"</f>
        <v>FES1162724541</v>
      </c>
      <c r="F2781" s="3">
        <v>43791</v>
      </c>
      <c r="G2781">
        <v>202005</v>
      </c>
      <c r="H2781" t="s">
        <v>75</v>
      </c>
      <c r="I2781" t="s">
        <v>76</v>
      </c>
      <c r="J2781" t="s">
        <v>77</v>
      </c>
      <c r="K2781" t="s">
        <v>78</v>
      </c>
      <c r="L2781" t="s">
        <v>90</v>
      </c>
      <c r="M2781" t="s">
        <v>91</v>
      </c>
      <c r="N2781" t="s">
        <v>2775</v>
      </c>
      <c r="O2781" t="s">
        <v>82</v>
      </c>
      <c r="P2781" t="str">
        <f>"2170718323                    "</f>
        <v xml:space="preserve">2170718323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8.58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1.1000000000000001</v>
      </c>
      <c r="BJ2781">
        <v>0.7</v>
      </c>
      <c r="BK2781">
        <v>1.5</v>
      </c>
      <c r="BL2781" s="4">
        <v>50.45</v>
      </c>
      <c r="BM2781" s="4">
        <v>7.57</v>
      </c>
      <c r="BN2781" s="4">
        <v>58.02</v>
      </c>
      <c r="BO2781" s="4">
        <v>58.02</v>
      </c>
      <c r="BQ2781" t="s">
        <v>109</v>
      </c>
      <c r="BR2781" t="s">
        <v>84</v>
      </c>
      <c r="BS2781" s="3">
        <v>43794</v>
      </c>
      <c r="BT2781" s="5">
        <v>0.37638888888888888</v>
      </c>
      <c r="BU2781" t="s">
        <v>2776</v>
      </c>
      <c r="BV2781" t="s">
        <v>86</v>
      </c>
      <c r="BY2781">
        <v>3350.16</v>
      </c>
      <c r="CA2781" t="s">
        <v>2777</v>
      </c>
      <c r="CC2781" t="s">
        <v>91</v>
      </c>
      <c r="CD2781">
        <v>7550</v>
      </c>
      <c r="CE2781" t="s">
        <v>88</v>
      </c>
      <c r="CF2781" s="3">
        <v>43795</v>
      </c>
      <c r="CI2781">
        <v>1</v>
      </c>
      <c r="CJ2781">
        <v>1</v>
      </c>
      <c r="CK2781">
        <v>21</v>
      </c>
      <c r="CL2781" t="s">
        <v>89</v>
      </c>
    </row>
    <row r="2782" spans="1:90">
      <c r="A2782" t="s">
        <v>72</v>
      </c>
      <c r="B2782" t="s">
        <v>73</v>
      </c>
      <c r="C2782" t="s">
        <v>74</v>
      </c>
      <c r="E2782" t="str">
        <f>"FES1162724609"</f>
        <v>FES1162724609</v>
      </c>
      <c r="F2782" s="3">
        <v>43791</v>
      </c>
      <c r="G2782">
        <v>202005</v>
      </c>
      <c r="H2782" t="s">
        <v>75</v>
      </c>
      <c r="I2782" t="s">
        <v>76</v>
      </c>
      <c r="J2782" t="s">
        <v>77</v>
      </c>
      <c r="K2782" t="s">
        <v>78</v>
      </c>
      <c r="L2782" t="s">
        <v>304</v>
      </c>
      <c r="M2782" t="s">
        <v>305</v>
      </c>
      <c r="N2782" t="s">
        <v>306</v>
      </c>
      <c r="O2782" t="s">
        <v>82</v>
      </c>
      <c r="P2782" t="str">
        <f>"2170715940                    "</f>
        <v xml:space="preserve">2170715940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16.63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 s="4">
        <v>97.75</v>
      </c>
      <c r="BM2782" s="4">
        <v>14.66</v>
      </c>
      <c r="BN2782" s="4">
        <v>112.41</v>
      </c>
      <c r="BO2782" s="4">
        <v>112.41</v>
      </c>
      <c r="BQ2782" t="s">
        <v>121</v>
      </c>
      <c r="BR2782" t="s">
        <v>84</v>
      </c>
      <c r="BS2782" s="3">
        <v>43794</v>
      </c>
      <c r="BT2782" s="5">
        <v>0.68263888888888891</v>
      </c>
      <c r="BU2782" t="s">
        <v>2845</v>
      </c>
      <c r="BV2782" t="s">
        <v>86</v>
      </c>
      <c r="BY2782">
        <v>1200</v>
      </c>
      <c r="CC2782" t="s">
        <v>305</v>
      </c>
      <c r="CD2782">
        <v>5605</v>
      </c>
      <c r="CE2782" t="s">
        <v>147</v>
      </c>
      <c r="CF2782" s="3">
        <v>43796</v>
      </c>
      <c r="CI2782">
        <v>4</v>
      </c>
      <c r="CJ2782">
        <v>1</v>
      </c>
      <c r="CK2782">
        <v>23</v>
      </c>
      <c r="CL2782" t="s">
        <v>89</v>
      </c>
    </row>
    <row r="2783" spans="1:90">
      <c r="A2783" t="s">
        <v>72</v>
      </c>
      <c r="B2783" t="s">
        <v>73</v>
      </c>
      <c r="C2783" t="s">
        <v>74</v>
      </c>
      <c r="E2783" t="str">
        <f>"FES1162724686"</f>
        <v>FES1162724686</v>
      </c>
      <c r="F2783" s="3">
        <v>43791</v>
      </c>
      <c r="G2783">
        <v>202005</v>
      </c>
      <c r="H2783" t="s">
        <v>75</v>
      </c>
      <c r="I2783" t="s">
        <v>76</v>
      </c>
      <c r="J2783" t="s">
        <v>77</v>
      </c>
      <c r="K2783" t="s">
        <v>78</v>
      </c>
      <c r="L2783" t="s">
        <v>101</v>
      </c>
      <c r="M2783" t="s">
        <v>102</v>
      </c>
      <c r="N2783" t="s">
        <v>2846</v>
      </c>
      <c r="O2783" t="s">
        <v>82</v>
      </c>
      <c r="P2783" t="str">
        <f>"2170718468                    "</f>
        <v xml:space="preserve">2170718468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8.58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 s="4">
        <v>50.45</v>
      </c>
      <c r="BM2783" s="4">
        <v>7.57</v>
      </c>
      <c r="BN2783" s="4">
        <v>58.02</v>
      </c>
      <c r="BO2783" s="4">
        <v>58.02</v>
      </c>
      <c r="BQ2783" t="s">
        <v>2847</v>
      </c>
      <c r="BR2783" t="s">
        <v>84</v>
      </c>
      <c r="BS2783" s="3">
        <v>43794</v>
      </c>
      <c r="BT2783" s="5">
        <v>0.37152777777777773</v>
      </c>
      <c r="BU2783" t="s">
        <v>2848</v>
      </c>
      <c r="BV2783" t="s">
        <v>86</v>
      </c>
      <c r="BY2783">
        <v>1200</v>
      </c>
      <c r="CA2783" t="s">
        <v>105</v>
      </c>
      <c r="CC2783" t="s">
        <v>102</v>
      </c>
      <c r="CD2783">
        <v>183</v>
      </c>
      <c r="CE2783" t="s">
        <v>147</v>
      </c>
      <c r="CF2783" s="3">
        <v>43795</v>
      </c>
      <c r="CI2783">
        <v>1</v>
      </c>
      <c r="CJ2783">
        <v>1</v>
      </c>
      <c r="CK2783">
        <v>21</v>
      </c>
      <c r="CL2783" t="s">
        <v>89</v>
      </c>
    </row>
    <row r="2784" spans="1:90">
      <c r="A2784" t="s">
        <v>72</v>
      </c>
      <c r="B2784" t="s">
        <v>73</v>
      </c>
      <c r="C2784" t="s">
        <v>74</v>
      </c>
      <c r="E2784" t="str">
        <f>"FES1162724651"</f>
        <v>FES1162724651</v>
      </c>
      <c r="F2784" s="3">
        <v>43791</v>
      </c>
      <c r="G2784">
        <v>202005</v>
      </c>
      <c r="H2784" t="s">
        <v>75</v>
      </c>
      <c r="I2784" t="s">
        <v>76</v>
      </c>
      <c r="J2784" t="s">
        <v>77</v>
      </c>
      <c r="K2784" t="s">
        <v>78</v>
      </c>
      <c r="L2784" t="s">
        <v>133</v>
      </c>
      <c r="M2784" t="s">
        <v>134</v>
      </c>
      <c r="N2784" t="s">
        <v>310</v>
      </c>
      <c r="O2784" t="s">
        <v>82</v>
      </c>
      <c r="P2784" t="str">
        <f>"2170718435                    "</f>
        <v xml:space="preserve">2170718435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8.58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 s="4">
        <v>50.45</v>
      </c>
      <c r="BM2784" s="4">
        <v>7.57</v>
      </c>
      <c r="BN2784" s="4">
        <v>58.02</v>
      </c>
      <c r="BO2784" s="4">
        <v>58.02</v>
      </c>
      <c r="BQ2784" t="s">
        <v>121</v>
      </c>
      <c r="BR2784" t="s">
        <v>84</v>
      </c>
      <c r="BS2784" s="3">
        <v>43794</v>
      </c>
      <c r="BT2784" s="5">
        <v>0.36249999999999999</v>
      </c>
      <c r="BU2784" t="s">
        <v>1108</v>
      </c>
      <c r="BV2784" t="s">
        <v>86</v>
      </c>
      <c r="BY2784">
        <v>1200</v>
      </c>
      <c r="CA2784" t="s">
        <v>2805</v>
      </c>
      <c r="CC2784" t="s">
        <v>134</v>
      </c>
      <c r="CD2784">
        <v>5201</v>
      </c>
      <c r="CE2784" t="s">
        <v>147</v>
      </c>
      <c r="CF2784" s="3">
        <v>43795</v>
      </c>
      <c r="CI2784">
        <v>1</v>
      </c>
      <c r="CJ2784">
        <v>1</v>
      </c>
      <c r="CK2784">
        <v>21</v>
      </c>
      <c r="CL2784" t="s">
        <v>89</v>
      </c>
    </row>
    <row r="2785" spans="1:90">
      <c r="A2785" t="s">
        <v>72</v>
      </c>
      <c r="B2785" t="s">
        <v>73</v>
      </c>
      <c r="C2785" t="s">
        <v>74</v>
      </c>
      <c r="E2785" t="str">
        <f>"FES1162724601"</f>
        <v>FES1162724601</v>
      </c>
      <c r="F2785" s="3">
        <v>43791</v>
      </c>
      <c r="G2785">
        <v>202005</v>
      </c>
      <c r="H2785" t="s">
        <v>75</v>
      </c>
      <c r="I2785" t="s">
        <v>76</v>
      </c>
      <c r="J2785" t="s">
        <v>77</v>
      </c>
      <c r="K2785" t="s">
        <v>78</v>
      </c>
      <c r="L2785" t="s">
        <v>164</v>
      </c>
      <c r="M2785" t="s">
        <v>165</v>
      </c>
      <c r="N2785" t="s">
        <v>166</v>
      </c>
      <c r="O2785" t="s">
        <v>82</v>
      </c>
      <c r="P2785" t="str">
        <f>"2170715158                    "</f>
        <v xml:space="preserve">2170715158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16.63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 s="4">
        <v>97.75</v>
      </c>
      <c r="BM2785" s="4">
        <v>14.66</v>
      </c>
      <c r="BN2785" s="4">
        <v>112.41</v>
      </c>
      <c r="BO2785" s="4">
        <v>112.41</v>
      </c>
      <c r="BQ2785" t="s">
        <v>121</v>
      </c>
      <c r="BR2785" t="s">
        <v>84</v>
      </c>
      <c r="BS2785" s="3">
        <v>43794</v>
      </c>
      <c r="BT2785" s="5">
        <v>0.4861111111111111</v>
      </c>
      <c r="BU2785" t="s">
        <v>870</v>
      </c>
      <c r="BV2785" t="s">
        <v>86</v>
      </c>
      <c r="BY2785">
        <v>1200</v>
      </c>
      <c r="CA2785" t="s">
        <v>168</v>
      </c>
      <c r="CC2785" t="s">
        <v>165</v>
      </c>
      <c r="CD2785">
        <v>3370</v>
      </c>
      <c r="CE2785" t="s">
        <v>147</v>
      </c>
      <c r="CF2785" s="3">
        <v>43796</v>
      </c>
      <c r="CI2785">
        <v>3</v>
      </c>
      <c r="CJ2785">
        <v>1</v>
      </c>
      <c r="CK2785">
        <v>23</v>
      </c>
      <c r="CL2785" t="s">
        <v>89</v>
      </c>
    </row>
    <row r="2786" spans="1:90">
      <c r="A2786" t="s">
        <v>72</v>
      </c>
      <c r="B2786" t="s">
        <v>73</v>
      </c>
      <c r="C2786" t="s">
        <v>74</v>
      </c>
      <c r="E2786" t="str">
        <f>"FES1162724542"</f>
        <v>FES1162724542</v>
      </c>
      <c r="F2786" s="3">
        <v>43791</v>
      </c>
      <c r="G2786">
        <v>202005</v>
      </c>
      <c r="H2786" t="s">
        <v>75</v>
      </c>
      <c r="I2786" t="s">
        <v>76</v>
      </c>
      <c r="J2786" t="s">
        <v>77</v>
      </c>
      <c r="K2786" t="s">
        <v>78</v>
      </c>
      <c r="L2786" t="s">
        <v>783</v>
      </c>
      <c r="M2786" t="s">
        <v>784</v>
      </c>
      <c r="N2786" t="s">
        <v>1117</v>
      </c>
      <c r="O2786" t="s">
        <v>82</v>
      </c>
      <c r="P2786" t="str">
        <f>"2170718325                    "</f>
        <v xml:space="preserve">2170718325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16.63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 s="4">
        <v>97.75</v>
      </c>
      <c r="BM2786" s="4">
        <v>14.66</v>
      </c>
      <c r="BN2786" s="4">
        <v>112.41</v>
      </c>
      <c r="BO2786" s="4">
        <v>112.41</v>
      </c>
      <c r="BQ2786" t="s">
        <v>121</v>
      </c>
      <c r="BR2786" t="s">
        <v>84</v>
      </c>
      <c r="BS2786" s="3">
        <v>43794</v>
      </c>
      <c r="BT2786" s="5">
        <v>0.39583333333333331</v>
      </c>
      <c r="BU2786" t="s">
        <v>2849</v>
      </c>
      <c r="BV2786" t="s">
        <v>86</v>
      </c>
      <c r="BY2786">
        <v>1200</v>
      </c>
      <c r="CC2786" t="s">
        <v>784</v>
      </c>
      <c r="CD2786">
        <v>9880</v>
      </c>
      <c r="CE2786" t="s">
        <v>147</v>
      </c>
      <c r="CF2786" s="3">
        <v>43796</v>
      </c>
      <c r="CI2786">
        <v>1</v>
      </c>
      <c r="CJ2786">
        <v>1</v>
      </c>
      <c r="CK2786">
        <v>23</v>
      </c>
      <c r="CL2786" t="s">
        <v>89</v>
      </c>
    </row>
    <row r="2787" spans="1:90">
      <c r="A2787" t="s">
        <v>72</v>
      </c>
      <c r="B2787" t="s">
        <v>73</v>
      </c>
      <c r="C2787" t="s">
        <v>74</v>
      </c>
      <c r="E2787" t="str">
        <f>"FES1162724543"</f>
        <v>FES1162724543</v>
      </c>
      <c r="F2787" s="3">
        <v>43791</v>
      </c>
      <c r="G2787">
        <v>202005</v>
      </c>
      <c r="H2787" t="s">
        <v>75</v>
      </c>
      <c r="I2787" t="s">
        <v>76</v>
      </c>
      <c r="J2787" t="s">
        <v>77</v>
      </c>
      <c r="K2787" t="s">
        <v>78</v>
      </c>
      <c r="L2787" t="s">
        <v>90</v>
      </c>
      <c r="M2787" t="s">
        <v>91</v>
      </c>
      <c r="N2787" t="s">
        <v>1003</v>
      </c>
      <c r="O2787" t="s">
        <v>82</v>
      </c>
      <c r="P2787" t="str">
        <f>"2170718326                    "</f>
        <v xml:space="preserve">2170718326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8.58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 s="4">
        <v>50.45</v>
      </c>
      <c r="BM2787" s="4">
        <v>7.57</v>
      </c>
      <c r="BN2787" s="4">
        <v>58.02</v>
      </c>
      <c r="BO2787" s="4">
        <v>58.02</v>
      </c>
      <c r="BQ2787" t="s">
        <v>187</v>
      </c>
      <c r="BR2787" t="s">
        <v>84</v>
      </c>
      <c r="BS2787" s="3">
        <v>43794</v>
      </c>
      <c r="BT2787" s="5">
        <v>0.42708333333333331</v>
      </c>
      <c r="BU2787" t="s">
        <v>1762</v>
      </c>
      <c r="BV2787" t="s">
        <v>86</v>
      </c>
      <c r="BY2787">
        <v>1200</v>
      </c>
      <c r="CA2787" t="s">
        <v>2292</v>
      </c>
      <c r="CC2787" t="s">
        <v>91</v>
      </c>
      <c r="CD2787">
        <v>7500</v>
      </c>
      <c r="CE2787" t="s">
        <v>147</v>
      </c>
      <c r="CF2787" s="3">
        <v>43795</v>
      </c>
      <c r="CI2787">
        <v>1</v>
      </c>
      <c r="CJ2787">
        <v>1</v>
      </c>
      <c r="CK2787">
        <v>21</v>
      </c>
      <c r="CL2787" t="s">
        <v>89</v>
      </c>
    </row>
    <row r="2788" spans="1:90">
      <c r="A2788" t="s">
        <v>72</v>
      </c>
      <c r="B2788" t="s">
        <v>73</v>
      </c>
      <c r="C2788" t="s">
        <v>74</v>
      </c>
      <c r="E2788" t="str">
        <f>"FES1162724508"</f>
        <v>FES1162724508</v>
      </c>
      <c r="F2788" s="3">
        <v>43791</v>
      </c>
      <c r="G2788">
        <v>202005</v>
      </c>
      <c r="H2788" t="s">
        <v>75</v>
      </c>
      <c r="I2788" t="s">
        <v>76</v>
      </c>
      <c r="J2788" t="s">
        <v>77</v>
      </c>
      <c r="K2788" t="s">
        <v>78</v>
      </c>
      <c r="L2788" t="s">
        <v>90</v>
      </c>
      <c r="M2788" t="s">
        <v>91</v>
      </c>
      <c r="N2788" t="s">
        <v>1481</v>
      </c>
      <c r="O2788" t="s">
        <v>82</v>
      </c>
      <c r="P2788" t="str">
        <f>"2170718280                    "</f>
        <v xml:space="preserve">2170718280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12.87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2.2999999999999998</v>
      </c>
      <c r="BJ2788">
        <v>3</v>
      </c>
      <c r="BK2788">
        <v>3</v>
      </c>
      <c r="BL2788" s="4">
        <v>75.66</v>
      </c>
      <c r="BM2788" s="4">
        <v>11.35</v>
      </c>
      <c r="BN2788" s="4">
        <v>87.01</v>
      </c>
      <c r="BO2788" s="4">
        <v>87.01</v>
      </c>
      <c r="BQ2788" t="s">
        <v>109</v>
      </c>
      <c r="BR2788" t="s">
        <v>84</v>
      </c>
      <c r="BS2788" s="3">
        <v>43794</v>
      </c>
      <c r="BT2788" s="5">
        <v>0.40833333333333338</v>
      </c>
      <c r="BU2788" t="s">
        <v>2831</v>
      </c>
      <c r="BV2788" t="s">
        <v>86</v>
      </c>
      <c r="BY2788">
        <v>14896.38</v>
      </c>
      <c r="CA2788" t="s">
        <v>1902</v>
      </c>
      <c r="CC2788" t="s">
        <v>91</v>
      </c>
      <c r="CD2788">
        <v>7441</v>
      </c>
      <c r="CE2788" t="s">
        <v>88</v>
      </c>
      <c r="CF2788" s="3">
        <v>43795</v>
      </c>
      <c r="CI2788">
        <v>1</v>
      </c>
      <c r="CJ2788">
        <v>1</v>
      </c>
      <c r="CK2788">
        <v>21</v>
      </c>
      <c r="CL2788" t="s">
        <v>89</v>
      </c>
    </row>
    <row r="2789" spans="1:90">
      <c r="A2789" t="s">
        <v>72</v>
      </c>
      <c r="B2789" t="s">
        <v>73</v>
      </c>
      <c r="C2789" t="s">
        <v>74</v>
      </c>
      <c r="E2789" t="str">
        <f>"FES1162724519"</f>
        <v>FES1162724519</v>
      </c>
      <c r="F2789" s="3">
        <v>43791</v>
      </c>
      <c r="G2789">
        <v>202005</v>
      </c>
      <c r="H2789" t="s">
        <v>75</v>
      </c>
      <c r="I2789" t="s">
        <v>76</v>
      </c>
      <c r="J2789" t="s">
        <v>77</v>
      </c>
      <c r="K2789" t="s">
        <v>78</v>
      </c>
      <c r="L2789" t="s">
        <v>112</v>
      </c>
      <c r="M2789" t="s">
        <v>113</v>
      </c>
      <c r="N2789" t="s">
        <v>160</v>
      </c>
      <c r="O2789" t="s">
        <v>82</v>
      </c>
      <c r="P2789" t="str">
        <f>"2170718299                    "</f>
        <v xml:space="preserve">2170718299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8.58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 s="4">
        <v>50.45</v>
      </c>
      <c r="BM2789" s="4">
        <v>7.57</v>
      </c>
      <c r="BN2789" s="4">
        <v>58.02</v>
      </c>
      <c r="BO2789" s="4">
        <v>58.02</v>
      </c>
      <c r="BQ2789" t="s">
        <v>161</v>
      </c>
      <c r="BR2789" t="s">
        <v>84</v>
      </c>
      <c r="BS2789" s="3">
        <v>43794</v>
      </c>
      <c r="BT2789" s="5">
        <v>0.3888888888888889</v>
      </c>
      <c r="BU2789" t="s">
        <v>162</v>
      </c>
      <c r="BV2789" t="s">
        <v>86</v>
      </c>
      <c r="BY2789">
        <v>1200</v>
      </c>
      <c r="CC2789" t="s">
        <v>113</v>
      </c>
      <c r="CD2789">
        <v>4000</v>
      </c>
      <c r="CE2789" t="s">
        <v>147</v>
      </c>
      <c r="CF2789" s="3">
        <v>43795</v>
      </c>
      <c r="CI2789">
        <v>1</v>
      </c>
      <c r="CJ2789">
        <v>1</v>
      </c>
      <c r="CK2789">
        <v>21</v>
      </c>
      <c r="CL2789" t="s">
        <v>89</v>
      </c>
    </row>
    <row r="2790" spans="1:90">
      <c r="A2790" t="s">
        <v>72</v>
      </c>
      <c r="B2790" t="s">
        <v>73</v>
      </c>
      <c r="C2790" t="s">
        <v>74</v>
      </c>
      <c r="E2790" t="str">
        <f>"FES1162724226"</f>
        <v>FES1162724226</v>
      </c>
      <c r="F2790" s="3">
        <v>43791</v>
      </c>
      <c r="G2790">
        <v>202005</v>
      </c>
      <c r="H2790" t="s">
        <v>75</v>
      </c>
      <c r="I2790" t="s">
        <v>76</v>
      </c>
      <c r="J2790" t="s">
        <v>77</v>
      </c>
      <c r="K2790" t="s">
        <v>78</v>
      </c>
      <c r="L2790" t="s">
        <v>101</v>
      </c>
      <c r="M2790" t="s">
        <v>102</v>
      </c>
      <c r="N2790" t="s">
        <v>181</v>
      </c>
      <c r="O2790" t="s">
        <v>82</v>
      </c>
      <c r="P2790" t="str">
        <f>"2170715751                    "</f>
        <v xml:space="preserve">2170715751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8.58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 s="4">
        <v>50.45</v>
      </c>
      <c r="BM2790" s="4">
        <v>7.57</v>
      </c>
      <c r="BN2790" s="4">
        <v>58.02</v>
      </c>
      <c r="BO2790" s="4">
        <v>58.02</v>
      </c>
      <c r="BQ2790" t="s">
        <v>121</v>
      </c>
      <c r="BR2790" t="s">
        <v>84</v>
      </c>
      <c r="BS2790" s="3">
        <v>43794</v>
      </c>
      <c r="BT2790" s="5">
        <v>0.3923611111111111</v>
      </c>
      <c r="BU2790" t="s">
        <v>2850</v>
      </c>
      <c r="BV2790" t="s">
        <v>86</v>
      </c>
      <c r="BY2790">
        <v>1200</v>
      </c>
      <c r="CC2790" t="s">
        <v>102</v>
      </c>
      <c r="CD2790">
        <v>200</v>
      </c>
      <c r="CE2790" t="s">
        <v>147</v>
      </c>
      <c r="CF2790" s="3">
        <v>43795</v>
      </c>
      <c r="CI2790">
        <v>1</v>
      </c>
      <c r="CJ2790">
        <v>1</v>
      </c>
      <c r="CK2790">
        <v>21</v>
      </c>
      <c r="CL2790" t="s">
        <v>89</v>
      </c>
    </row>
    <row r="2791" spans="1:90">
      <c r="A2791" t="s">
        <v>72</v>
      </c>
      <c r="B2791" t="s">
        <v>73</v>
      </c>
      <c r="C2791" t="s">
        <v>74</v>
      </c>
      <c r="E2791" t="str">
        <f>"FES1162724643"</f>
        <v>FES1162724643</v>
      </c>
      <c r="F2791" s="3">
        <v>43791</v>
      </c>
      <c r="G2791">
        <v>202005</v>
      </c>
      <c r="H2791" t="s">
        <v>75</v>
      </c>
      <c r="I2791" t="s">
        <v>76</v>
      </c>
      <c r="J2791" t="s">
        <v>77</v>
      </c>
      <c r="K2791" t="s">
        <v>78</v>
      </c>
      <c r="L2791" t="s">
        <v>124</v>
      </c>
      <c r="M2791" t="s">
        <v>125</v>
      </c>
      <c r="N2791" t="s">
        <v>2851</v>
      </c>
      <c r="O2791" t="s">
        <v>82</v>
      </c>
      <c r="P2791" t="str">
        <f>"2170718425                    "</f>
        <v xml:space="preserve">2170718425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6.71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 s="4">
        <v>39.42</v>
      </c>
      <c r="BM2791" s="4">
        <v>5.91</v>
      </c>
      <c r="BN2791" s="4">
        <v>45.33</v>
      </c>
      <c r="BO2791" s="4">
        <v>45.33</v>
      </c>
      <c r="BQ2791" t="s">
        <v>187</v>
      </c>
      <c r="BR2791" t="s">
        <v>84</v>
      </c>
      <c r="BS2791" s="3">
        <v>43794</v>
      </c>
      <c r="BT2791" s="5">
        <v>0.33333333333333331</v>
      </c>
      <c r="BU2791" t="s">
        <v>2852</v>
      </c>
      <c r="BV2791" t="s">
        <v>86</v>
      </c>
      <c r="BY2791">
        <v>1200</v>
      </c>
      <c r="CA2791" t="s">
        <v>470</v>
      </c>
      <c r="CC2791" t="s">
        <v>125</v>
      </c>
      <c r="CD2791">
        <v>2090</v>
      </c>
      <c r="CE2791" t="s">
        <v>147</v>
      </c>
      <c r="CF2791" s="3">
        <v>43795</v>
      </c>
      <c r="CI2791">
        <v>1</v>
      </c>
      <c r="CJ2791">
        <v>1</v>
      </c>
      <c r="CK2791">
        <v>22</v>
      </c>
      <c r="CL2791" t="s">
        <v>89</v>
      </c>
    </row>
    <row r="2792" spans="1:90">
      <c r="A2792" t="s">
        <v>72</v>
      </c>
      <c r="B2792" t="s">
        <v>73</v>
      </c>
      <c r="C2792" t="s">
        <v>74</v>
      </c>
      <c r="E2792" t="str">
        <f>"FES1162724223"</f>
        <v>FES1162724223</v>
      </c>
      <c r="F2792" s="3">
        <v>43791</v>
      </c>
      <c r="G2792">
        <v>202005</v>
      </c>
      <c r="H2792" t="s">
        <v>75</v>
      </c>
      <c r="I2792" t="s">
        <v>76</v>
      </c>
      <c r="J2792" t="s">
        <v>77</v>
      </c>
      <c r="K2792" t="s">
        <v>78</v>
      </c>
      <c r="L2792" t="s">
        <v>339</v>
      </c>
      <c r="M2792" t="s">
        <v>340</v>
      </c>
      <c r="N2792" t="s">
        <v>2853</v>
      </c>
      <c r="O2792" t="s">
        <v>82</v>
      </c>
      <c r="P2792" t="str">
        <f>"2170715720                    "</f>
        <v xml:space="preserve">2170715720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8.58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 s="4">
        <v>50.45</v>
      </c>
      <c r="BM2792" s="4">
        <v>7.57</v>
      </c>
      <c r="BN2792" s="4">
        <v>58.02</v>
      </c>
      <c r="BO2792" s="4">
        <v>58.02</v>
      </c>
      <c r="BQ2792" t="s">
        <v>161</v>
      </c>
      <c r="BR2792" t="s">
        <v>84</v>
      </c>
      <c r="BS2792" s="3">
        <v>43794</v>
      </c>
      <c r="BT2792" s="5">
        <v>0.42708333333333331</v>
      </c>
      <c r="BU2792" t="s">
        <v>1703</v>
      </c>
      <c r="BV2792" t="s">
        <v>86</v>
      </c>
      <c r="BY2792">
        <v>1200</v>
      </c>
      <c r="CA2792" t="s">
        <v>2854</v>
      </c>
      <c r="CC2792" t="s">
        <v>340</v>
      </c>
      <c r="CD2792">
        <v>157</v>
      </c>
      <c r="CE2792" t="s">
        <v>147</v>
      </c>
      <c r="CF2792" s="3">
        <v>43795</v>
      </c>
      <c r="CI2792">
        <v>1</v>
      </c>
      <c r="CJ2792">
        <v>1</v>
      </c>
      <c r="CK2792">
        <v>21</v>
      </c>
      <c r="CL2792" t="s">
        <v>89</v>
      </c>
    </row>
    <row r="2793" spans="1:90">
      <c r="A2793" t="s">
        <v>72</v>
      </c>
      <c r="B2793" t="s">
        <v>73</v>
      </c>
      <c r="C2793" t="s">
        <v>74</v>
      </c>
      <c r="E2793" t="str">
        <f>"FES1162724572"</f>
        <v>FES1162724572</v>
      </c>
      <c r="F2793" s="3">
        <v>43791</v>
      </c>
      <c r="G2793">
        <v>202005</v>
      </c>
      <c r="H2793" t="s">
        <v>75</v>
      </c>
      <c r="I2793" t="s">
        <v>76</v>
      </c>
      <c r="J2793" t="s">
        <v>77</v>
      </c>
      <c r="K2793" t="s">
        <v>78</v>
      </c>
      <c r="L2793" t="s">
        <v>482</v>
      </c>
      <c r="M2793" t="s">
        <v>483</v>
      </c>
      <c r="N2793" t="s">
        <v>1734</v>
      </c>
      <c r="O2793" t="s">
        <v>82</v>
      </c>
      <c r="P2793" t="str">
        <f>"2170718365                    "</f>
        <v xml:space="preserve">2170718365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12.33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5.2</v>
      </c>
      <c r="BJ2793">
        <v>1.5</v>
      </c>
      <c r="BK2793">
        <v>5.5</v>
      </c>
      <c r="BL2793" s="4">
        <v>72.48</v>
      </c>
      <c r="BM2793" s="4">
        <v>10.87</v>
      </c>
      <c r="BN2793" s="4">
        <v>83.35</v>
      </c>
      <c r="BO2793" s="4">
        <v>83.35</v>
      </c>
      <c r="BQ2793" t="s">
        <v>121</v>
      </c>
      <c r="BR2793" t="s">
        <v>84</v>
      </c>
      <c r="BS2793" s="3">
        <v>43794</v>
      </c>
      <c r="BT2793" s="5">
        <v>0.31944444444444448</v>
      </c>
      <c r="BU2793" t="s">
        <v>2750</v>
      </c>
      <c r="BV2793" t="s">
        <v>86</v>
      </c>
      <c r="BY2793">
        <v>7560.02</v>
      </c>
      <c r="CA2793" t="s">
        <v>486</v>
      </c>
      <c r="CC2793" t="s">
        <v>483</v>
      </c>
      <c r="CD2793">
        <v>1459</v>
      </c>
      <c r="CE2793" t="s">
        <v>88</v>
      </c>
      <c r="CF2793" s="3">
        <v>43795</v>
      </c>
      <c r="CI2793">
        <v>1</v>
      </c>
      <c r="CJ2793">
        <v>1</v>
      </c>
      <c r="CK2793">
        <v>22</v>
      </c>
      <c r="CL2793" t="s">
        <v>89</v>
      </c>
    </row>
    <row r="2794" spans="1:90">
      <c r="A2794" t="s">
        <v>72</v>
      </c>
      <c r="B2794" t="s">
        <v>73</v>
      </c>
      <c r="C2794" t="s">
        <v>74</v>
      </c>
      <c r="E2794" t="str">
        <f>"FES1162724580"</f>
        <v>FES1162724580</v>
      </c>
      <c r="F2794" s="3">
        <v>43791</v>
      </c>
      <c r="G2794">
        <v>202005</v>
      </c>
      <c r="H2794" t="s">
        <v>75</v>
      </c>
      <c r="I2794" t="s">
        <v>76</v>
      </c>
      <c r="J2794" t="s">
        <v>77</v>
      </c>
      <c r="K2794" t="s">
        <v>78</v>
      </c>
      <c r="L2794" t="s">
        <v>75</v>
      </c>
      <c r="M2794" t="s">
        <v>76</v>
      </c>
      <c r="N2794" t="s">
        <v>199</v>
      </c>
      <c r="O2794" t="s">
        <v>82</v>
      </c>
      <c r="P2794" t="str">
        <f>"2170718375                    "</f>
        <v xml:space="preserve">2170718375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6.71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 s="4">
        <v>39.42</v>
      </c>
      <c r="BM2794" s="4">
        <v>5.91</v>
      </c>
      <c r="BN2794" s="4">
        <v>45.33</v>
      </c>
      <c r="BO2794" s="4">
        <v>45.33</v>
      </c>
      <c r="BQ2794" t="s">
        <v>200</v>
      </c>
      <c r="BR2794" t="s">
        <v>84</v>
      </c>
      <c r="BS2794" s="3">
        <v>43794</v>
      </c>
      <c r="BT2794" s="5">
        <v>0.35416666666666669</v>
      </c>
      <c r="BU2794" t="s">
        <v>2855</v>
      </c>
      <c r="BV2794" t="s">
        <v>86</v>
      </c>
      <c r="BY2794">
        <v>1200</v>
      </c>
      <c r="CC2794" t="s">
        <v>76</v>
      </c>
      <c r="CD2794">
        <v>1600</v>
      </c>
      <c r="CE2794" t="s">
        <v>147</v>
      </c>
      <c r="CF2794" s="3">
        <v>43795</v>
      </c>
      <c r="CI2794">
        <v>1</v>
      </c>
      <c r="CJ2794">
        <v>1</v>
      </c>
      <c r="CK2794">
        <v>22</v>
      </c>
      <c r="CL2794" t="s">
        <v>89</v>
      </c>
    </row>
    <row r="2795" spans="1:90">
      <c r="A2795" t="s">
        <v>72</v>
      </c>
      <c r="B2795" t="s">
        <v>73</v>
      </c>
      <c r="C2795" t="s">
        <v>74</v>
      </c>
      <c r="E2795" t="str">
        <f>"FES1162724637"</f>
        <v>FES1162724637</v>
      </c>
      <c r="F2795" s="3">
        <v>43791</v>
      </c>
      <c r="G2795">
        <v>202005</v>
      </c>
      <c r="H2795" t="s">
        <v>75</v>
      </c>
      <c r="I2795" t="s">
        <v>76</v>
      </c>
      <c r="J2795" t="s">
        <v>77</v>
      </c>
      <c r="K2795" t="s">
        <v>78</v>
      </c>
      <c r="L2795" t="s">
        <v>75</v>
      </c>
      <c r="M2795" t="s">
        <v>76</v>
      </c>
      <c r="N2795" t="s">
        <v>148</v>
      </c>
      <c r="O2795" t="s">
        <v>82</v>
      </c>
      <c r="P2795" t="str">
        <f>"2170718316                    "</f>
        <v xml:space="preserve">2170718316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6.71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 s="4">
        <v>39.42</v>
      </c>
      <c r="BM2795" s="4">
        <v>5.91</v>
      </c>
      <c r="BN2795" s="4">
        <v>45.33</v>
      </c>
      <c r="BO2795" s="4">
        <v>45.33</v>
      </c>
      <c r="BR2795" t="s">
        <v>84</v>
      </c>
      <c r="BS2795" s="3">
        <v>43794</v>
      </c>
      <c r="BT2795" s="5">
        <v>0.40972222222222227</v>
      </c>
      <c r="BU2795" t="s">
        <v>2856</v>
      </c>
      <c r="BV2795" t="s">
        <v>86</v>
      </c>
      <c r="BY2795">
        <v>1200</v>
      </c>
      <c r="CC2795" t="s">
        <v>76</v>
      </c>
      <c r="CD2795">
        <v>1682</v>
      </c>
      <c r="CE2795" t="s">
        <v>147</v>
      </c>
      <c r="CF2795" s="3">
        <v>43795</v>
      </c>
      <c r="CI2795">
        <v>1</v>
      </c>
      <c r="CJ2795">
        <v>1</v>
      </c>
      <c r="CK2795">
        <v>22</v>
      </c>
      <c r="CL2795" t="s">
        <v>89</v>
      </c>
    </row>
    <row r="2796" spans="1:90">
      <c r="A2796" t="s">
        <v>72</v>
      </c>
      <c r="B2796" t="s">
        <v>73</v>
      </c>
      <c r="C2796" t="s">
        <v>74</v>
      </c>
      <c r="E2796" t="str">
        <f>"FES1162724613"</f>
        <v>FES1162724613</v>
      </c>
      <c r="F2796" s="3">
        <v>43791</v>
      </c>
      <c r="G2796">
        <v>202005</v>
      </c>
      <c r="H2796" t="s">
        <v>75</v>
      </c>
      <c r="I2796" t="s">
        <v>76</v>
      </c>
      <c r="J2796" t="s">
        <v>77</v>
      </c>
      <c r="K2796" t="s">
        <v>78</v>
      </c>
      <c r="L2796" t="s">
        <v>552</v>
      </c>
      <c r="M2796" t="s">
        <v>553</v>
      </c>
      <c r="N2796" t="s">
        <v>2857</v>
      </c>
      <c r="O2796" t="s">
        <v>82</v>
      </c>
      <c r="P2796" t="str">
        <f>"2170717619                    "</f>
        <v xml:space="preserve">2170717619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6.71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 s="4">
        <v>39.42</v>
      </c>
      <c r="BM2796" s="4">
        <v>5.91</v>
      </c>
      <c r="BN2796" s="4">
        <v>45.33</v>
      </c>
      <c r="BO2796" s="4">
        <v>45.33</v>
      </c>
      <c r="BR2796" t="s">
        <v>84</v>
      </c>
      <c r="BS2796" s="3">
        <v>43794</v>
      </c>
      <c r="BT2796" s="5">
        <v>0.33333333333333331</v>
      </c>
      <c r="BU2796" t="s">
        <v>2858</v>
      </c>
      <c r="BV2796" t="s">
        <v>86</v>
      </c>
      <c r="BY2796">
        <v>1200</v>
      </c>
      <c r="CA2796" t="s">
        <v>734</v>
      </c>
      <c r="CC2796" t="s">
        <v>553</v>
      </c>
      <c r="CD2796">
        <v>1554</v>
      </c>
      <c r="CE2796" t="s">
        <v>147</v>
      </c>
      <c r="CF2796" s="3">
        <v>43795</v>
      </c>
      <c r="CI2796">
        <v>1</v>
      </c>
      <c r="CJ2796">
        <v>1</v>
      </c>
      <c r="CK2796">
        <v>22</v>
      </c>
      <c r="CL2796" t="s">
        <v>89</v>
      </c>
    </row>
    <row r="2797" spans="1:90">
      <c r="A2797" t="s">
        <v>72</v>
      </c>
      <c r="B2797" t="s">
        <v>73</v>
      </c>
      <c r="C2797" t="s">
        <v>74</v>
      </c>
      <c r="E2797" t="str">
        <f>"FES1162724438"</f>
        <v>FES1162724438</v>
      </c>
      <c r="F2797" s="3">
        <v>43791</v>
      </c>
      <c r="G2797">
        <v>202005</v>
      </c>
      <c r="H2797" t="s">
        <v>75</v>
      </c>
      <c r="I2797" t="s">
        <v>76</v>
      </c>
      <c r="J2797" t="s">
        <v>77</v>
      </c>
      <c r="K2797" t="s">
        <v>78</v>
      </c>
      <c r="L2797" t="s">
        <v>124</v>
      </c>
      <c r="M2797" t="s">
        <v>125</v>
      </c>
      <c r="N2797" t="s">
        <v>218</v>
      </c>
      <c r="O2797" t="s">
        <v>82</v>
      </c>
      <c r="P2797" t="str">
        <f>"2170718010                    "</f>
        <v xml:space="preserve">2170718010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6.71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 s="4">
        <v>39.42</v>
      </c>
      <c r="BM2797" s="4">
        <v>5.91</v>
      </c>
      <c r="BN2797" s="4">
        <v>45.33</v>
      </c>
      <c r="BO2797" s="4">
        <v>45.33</v>
      </c>
      <c r="BQ2797" t="s">
        <v>121</v>
      </c>
      <c r="BR2797" t="s">
        <v>84</v>
      </c>
      <c r="BS2797" s="3">
        <v>43794</v>
      </c>
      <c r="BT2797" s="5">
        <v>0.39374999999999999</v>
      </c>
      <c r="BU2797" t="s">
        <v>476</v>
      </c>
      <c r="BV2797" t="s">
        <v>86</v>
      </c>
      <c r="BY2797">
        <v>1200</v>
      </c>
      <c r="CA2797" t="s">
        <v>415</v>
      </c>
      <c r="CC2797" t="s">
        <v>125</v>
      </c>
      <c r="CD2797">
        <v>2094</v>
      </c>
      <c r="CE2797" t="s">
        <v>147</v>
      </c>
      <c r="CF2797" s="3">
        <v>43795</v>
      </c>
      <c r="CI2797">
        <v>1</v>
      </c>
      <c r="CJ2797">
        <v>1</v>
      </c>
      <c r="CK2797">
        <v>22</v>
      </c>
      <c r="CL2797" t="s">
        <v>89</v>
      </c>
    </row>
    <row r="2798" spans="1:90">
      <c r="A2798" t="s">
        <v>72</v>
      </c>
      <c r="B2798" t="s">
        <v>73</v>
      </c>
      <c r="C2798" t="s">
        <v>74</v>
      </c>
      <c r="E2798" t="str">
        <f>"FES11962724579"</f>
        <v>FES11962724579</v>
      </c>
      <c r="F2798" s="3">
        <v>43791</v>
      </c>
      <c r="G2798">
        <v>202005</v>
      </c>
      <c r="H2798" t="s">
        <v>75</v>
      </c>
      <c r="I2798" t="s">
        <v>76</v>
      </c>
      <c r="J2798" t="s">
        <v>77</v>
      </c>
      <c r="K2798" t="s">
        <v>78</v>
      </c>
      <c r="L2798" t="s">
        <v>566</v>
      </c>
      <c r="M2798" t="s">
        <v>567</v>
      </c>
      <c r="N2798" t="s">
        <v>568</v>
      </c>
      <c r="O2798" t="s">
        <v>82</v>
      </c>
      <c r="P2798" t="str">
        <f>"2170718374                    "</f>
        <v xml:space="preserve">2170718374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12.07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2</v>
      </c>
      <c r="BJ2798">
        <v>1.5</v>
      </c>
      <c r="BK2798">
        <v>2</v>
      </c>
      <c r="BL2798" s="4">
        <v>70.95</v>
      </c>
      <c r="BM2798" s="4">
        <v>10.64</v>
      </c>
      <c r="BN2798" s="4">
        <v>81.59</v>
      </c>
      <c r="BO2798" s="4">
        <v>81.59</v>
      </c>
      <c r="BQ2798" t="s">
        <v>121</v>
      </c>
      <c r="BR2798" t="s">
        <v>84</v>
      </c>
      <c r="BS2798" s="3">
        <v>43794</v>
      </c>
      <c r="BT2798" s="5">
        <v>0.27083333333333331</v>
      </c>
      <c r="BU2798" t="s">
        <v>2859</v>
      </c>
      <c r="BV2798" t="s">
        <v>86</v>
      </c>
      <c r="BY2798">
        <v>7251.77</v>
      </c>
      <c r="CA2798" t="s">
        <v>2007</v>
      </c>
      <c r="CC2798" t="s">
        <v>567</v>
      </c>
      <c r="CD2798">
        <v>2410</v>
      </c>
      <c r="CE2798" t="s">
        <v>88</v>
      </c>
      <c r="CI2798">
        <v>1</v>
      </c>
      <c r="CJ2798">
        <v>1</v>
      </c>
      <c r="CK2798">
        <v>24</v>
      </c>
      <c r="CL2798" t="s">
        <v>89</v>
      </c>
    </row>
    <row r="2799" spans="1:90">
      <c r="A2799" t="s">
        <v>72</v>
      </c>
      <c r="B2799" t="s">
        <v>73</v>
      </c>
      <c r="C2799" t="s">
        <v>74</v>
      </c>
      <c r="E2799" t="str">
        <f>"FES1162724292"</f>
        <v>FES1162724292</v>
      </c>
      <c r="F2799" s="3">
        <v>43791</v>
      </c>
      <c r="G2799">
        <v>202005</v>
      </c>
      <c r="H2799" t="s">
        <v>75</v>
      </c>
      <c r="I2799" t="s">
        <v>76</v>
      </c>
      <c r="J2799" t="s">
        <v>77</v>
      </c>
      <c r="K2799" t="s">
        <v>78</v>
      </c>
      <c r="L2799" t="s">
        <v>95</v>
      </c>
      <c r="M2799" t="s">
        <v>96</v>
      </c>
      <c r="N2799" t="s">
        <v>2276</v>
      </c>
      <c r="O2799" t="s">
        <v>82</v>
      </c>
      <c r="P2799" t="str">
        <f>"2170717565                    "</f>
        <v xml:space="preserve">2170717565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6.71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 s="4">
        <v>39.42</v>
      </c>
      <c r="BM2799" s="4">
        <v>5.91</v>
      </c>
      <c r="BN2799" s="4">
        <v>45.33</v>
      </c>
      <c r="BO2799" s="4">
        <v>45.33</v>
      </c>
      <c r="BQ2799" t="s">
        <v>2277</v>
      </c>
      <c r="BR2799" t="s">
        <v>84</v>
      </c>
      <c r="BS2799" s="3">
        <v>43794</v>
      </c>
      <c r="BT2799" s="5">
        <v>0.3430555555555555</v>
      </c>
      <c r="BU2799" t="s">
        <v>2625</v>
      </c>
      <c r="BV2799" t="s">
        <v>86</v>
      </c>
      <c r="BY2799">
        <v>1200</v>
      </c>
      <c r="CA2799" t="s">
        <v>123</v>
      </c>
      <c r="CC2799" t="s">
        <v>96</v>
      </c>
      <c r="CD2799">
        <v>1451</v>
      </c>
      <c r="CE2799" t="s">
        <v>147</v>
      </c>
      <c r="CF2799" s="3">
        <v>43795</v>
      </c>
      <c r="CI2799">
        <v>1</v>
      </c>
      <c r="CJ2799">
        <v>1</v>
      </c>
      <c r="CK2799">
        <v>22</v>
      </c>
      <c r="CL2799" t="s">
        <v>89</v>
      </c>
    </row>
    <row r="2800" spans="1:90">
      <c r="A2800" t="s">
        <v>72</v>
      </c>
      <c r="B2800" t="s">
        <v>73</v>
      </c>
      <c r="C2800" t="s">
        <v>74</v>
      </c>
      <c r="E2800" t="str">
        <f>"FES1162724622"</f>
        <v>FES1162724622</v>
      </c>
      <c r="F2800" s="3">
        <v>43791</v>
      </c>
      <c r="G2800">
        <v>202005</v>
      </c>
      <c r="H2800" t="s">
        <v>75</v>
      </c>
      <c r="I2800" t="s">
        <v>76</v>
      </c>
      <c r="J2800" t="s">
        <v>77</v>
      </c>
      <c r="K2800" t="s">
        <v>78</v>
      </c>
      <c r="L2800" t="s">
        <v>75</v>
      </c>
      <c r="M2800" t="s">
        <v>76</v>
      </c>
      <c r="N2800" t="s">
        <v>1416</v>
      </c>
      <c r="O2800" t="s">
        <v>82</v>
      </c>
      <c r="P2800" t="str">
        <f>"2170718407                    "</f>
        <v xml:space="preserve">2170718407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6.71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 s="4">
        <v>39.42</v>
      </c>
      <c r="BM2800" s="4">
        <v>5.91</v>
      </c>
      <c r="BN2800" s="4">
        <v>45.33</v>
      </c>
      <c r="BO2800" s="4">
        <v>45.33</v>
      </c>
      <c r="BQ2800" t="s">
        <v>1417</v>
      </c>
      <c r="BR2800" t="s">
        <v>84</v>
      </c>
      <c r="BS2800" s="3">
        <v>43794</v>
      </c>
      <c r="BT2800" s="5">
        <v>0.32430555555555557</v>
      </c>
      <c r="BU2800" t="s">
        <v>2860</v>
      </c>
      <c r="BV2800" t="s">
        <v>86</v>
      </c>
      <c r="BY2800">
        <v>1200</v>
      </c>
      <c r="CA2800" t="s">
        <v>198</v>
      </c>
      <c r="CC2800" t="s">
        <v>76</v>
      </c>
      <c r="CD2800">
        <v>1601</v>
      </c>
      <c r="CE2800" t="s">
        <v>147</v>
      </c>
      <c r="CF2800" s="3">
        <v>43795</v>
      </c>
      <c r="CI2800">
        <v>1</v>
      </c>
      <c r="CJ2800">
        <v>1</v>
      </c>
      <c r="CK2800">
        <v>22</v>
      </c>
      <c r="CL2800" t="s">
        <v>89</v>
      </c>
    </row>
    <row r="2801" spans="1:90">
      <c r="A2801" t="s">
        <v>72</v>
      </c>
      <c r="B2801" t="s">
        <v>73</v>
      </c>
      <c r="C2801" t="s">
        <v>74</v>
      </c>
      <c r="E2801" t="str">
        <f>"FES1162724232"</f>
        <v>FES1162724232</v>
      </c>
      <c r="F2801" s="3">
        <v>43791</v>
      </c>
      <c r="G2801">
        <v>202005</v>
      </c>
      <c r="H2801" t="s">
        <v>75</v>
      </c>
      <c r="I2801" t="s">
        <v>76</v>
      </c>
      <c r="J2801" t="s">
        <v>77</v>
      </c>
      <c r="K2801" t="s">
        <v>78</v>
      </c>
      <c r="L2801" t="s">
        <v>101</v>
      </c>
      <c r="M2801" t="s">
        <v>102</v>
      </c>
      <c r="N2801" t="s">
        <v>768</v>
      </c>
      <c r="O2801" t="s">
        <v>82</v>
      </c>
      <c r="P2801" t="str">
        <f>"2170715821                    "</f>
        <v xml:space="preserve">2170715821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8.58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 s="4">
        <v>50.45</v>
      </c>
      <c r="BM2801" s="4">
        <v>7.57</v>
      </c>
      <c r="BN2801" s="4">
        <v>58.02</v>
      </c>
      <c r="BO2801" s="4">
        <v>58.02</v>
      </c>
      <c r="BQ2801" t="s">
        <v>769</v>
      </c>
      <c r="BR2801" t="s">
        <v>84</v>
      </c>
      <c r="BS2801" s="3">
        <v>43794</v>
      </c>
      <c r="BT2801" s="5">
        <v>0.375</v>
      </c>
      <c r="BU2801" t="s">
        <v>2798</v>
      </c>
      <c r="BV2801" t="s">
        <v>86</v>
      </c>
      <c r="BY2801">
        <v>1200</v>
      </c>
      <c r="CA2801" t="s">
        <v>105</v>
      </c>
      <c r="CC2801" t="s">
        <v>102</v>
      </c>
      <c r="CD2801">
        <v>117</v>
      </c>
      <c r="CE2801" t="s">
        <v>147</v>
      </c>
      <c r="CF2801" s="3">
        <v>43795</v>
      </c>
      <c r="CI2801">
        <v>1</v>
      </c>
      <c r="CJ2801">
        <v>1</v>
      </c>
      <c r="CK2801">
        <v>21</v>
      </c>
      <c r="CL2801" t="s">
        <v>89</v>
      </c>
    </row>
    <row r="2802" spans="1:90">
      <c r="A2802" t="s">
        <v>72</v>
      </c>
      <c r="B2802" t="s">
        <v>73</v>
      </c>
      <c r="C2802" t="s">
        <v>74</v>
      </c>
      <c r="E2802" t="str">
        <f>"FES1162724532"</f>
        <v>FES1162724532</v>
      </c>
      <c r="F2802" s="3">
        <v>43791</v>
      </c>
      <c r="G2802">
        <v>202005</v>
      </c>
      <c r="H2802" t="s">
        <v>75</v>
      </c>
      <c r="I2802" t="s">
        <v>76</v>
      </c>
      <c r="J2802" t="s">
        <v>77</v>
      </c>
      <c r="K2802" t="s">
        <v>78</v>
      </c>
      <c r="L2802" t="s">
        <v>90</v>
      </c>
      <c r="M2802" t="s">
        <v>91</v>
      </c>
      <c r="N2802" t="s">
        <v>538</v>
      </c>
      <c r="O2802" t="s">
        <v>82</v>
      </c>
      <c r="P2802" t="str">
        <f>"2170718314                    "</f>
        <v xml:space="preserve">2170718314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8.58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1.5</v>
      </c>
      <c r="BJ2802">
        <v>1.4</v>
      </c>
      <c r="BK2802">
        <v>1.5</v>
      </c>
      <c r="BL2802" s="4">
        <v>50.45</v>
      </c>
      <c r="BM2802" s="4">
        <v>7.57</v>
      </c>
      <c r="BN2802" s="4">
        <v>58.02</v>
      </c>
      <c r="BO2802" s="4">
        <v>58.02</v>
      </c>
      <c r="BQ2802" t="s">
        <v>109</v>
      </c>
      <c r="BR2802" t="s">
        <v>84</v>
      </c>
      <c r="BS2802" s="3">
        <v>43794</v>
      </c>
      <c r="BT2802" s="5">
        <v>0.32222222222222224</v>
      </c>
      <c r="BU2802" t="s">
        <v>1577</v>
      </c>
      <c r="BV2802" t="s">
        <v>86</v>
      </c>
      <c r="BY2802">
        <v>7048.94</v>
      </c>
      <c r="CA2802" t="s">
        <v>140</v>
      </c>
      <c r="CC2802" t="s">
        <v>91</v>
      </c>
      <c r="CD2802">
        <v>7530</v>
      </c>
      <c r="CE2802" t="s">
        <v>88</v>
      </c>
      <c r="CF2802" s="3">
        <v>43795</v>
      </c>
      <c r="CI2802">
        <v>1</v>
      </c>
      <c r="CJ2802">
        <v>1</v>
      </c>
      <c r="CK2802">
        <v>21</v>
      </c>
      <c r="CL2802" t="s">
        <v>89</v>
      </c>
    </row>
    <row r="2803" spans="1:90">
      <c r="A2803" t="s">
        <v>72</v>
      </c>
      <c r="B2803" t="s">
        <v>73</v>
      </c>
      <c r="C2803" t="s">
        <v>74</v>
      </c>
      <c r="E2803" t="str">
        <f>"FES1162724618"</f>
        <v>FES1162724618</v>
      </c>
      <c r="F2803" s="3">
        <v>43791</v>
      </c>
      <c r="G2803">
        <v>202005</v>
      </c>
      <c r="H2803" t="s">
        <v>75</v>
      </c>
      <c r="I2803" t="s">
        <v>76</v>
      </c>
      <c r="J2803" t="s">
        <v>77</v>
      </c>
      <c r="K2803" t="s">
        <v>78</v>
      </c>
      <c r="L2803" t="s">
        <v>75</v>
      </c>
      <c r="M2803" t="s">
        <v>76</v>
      </c>
      <c r="N2803" t="s">
        <v>366</v>
      </c>
      <c r="O2803" t="s">
        <v>82</v>
      </c>
      <c r="P2803" t="str">
        <f>"2170718392                    "</f>
        <v xml:space="preserve">2170718392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7.51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2.2000000000000002</v>
      </c>
      <c r="BJ2803">
        <v>0.9</v>
      </c>
      <c r="BK2803">
        <v>2.5</v>
      </c>
      <c r="BL2803" s="4">
        <v>44.14</v>
      </c>
      <c r="BM2803" s="4">
        <v>6.62</v>
      </c>
      <c r="BN2803" s="4">
        <v>50.76</v>
      </c>
      <c r="BO2803" s="4">
        <v>50.76</v>
      </c>
      <c r="BQ2803" t="s">
        <v>121</v>
      </c>
      <c r="BR2803" t="s">
        <v>84</v>
      </c>
      <c r="BS2803" s="3">
        <v>43794</v>
      </c>
      <c r="BT2803" s="5">
        <v>0.43541666666666662</v>
      </c>
      <c r="BU2803" t="s">
        <v>1659</v>
      </c>
      <c r="BV2803" t="s">
        <v>86</v>
      </c>
      <c r="BY2803">
        <v>4515.54</v>
      </c>
      <c r="CC2803" t="s">
        <v>76</v>
      </c>
      <c r="CD2803">
        <v>1624</v>
      </c>
      <c r="CE2803" t="s">
        <v>88</v>
      </c>
      <c r="CF2803" s="3">
        <v>43795</v>
      </c>
      <c r="CI2803">
        <v>1</v>
      </c>
      <c r="CJ2803">
        <v>1</v>
      </c>
      <c r="CK2803">
        <v>22</v>
      </c>
      <c r="CL2803" t="s">
        <v>89</v>
      </c>
    </row>
    <row r="2804" spans="1:90">
      <c r="A2804" t="s">
        <v>72</v>
      </c>
      <c r="B2804" t="s">
        <v>73</v>
      </c>
      <c r="C2804" t="s">
        <v>74</v>
      </c>
      <c r="E2804" t="str">
        <f>"FES1162724255"</f>
        <v>FES1162724255</v>
      </c>
      <c r="F2804" s="3">
        <v>43791</v>
      </c>
      <c r="G2804">
        <v>202005</v>
      </c>
      <c r="H2804" t="s">
        <v>75</v>
      </c>
      <c r="I2804" t="s">
        <v>76</v>
      </c>
      <c r="J2804" t="s">
        <v>77</v>
      </c>
      <c r="K2804" t="s">
        <v>78</v>
      </c>
      <c r="L2804" t="s">
        <v>214</v>
      </c>
      <c r="M2804" t="s">
        <v>214</v>
      </c>
      <c r="N2804" t="s">
        <v>314</v>
      </c>
      <c r="O2804" t="s">
        <v>82</v>
      </c>
      <c r="P2804" t="str">
        <f>"2170716112                    "</f>
        <v xml:space="preserve">2170716112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80.47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5.0999999999999996</v>
      </c>
      <c r="BJ2804">
        <v>10.1</v>
      </c>
      <c r="BK2804">
        <v>10.5</v>
      </c>
      <c r="BL2804" s="4">
        <v>473.03</v>
      </c>
      <c r="BM2804" s="4">
        <v>70.95</v>
      </c>
      <c r="BN2804" s="4">
        <v>543.98</v>
      </c>
      <c r="BO2804" s="4">
        <v>543.98</v>
      </c>
      <c r="BQ2804" t="s">
        <v>109</v>
      </c>
      <c r="BR2804" t="s">
        <v>84</v>
      </c>
      <c r="BS2804" s="3">
        <v>43794</v>
      </c>
      <c r="BT2804" s="5">
        <v>0.40972222222222227</v>
      </c>
      <c r="BU2804" t="s">
        <v>2826</v>
      </c>
      <c r="BV2804" t="s">
        <v>86</v>
      </c>
      <c r="BY2804">
        <v>50366.57</v>
      </c>
      <c r="CA2804" t="s">
        <v>217</v>
      </c>
      <c r="CC2804" t="s">
        <v>214</v>
      </c>
      <c r="CD2804">
        <v>7646</v>
      </c>
      <c r="CE2804" t="s">
        <v>88</v>
      </c>
      <c r="CF2804" s="3">
        <v>43795</v>
      </c>
      <c r="CI2804">
        <v>0</v>
      </c>
      <c r="CJ2804">
        <v>0</v>
      </c>
      <c r="CK2804">
        <v>23</v>
      </c>
      <c r="CL2804" t="s">
        <v>89</v>
      </c>
    </row>
    <row r="2805" spans="1:90">
      <c r="A2805" t="s">
        <v>72</v>
      </c>
      <c r="B2805" t="s">
        <v>73</v>
      </c>
      <c r="C2805" t="s">
        <v>74</v>
      </c>
      <c r="E2805" t="str">
        <f>"FES1162724523"</f>
        <v>FES1162724523</v>
      </c>
      <c r="F2805" s="3">
        <v>43791</v>
      </c>
      <c r="G2805">
        <v>202005</v>
      </c>
      <c r="H2805" t="s">
        <v>75</v>
      </c>
      <c r="I2805" t="s">
        <v>76</v>
      </c>
      <c r="J2805" t="s">
        <v>77</v>
      </c>
      <c r="K2805" t="s">
        <v>78</v>
      </c>
      <c r="L2805" t="s">
        <v>214</v>
      </c>
      <c r="M2805" t="s">
        <v>214</v>
      </c>
      <c r="N2805" t="s">
        <v>314</v>
      </c>
      <c r="O2805" t="s">
        <v>82</v>
      </c>
      <c r="P2805" t="str">
        <f>"2170714811                    "</f>
        <v xml:space="preserve">2170714811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114.28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11.8</v>
      </c>
      <c r="BJ2805">
        <v>14.7</v>
      </c>
      <c r="BK2805">
        <v>15</v>
      </c>
      <c r="BL2805" s="4">
        <v>671.72</v>
      </c>
      <c r="BM2805" s="4">
        <v>100.76</v>
      </c>
      <c r="BN2805" s="4">
        <v>772.48</v>
      </c>
      <c r="BO2805" s="4">
        <v>772.48</v>
      </c>
      <c r="BQ2805" t="s">
        <v>109</v>
      </c>
      <c r="BR2805" t="s">
        <v>84</v>
      </c>
      <c r="BS2805" s="3">
        <v>43794</v>
      </c>
      <c r="BT2805" s="5">
        <v>0.40972222222222227</v>
      </c>
      <c r="BU2805" t="s">
        <v>2826</v>
      </c>
      <c r="BV2805" t="s">
        <v>86</v>
      </c>
      <c r="BY2805">
        <v>73571.73</v>
      </c>
      <c r="CA2805" t="s">
        <v>217</v>
      </c>
      <c r="CC2805" t="s">
        <v>214</v>
      </c>
      <c r="CD2805">
        <v>7646</v>
      </c>
      <c r="CE2805" t="s">
        <v>88</v>
      </c>
      <c r="CF2805" s="3">
        <v>43795</v>
      </c>
      <c r="CI2805">
        <v>1</v>
      </c>
      <c r="CJ2805">
        <v>1</v>
      </c>
      <c r="CK2805">
        <v>23</v>
      </c>
      <c r="CL2805" t="s">
        <v>89</v>
      </c>
    </row>
    <row r="2806" spans="1:90">
      <c r="A2806" t="s">
        <v>72</v>
      </c>
      <c r="B2806" t="s">
        <v>73</v>
      </c>
      <c r="C2806" t="s">
        <v>74</v>
      </c>
      <c r="E2806" t="str">
        <f>"FES1162724571"</f>
        <v>FES1162724571</v>
      </c>
      <c r="F2806" s="3">
        <v>43791</v>
      </c>
      <c r="G2806">
        <v>202005</v>
      </c>
      <c r="H2806" t="s">
        <v>75</v>
      </c>
      <c r="I2806" t="s">
        <v>76</v>
      </c>
      <c r="J2806" t="s">
        <v>77</v>
      </c>
      <c r="K2806" t="s">
        <v>78</v>
      </c>
      <c r="L2806" t="s">
        <v>90</v>
      </c>
      <c r="M2806" t="s">
        <v>91</v>
      </c>
      <c r="N2806" t="s">
        <v>1632</v>
      </c>
      <c r="O2806" t="s">
        <v>82</v>
      </c>
      <c r="P2806" t="str">
        <f>"2170718363                    "</f>
        <v xml:space="preserve">2170718363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8.58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 s="4">
        <v>50.45</v>
      </c>
      <c r="BM2806" s="4">
        <v>7.57</v>
      </c>
      <c r="BN2806" s="4">
        <v>58.02</v>
      </c>
      <c r="BO2806" s="4">
        <v>58.02</v>
      </c>
      <c r="BQ2806" t="s">
        <v>109</v>
      </c>
      <c r="BR2806" t="s">
        <v>84</v>
      </c>
      <c r="BS2806" s="3">
        <v>43794</v>
      </c>
      <c r="BT2806" s="5">
        <v>0.36527777777777781</v>
      </c>
      <c r="BU2806" t="s">
        <v>2825</v>
      </c>
      <c r="BV2806" t="s">
        <v>86</v>
      </c>
      <c r="BY2806">
        <v>1200</v>
      </c>
      <c r="CA2806" t="s">
        <v>323</v>
      </c>
      <c r="CC2806" t="s">
        <v>91</v>
      </c>
      <c r="CD2806">
        <v>7460</v>
      </c>
      <c r="CE2806" t="s">
        <v>147</v>
      </c>
      <c r="CF2806" s="3">
        <v>43794</v>
      </c>
      <c r="CI2806">
        <v>1</v>
      </c>
      <c r="CJ2806">
        <v>1</v>
      </c>
      <c r="CK2806">
        <v>21</v>
      </c>
      <c r="CL2806" t="s">
        <v>89</v>
      </c>
    </row>
    <row r="2807" spans="1:90">
      <c r="A2807" t="s">
        <v>72</v>
      </c>
      <c r="B2807" t="s">
        <v>73</v>
      </c>
      <c r="C2807" t="s">
        <v>74</v>
      </c>
      <c r="E2807" t="str">
        <f>"FES1162724518"</f>
        <v>FES1162724518</v>
      </c>
      <c r="F2807" s="3">
        <v>43791</v>
      </c>
      <c r="G2807">
        <v>202005</v>
      </c>
      <c r="H2807" t="s">
        <v>75</v>
      </c>
      <c r="I2807" t="s">
        <v>76</v>
      </c>
      <c r="J2807" t="s">
        <v>77</v>
      </c>
      <c r="K2807" t="s">
        <v>78</v>
      </c>
      <c r="L2807" t="s">
        <v>349</v>
      </c>
      <c r="M2807" t="s">
        <v>350</v>
      </c>
      <c r="N2807" t="s">
        <v>351</v>
      </c>
      <c r="O2807" t="s">
        <v>82</v>
      </c>
      <c r="P2807" t="str">
        <f>"2170718295                    "</f>
        <v xml:space="preserve">2170718295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8.58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 s="4">
        <v>50.45</v>
      </c>
      <c r="BM2807" s="4">
        <v>7.57</v>
      </c>
      <c r="BN2807" s="4">
        <v>58.02</v>
      </c>
      <c r="BO2807" s="4">
        <v>58.02</v>
      </c>
      <c r="BQ2807" t="s">
        <v>109</v>
      </c>
      <c r="BR2807" t="s">
        <v>84</v>
      </c>
      <c r="BS2807" s="3">
        <v>43794</v>
      </c>
      <c r="BT2807" s="5">
        <v>0.42638888888888887</v>
      </c>
      <c r="BU2807" t="s">
        <v>1347</v>
      </c>
      <c r="BV2807" t="s">
        <v>86</v>
      </c>
      <c r="BY2807">
        <v>1200</v>
      </c>
      <c r="CC2807" t="s">
        <v>350</v>
      </c>
      <c r="CD2807">
        <v>6536</v>
      </c>
      <c r="CE2807" t="s">
        <v>147</v>
      </c>
      <c r="CF2807" s="3">
        <v>43797</v>
      </c>
      <c r="CI2807">
        <v>1</v>
      </c>
      <c r="CJ2807">
        <v>1</v>
      </c>
      <c r="CK2807">
        <v>21</v>
      </c>
      <c r="CL2807" t="s">
        <v>89</v>
      </c>
    </row>
    <row r="2808" spans="1:90">
      <c r="A2808" t="s">
        <v>72</v>
      </c>
      <c r="B2808" t="s">
        <v>73</v>
      </c>
      <c r="C2808" t="s">
        <v>74</v>
      </c>
      <c r="E2808" t="str">
        <f>"FES1162724470"</f>
        <v>FES1162724470</v>
      </c>
      <c r="F2808" s="3">
        <v>43791</v>
      </c>
      <c r="G2808">
        <v>202005</v>
      </c>
      <c r="H2808" t="s">
        <v>75</v>
      </c>
      <c r="I2808" t="s">
        <v>76</v>
      </c>
      <c r="J2808" t="s">
        <v>77</v>
      </c>
      <c r="K2808" t="s">
        <v>78</v>
      </c>
      <c r="L2808" t="s">
        <v>214</v>
      </c>
      <c r="M2808" t="s">
        <v>214</v>
      </c>
      <c r="N2808" t="s">
        <v>314</v>
      </c>
      <c r="O2808" t="s">
        <v>82</v>
      </c>
      <c r="P2808" t="str">
        <f>"2170718232                    "</f>
        <v xml:space="preserve">2170718232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16.63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 s="4">
        <v>97.75</v>
      </c>
      <c r="BM2808" s="4">
        <v>14.66</v>
      </c>
      <c r="BN2808" s="4">
        <v>112.41</v>
      </c>
      <c r="BO2808" s="4">
        <v>112.41</v>
      </c>
      <c r="BQ2808" t="s">
        <v>109</v>
      </c>
      <c r="BR2808" t="s">
        <v>84</v>
      </c>
      <c r="BS2808" s="3">
        <v>43794</v>
      </c>
      <c r="BT2808" s="5">
        <v>0.40972222222222227</v>
      </c>
      <c r="BU2808" t="s">
        <v>2826</v>
      </c>
      <c r="BV2808" t="s">
        <v>86</v>
      </c>
      <c r="BY2808">
        <v>1200</v>
      </c>
      <c r="CA2808" t="s">
        <v>217</v>
      </c>
      <c r="CC2808" t="s">
        <v>214</v>
      </c>
      <c r="CD2808">
        <v>7646</v>
      </c>
      <c r="CE2808" t="s">
        <v>147</v>
      </c>
      <c r="CF2808" s="3">
        <v>43795</v>
      </c>
      <c r="CI2808">
        <v>1</v>
      </c>
      <c r="CJ2808">
        <v>1</v>
      </c>
      <c r="CK2808">
        <v>23</v>
      </c>
      <c r="CL2808" t="s">
        <v>89</v>
      </c>
    </row>
    <row r="2809" spans="1:90">
      <c r="A2809" t="s">
        <v>72</v>
      </c>
      <c r="B2809" t="s">
        <v>73</v>
      </c>
      <c r="C2809" t="s">
        <v>74</v>
      </c>
      <c r="E2809" t="str">
        <f>"FES1162724499"</f>
        <v>FES1162724499</v>
      </c>
      <c r="F2809" s="3">
        <v>43791</v>
      </c>
      <c r="G2809">
        <v>202005</v>
      </c>
      <c r="H2809" t="s">
        <v>75</v>
      </c>
      <c r="I2809" t="s">
        <v>76</v>
      </c>
      <c r="J2809" t="s">
        <v>77</v>
      </c>
      <c r="K2809" t="s">
        <v>78</v>
      </c>
      <c r="L2809" t="s">
        <v>214</v>
      </c>
      <c r="M2809" t="s">
        <v>214</v>
      </c>
      <c r="N2809" t="s">
        <v>1523</v>
      </c>
      <c r="O2809" t="s">
        <v>82</v>
      </c>
      <c r="P2809" t="str">
        <f>"2170718268                    "</f>
        <v xml:space="preserve">2170718268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16.63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 s="4">
        <v>97.75</v>
      </c>
      <c r="BM2809" s="4">
        <v>14.66</v>
      </c>
      <c r="BN2809" s="4">
        <v>112.41</v>
      </c>
      <c r="BO2809" s="4">
        <v>112.41</v>
      </c>
      <c r="BR2809" t="s">
        <v>84</v>
      </c>
      <c r="BS2809" s="3">
        <v>43794</v>
      </c>
      <c r="BT2809" s="5">
        <v>0.4145833333333333</v>
      </c>
      <c r="BU2809" t="s">
        <v>2828</v>
      </c>
      <c r="BV2809" t="s">
        <v>86</v>
      </c>
      <c r="BY2809">
        <v>1200</v>
      </c>
      <c r="CA2809" t="s">
        <v>217</v>
      </c>
      <c r="CC2809" t="s">
        <v>214</v>
      </c>
      <c r="CD2809">
        <v>7646</v>
      </c>
      <c r="CE2809" t="s">
        <v>147</v>
      </c>
      <c r="CF2809" s="3">
        <v>43795</v>
      </c>
      <c r="CI2809">
        <v>1</v>
      </c>
      <c r="CJ2809">
        <v>1</v>
      </c>
      <c r="CK2809">
        <v>23</v>
      </c>
      <c r="CL2809" t="s">
        <v>89</v>
      </c>
    </row>
    <row r="2810" spans="1:90">
      <c r="A2810" t="s">
        <v>72</v>
      </c>
      <c r="B2810" t="s">
        <v>73</v>
      </c>
      <c r="C2810" t="s">
        <v>74</v>
      </c>
      <c r="E2810" t="str">
        <f>"FES1162724538"</f>
        <v>FES1162724538</v>
      </c>
      <c r="F2810" s="3">
        <v>43791</v>
      </c>
      <c r="G2810">
        <v>202005</v>
      </c>
      <c r="H2810" t="s">
        <v>75</v>
      </c>
      <c r="I2810" t="s">
        <v>76</v>
      </c>
      <c r="J2810" t="s">
        <v>77</v>
      </c>
      <c r="K2810" t="s">
        <v>78</v>
      </c>
      <c r="L2810" t="s">
        <v>90</v>
      </c>
      <c r="M2810" t="s">
        <v>91</v>
      </c>
      <c r="N2810" t="s">
        <v>190</v>
      </c>
      <c r="O2810" t="s">
        <v>82</v>
      </c>
      <c r="P2810" t="str">
        <f>"2170718320                    "</f>
        <v xml:space="preserve">2170718320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8.58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 s="4">
        <v>50.45</v>
      </c>
      <c r="BM2810" s="4">
        <v>7.57</v>
      </c>
      <c r="BN2810" s="4">
        <v>58.02</v>
      </c>
      <c r="BO2810" s="4">
        <v>58.02</v>
      </c>
      <c r="BQ2810" t="s">
        <v>109</v>
      </c>
      <c r="BR2810" t="s">
        <v>84</v>
      </c>
      <c r="BS2810" s="3">
        <v>43794</v>
      </c>
      <c r="BT2810" s="5">
        <v>0.37013888888888885</v>
      </c>
      <c r="BU2810" t="s">
        <v>2861</v>
      </c>
      <c r="BV2810" t="s">
        <v>86</v>
      </c>
      <c r="BY2810">
        <v>1200</v>
      </c>
      <c r="CA2810" t="s">
        <v>213</v>
      </c>
      <c r="CC2810" t="s">
        <v>91</v>
      </c>
      <c r="CD2810">
        <v>7441</v>
      </c>
      <c r="CE2810" t="s">
        <v>147</v>
      </c>
      <c r="CF2810" s="3">
        <v>43795</v>
      </c>
      <c r="CI2810">
        <v>1</v>
      </c>
      <c r="CJ2810">
        <v>1</v>
      </c>
      <c r="CK2810">
        <v>21</v>
      </c>
      <c r="CL2810" t="s">
        <v>89</v>
      </c>
    </row>
    <row r="2811" spans="1:90">
      <c r="A2811" t="s">
        <v>72</v>
      </c>
      <c r="B2811" t="s">
        <v>73</v>
      </c>
      <c r="C2811" t="s">
        <v>74</v>
      </c>
      <c r="E2811" t="str">
        <f>"FES1162724454"</f>
        <v>FES1162724454</v>
      </c>
      <c r="F2811" s="3">
        <v>43791</v>
      </c>
      <c r="G2811">
        <v>202005</v>
      </c>
      <c r="H2811" t="s">
        <v>75</v>
      </c>
      <c r="I2811" t="s">
        <v>76</v>
      </c>
      <c r="J2811" t="s">
        <v>77</v>
      </c>
      <c r="K2811" t="s">
        <v>78</v>
      </c>
      <c r="L2811" t="s">
        <v>90</v>
      </c>
      <c r="M2811" t="s">
        <v>91</v>
      </c>
      <c r="N2811" t="s">
        <v>505</v>
      </c>
      <c r="O2811" t="s">
        <v>82</v>
      </c>
      <c r="P2811" t="str">
        <f>"2170718205                    "</f>
        <v xml:space="preserve">2170718205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8.58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 s="4">
        <v>50.45</v>
      </c>
      <c r="BM2811" s="4">
        <v>7.57</v>
      </c>
      <c r="BN2811" s="4">
        <v>58.02</v>
      </c>
      <c r="BO2811" s="4">
        <v>58.02</v>
      </c>
      <c r="BQ2811" t="s">
        <v>121</v>
      </c>
      <c r="BR2811" t="s">
        <v>84</v>
      </c>
      <c r="BS2811" s="3">
        <v>43794</v>
      </c>
      <c r="BT2811" s="5">
        <v>0.37916666666666665</v>
      </c>
      <c r="BU2811" t="s">
        <v>2824</v>
      </c>
      <c r="BV2811" t="s">
        <v>86</v>
      </c>
      <c r="BY2811">
        <v>1200</v>
      </c>
      <c r="CA2811" t="s">
        <v>1121</v>
      </c>
      <c r="CC2811" t="s">
        <v>91</v>
      </c>
      <c r="CD2811">
        <v>7764</v>
      </c>
      <c r="CE2811" t="s">
        <v>147</v>
      </c>
      <c r="CF2811" s="3">
        <v>43795</v>
      </c>
      <c r="CI2811">
        <v>1</v>
      </c>
      <c r="CJ2811">
        <v>1</v>
      </c>
      <c r="CK2811">
        <v>21</v>
      </c>
      <c r="CL2811" t="s">
        <v>89</v>
      </c>
    </row>
    <row r="2812" spans="1:90">
      <c r="A2812" t="s">
        <v>72</v>
      </c>
      <c r="B2812" t="s">
        <v>73</v>
      </c>
      <c r="C2812" t="s">
        <v>74</v>
      </c>
      <c r="E2812" t="str">
        <f>"FES1162724517"</f>
        <v>FES1162724517</v>
      </c>
      <c r="F2812" s="3">
        <v>43791</v>
      </c>
      <c r="G2812">
        <v>202005</v>
      </c>
      <c r="H2812" t="s">
        <v>75</v>
      </c>
      <c r="I2812" t="s">
        <v>76</v>
      </c>
      <c r="J2812" t="s">
        <v>77</v>
      </c>
      <c r="K2812" t="s">
        <v>78</v>
      </c>
      <c r="L2812" t="s">
        <v>90</v>
      </c>
      <c r="M2812" t="s">
        <v>91</v>
      </c>
      <c r="N2812" t="s">
        <v>1481</v>
      </c>
      <c r="O2812" t="s">
        <v>82</v>
      </c>
      <c r="P2812" t="str">
        <f>"2170718294                    "</f>
        <v xml:space="preserve">2170718294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8.58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 s="4">
        <v>50.45</v>
      </c>
      <c r="BM2812" s="4">
        <v>7.57</v>
      </c>
      <c r="BN2812" s="4">
        <v>58.02</v>
      </c>
      <c r="BO2812" s="4">
        <v>58.02</v>
      </c>
      <c r="BQ2812" t="s">
        <v>246</v>
      </c>
      <c r="BR2812" t="s">
        <v>84</v>
      </c>
      <c r="BS2812" s="3">
        <v>43794</v>
      </c>
      <c r="BT2812" s="5">
        <v>0.40833333333333338</v>
      </c>
      <c r="BU2812" t="s">
        <v>2831</v>
      </c>
      <c r="BV2812" t="s">
        <v>86</v>
      </c>
      <c r="BY2812">
        <v>1200</v>
      </c>
      <c r="CA2812" t="s">
        <v>1902</v>
      </c>
      <c r="CC2812" t="s">
        <v>91</v>
      </c>
      <c r="CD2812">
        <v>7441</v>
      </c>
      <c r="CE2812" t="s">
        <v>147</v>
      </c>
      <c r="CF2812" s="3">
        <v>43795</v>
      </c>
      <c r="CI2812">
        <v>1</v>
      </c>
      <c r="CJ2812">
        <v>1</v>
      </c>
      <c r="CK2812">
        <v>21</v>
      </c>
      <c r="CL2812" t="s">
        <v>89</v>
      </c>
    </row>
    <row r="2813" spans="1:90">
      <c r="A2813" t="s">
        <v>72</v>
      </c>
      <c r="B2813" t="s">
        <v>73</v>
      </c>
      <c r="C2813" t="s">
        <v>74</v>
      </c>
      <c r="E2813" t="str">
        <f>"FES1162724500"</f>
        <v>FES1162724500</v>
      </c>
      <c r="F2813" s="3">
        <v>43791</v>
      </c>
      <c r="G2813">
        <v>202005</v>
      </c>
      <c r="H2813" t="s">
        <v>75</v>
      </c>
      <c r="I2813" t="s">
        <v>76</v>
      </c>
      <c r="J2813" t="s">
        <v>77</v>
      </c>
      <c r="K2813" t="s">
        <v>78</v>
      </c>
      <c r="L2813" t="s">
        <v>349</v>
      </c>
      <c r="M2813" t="s">
        <v>350</v>
      </c>
      <c r="N2813" t="s">
        <v>351</v>
      </c>
      <c r="O2813" t="s">
        <v>82</v>
      </c>
      <c r="P2813" t="str">
        <f>"2170718269                    "</f>
        <v xml:space="preserve">2170718269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8.58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 s="4">
        <v>50.45</v>
      </c>
      <c r="BM2813" s="4">
        <v>7.57</v>
      </c>
      <c r="BN2813" s="4">
        <v>58.02</v>
      </c>
      <c r="BO2813" s="4">
        <v>58.02</v>
      </c>
      <c r="BQ2813" t="s">
        <v>109</v>
      </c>
      <c r="BR2813" t="s">
        <v>84</v>
      </c>
      <c r="BS2813" s="3">
        <v>43794</v>
      </c>
      <c r="BT2813" s="5">
        <v>0.42638888888888887</v>
      </c>
      <c r="BU2813" t="s">
        <v>1347</v>
      </c>
      <c r="BV2813" t="s">
        <v>86</v>
      </c>
      <c r="BY2813">
        <v>1200</v>
      </c>
      <c r="CC2813" t="s">
        <v>350</v>
      </c>
      <c r="CD2813">
        <v>6536</v>
      </c>
      <c r="CE2813" t="s">
        <v>147</v>
      </c>
      <c r="CF2813" s="3">
        <v>43797</v>
      </c>
      <c r="CI2813">
        <v>1</v>
      </c>
      <c r="CJ2813">
        <v>1</v>
      </c>
      <c r="CK2813">
        <v>21</v>
      </c>
      <c r="CL2813" t="s">
        <v>89</v>
      </c>
    </row>
    <row r="2814" spans="1:90">
      <c r="A2814" t="s">
        <v>72</v>
      </c>
      <c r="B2814" t="s">
        <v>73</v>
      </c>
      <c r="C2814" t="s">
        <v>74</v>
      </c>
      <c r="E2814" t="str">
        <f>"FES1162724573"</f>
        <v>FES1162724573</v>
      </c>
      <c r="F2814" s="3">
        <v>43791</v>
      </c>
      <c r="G2814">
        <v>202005</v>
      </c>
      <c r="H2814" t="s">
        <v>75</v>
      </c>
      <c r="I2814" t="s">
        <v>76</v>
      </c>
      <c r="J2814" t="s">
        <v>77</v>
      </c>
      <c r="K2814" t="s">
        <v>78</v>
      </c>
      <c r="L2814" t="s">
        <v>691</v>
      </c>
      <c r="M2814" t="s">
        <v>692</v>
      </c>
      <c r="N2814" t="s">
        <v>1217</v>
      </c>
      <c r="O2814" t="s">
        <v>82</v>
      </c>
      <c r="P2814" t="str">
        <f>"2170718366                    "</f>
        <v xml:space="preserve">2170718366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6.71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 s="4">
        <v>39.42</v>
      </c>
      <c r="BM2814" s="4">
        <v>5.91</v>
      </c>
      <c r="BN2814" s="4">
        <v>45.33</v>
      </c>
      <c r="BO2814" s="4">
        <v>45.33</v>
      </c>
      <c r="BQ2814" t="s">
        <v>109</v>
      </c>
      <c r="BR2814" t="s">
        <v>84</v>
      </c>
      <c r="BS2814" s="3">
        <v>43794</v>
      </c>
      <c r="BT2814" s="5">
        <v>0.54305555555555551</v>
      </c>
      <c r="BU2814" t="s">
        <v>1542</v>
      </c>
      <c r="BV2814" t="s">
        <v>89</v>
      </c>
      <c r="BW2814" t="s">
        <v>596</v>
      </c>
      <c r="BX2814" t="s">
        <v>1538</v>
      </c>
      <c r="BY2814">
        <v>1200</v>
      </c>
      <c r="CA2814" t="s">
        <v>123</v>
      </c>
      <c r="CC2814" t="s">
        <v>692</v>
      </c>
      <c r="CD2814">
        <v>1559</v>
      </c>
      <c r="CE2814" t="s">
        <v>147</v>
      </c>
      <c r="CF2814" s="3">
        <v>43795</v>
      </c>
      <c r="CI2814">
        <v>1</v>
      </c>
      <c r="CJ2814">
        <v>1</v>
      </c>
      <c r="CK2814">
        <v>22</v>
      </c>
      <c r="CL2814" t="s">
        <v>89</v>
      </c>
    </row>
    <row r="2815" spans="1:90">
      <c r="A2815" t="s">
        <v>72</v>
      </c>
      <c r="B2815" t="s">
        <v>73</v>
      </c>
      <c r="C2815" t="s">
        <v>74</v>
      </c>
      <c r="E2815" t="str">
        <f>"FES1162724635"</f>
        <v>FES1162724635</v>
      </c>
      <c r="F2815" s="3">
        <v>43791</v>
      </c>
      <c r="G2815">
        <v>202005</v>
      </c>
      <c r="H2815" t="s">
        <v>75</v>
      </c>
      <c r="I2815" t="s">
        <v>76</v>
      </c>
      <c r="J2815" t="s">
        <v>77</v>
      </c>
      <c r="K2815" t="s">
        <v>78</v>
      </c>
      <c r="L2815" t="s">
        <v>825</v>
      </c>
      <c r="M2815" t="s">
        <v>826</v>
      </c>
      <c r="N2815" t="s">
        <v>2862</v>
      </c>
      <c r="O2815" t="s">
        <v>82</v>
      </c>
      <c r="P2815" t="str">
        <f>"21707184210                   "</f>
        <v xml:space="preserve">21707184210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12.07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 s="4">
        <v>70.95</v>
      </c>
      <c r="BM2815" s="4">
        <v>10.64</v>
      </c>
      <c r="BN2815" s="4">
        <v>81.59</v>
      </c>
      <c r="BO2815" s="4">
        <v>81.59</v>
      </c>
      <c r="BQ2815" t="s">
        <v>121</v>
      </c>
      <c r="BR2815" t="s">
        <v>84</v>
      </c>
      <c r="BS2815" s="3">
        <v>43794</v>
      </c>
      <c r="BT2815" s="5">
        <v>0.33333333333333331</v>
      </c>
      <c r="BU2815" t="s">
        <v>2863</v>
      </c>
      <c r="BV2815" t="s">
        <v>86</v>
      </c>
      <c r="BY2815">
        <v>1200</v>
      </c>
      <c r="CC2815" t="s">
        <v>826</v>
      </c>
      <c r="CD2815">
        <v>1759</v>
      </c>
      <c r="CE2815" t="s">
        <v>147</v>
      </c>
      <c r="CF2815" s="3">
        <v>43795</v>
      </c>
      <c r="CI2815">
        <v>1</v>
      </c>
      <c r="CJ2815">
        <v>1</v>
      </c>
      <c r="CK2815">
        <v>24</v>
      </c>
      <c r="CL2815" t="s">
        <v>89</v>
      </c>
    </row>
    <row r="2816" spans="1:90">
      <c r="A2816" t="s">
        <v>72</v>
      </c>
      <c r="B2816" t="s">
        <v>73</v>
      </c>
      <c r="C2816" t="s">
        <v>74</v>
      </c>
      <c r="E2816" t="str">
        <f>"FES1162724520"</f>
        <v>FES1162724520</v>
      </c>
      <c r="F2816" s="3">
        <v>43791</v>
      </c>
      <c r="G2816">
        <v>202005</v>
      </c>
      <c r="H2816" t="s">
        <v>75</v>
      </c>
      <c r="I2816" t="s">
        <v>76</v>
      </c>
      <c r="J2816" t="s">
        <v>77</v>
      </c>
      <c r="K2816" t="s">
        <v>78</v>
      </c>
      <c r="L2816" t="s">
        <v>75</v>
      </c>
      <c r="M2816" t="s">
        <v>76</v>
      </c>
      <c r="N2816" t="s">
        <v>360</v>
      </c>
      <c r="O2816" t="s">
        <v>82</v>
      </c>
      <c r="P2816" t="str">
        <f>"2170712763                    "</f>
        <v xml:space="preserve">2170712763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6.71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 s="4">
        <v>39.42</v>
      </c>
      <c r="BM2816" s="4">
        <v>5.91</v>
      </c>
      <c r="BN2816" s="4">
        <v>45.33</v>
      </c>
      <c r="BO2816" s="4">
        <v>45.33</v>
      </c>
      <c r="BQ2816" t="s">
        <v>109</v>
      </c>
      <c r="BR2816" t="s">
        <v>84</v>
      </c>
      <c r="BS2816" s="3">
        <v>43794</v>
      </c>
      <c r="BT2816" s="5">
        <v>0.32291666666666669</v>
      </c>
      <c r="BU2816" t="s">
        <v>2330</v>
      </c>
      <c r="BV2816" t="s">
        <v>86</v>
      </c>
      <c r="BY2816">
        <v>1200</v>
      </c>
      <c r="CA2816" t="s">
        <v>2331</v>
      </c>
      <c r="CC2816" t="s">
        <v>76</v>
      </c>
      <c r="CD2816">
        <v>1645</v>
      </c>
      <c r="CE2816" t="s">
        <v>147</v>
      </c>
      <c r="CF2816" s="3">
        <v>43795</v>
      </c>
      <c r="CI2816">
        <v>1</v>
      </c>
      <c r="CJ2816">
        <v>1</v>
      </c>
      <c r="CK2816">
        <v>22</v>
      </c>
      <c r="CL2816" t="s">
        <v>89</v>
      </c>
    </row>
    <row r="2817" spans="1:90">
      <c r="A2817" t="s">
        <v>72</v>
      </c>
      <c r="B2817" t="s">
        <v>73</v>
      </c>
      <c r="C2817" t="s">
        <v>74</v>
      </c>
      <c r="E2817" t="str">
        <f>"FES1162724598"</f>
        <v>FES1162724598</v>
      </c>
      <c r="F2817" s="3">
        <v>43791</v>
      </c>
      <c r="G2817">
        <v>202005</v>
      </c>
      <c r="H2817" t="s">
        <v>75</v>
      </c>
      <c r="I2817" t="s">
        <v>76</v>
      </c>
      <c r="J2817" t="s">
        <v>77</v>
      </c>
      <c r="K2817" t="s">
        <v>78</v>
      </c>
      <c r="L2817" t="s">
        <v>124</v>
      </c>
      <c r="M2817" t="s">
        <v>125</v>
      </c>
      <c r="N2817" t="s">
        <v>218</v>
      </c>
      <c r="O2817" t="s">
        <v>82</v>
      </c>
      <c r="P2817" t="str">
        <f>"2170701840                    "</f>
        <v xml:space="preserve">2170701840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6.71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 s="4">
        <v>39.42</v>
      </c>
      <c r="BM2817" s="4">
        <v>5.91</v>
      </c>
      <c r="BN2817" s="4">
        <v>45.33</v>
      </c>
      <c r="BO2817" s="4">
        <v>45.33</v>
      </c>
      <c r="BQ2817" t="s">
        <v>121</v>
      </c>
      <c r="BR2817" t="s">
        <v>84</v>
      </c>
      <c r="BS2817" s="3">
        <v>43794</v>
      </c>
      <c r="BT2817" s="5">
        <v>0.39513888888888887</v>
      </c>
      <c r="BU2817" t="s">
        <v>239</v>
      </c>
      <c r="BV2817" t="s">
        <v>86</v>
      </c>
      <c r="BY2817">
        <v>1200</v>
      </c>
      <c r="CA2817" t="s">
        <v>415</v>
      </c>
      <c r="CC2817" t="s">
        <v>125</v>
      </c>
      <c r="CD2817">
        <v>2094</v>
      </c>
      <c r="CE2817" t="s">
        <v>147</v>
      </c>
      <c r="CF2817" s="3">
        <v>43795</v>
      </c>
      <c r="CI2817">
        <v>1</v>
      </c>
      <c r="CJ2817">
        <v>1</v>
      </c>
      <c r="CK2817">
        <v>22</v>
      </c>
      <c r="CL2817" t="s">
        <v>89</v>
      </c>
    </row>
    <row r="2818" spans="1:90">
      <c r="A2818" t="s">
        <v>72</v>
      </c>
      <c r="B2818" t="s">
        <v>73</v>
      </c>
      <c r="C2818" t="s">
        <v>74</v>
      </c>
      <c r="E2818" t="str">
        <f>"FES1162724549"</f>
        <v>FES1162724549</v>
      </c>
      <c r="F2818" s="3">
        <v>43791</v>
      </c>
      <c r="G2818">
        <v>202005</v>
      </c>
      <c r="H2818" t="s">
        <v>75</v>
      </c>
      <c r="I2818" t="s">
        <v>76</v>
      </c>
      <c r="J2818" t="s">
        <v>77</v>
      </c>
      <c r="K2818" t="s">
        <v>78</v>
      </c>
      <c r="L2818" t="s">
        <v>482</v>
      </c>
      <c r="M2818" t="s">
        <v>483</v>
      </c>
      <c r="N2818" t="s">
        <v>1734</v>
      </c>
      <c r="O2818" t="s">
        <v>82</v>
      </c>
      <c r="P2818" t="str">
        <f>"2170718338                    "</f>
        <v xml:space="preserve">2170718338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6.71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 s="4">
        <v>39.42</v>
      </c>
      <c r="BM2818" s="4">
        <v>5.91</v>
      </c>
      <c r="BN2818" s="4">
        <v>45.33</v>
      </c>
      <c r="BO2818" s="4">
        <v>45.33</v>
      </c>
      <c r="BQ2818" t="s">
        <v>121</v>
      </c>
      <c r="BR2818" t="s">
        <v>84</v>
      </c>
      <c r="BS2818" s="3">
        <v>43794</v>
      </c>
      <c r="BT2818" s="5">
        <v>0.31944444444444448</v>
      </c>
      <c r="BU2818" t="s">
        <v>2750</v>
      </c>
      <c r="BV2818" t="s">
        <v>86</v>
      </c>
      <c r="BY2818">
        <v>1200</v>
      </c>
      <c r="CA2818" t="s">
        <v>486</v>
      </c>
      <c r="CC2818" t="s">
        <v>483</v>
      </c>
      <c r="CD2818">
        <v>1459</v>
      </c>
      <c r="CE2818" t="s">
        <v>147</v>
      </c>
      <c r="CF2818" s="3">
        <v>43795</v>
      </c>
      <c r="CI2818">
        <v>1</v>
      </c>
      <c r="CJ2818">
        <v>1</v>
      </c>
      <c r="CK2818">
        <v>22</v>
      </c>
      <c r="CL2818" t="s">
        <v>89</v>
      </c>
    </row>
    <row r="2819" spans="1:90">
      <c r="A2819" t="s">
        <v>72</v>
      </c>
      <c r="B2819" t="s">
        <v>73</v>
      </c>
      <c r="C2819" t="s">
        <v>74</v>
      </c>
      <c r="E2819" t="str">
        <f>"009935712106"</f>
        <v>009935712106</v>
      </c>
      <c r="F2819" s="3">
        <v>43791</v>
      </c>
      <c r="G2819">
        <v>202005</v>
      </c>
      <c r="H2819" t="s">
        <v>75</v>
      </c>
      <c r="I2819" t="s">
        <v>76</v>
      </c>
      <c r="J2819" t="s">
        <v>77</v>
      </c>
      <c r="K2819" t="s">
        <v>78</v>
      </c>
      <c r="L2819" t="s">
        <v>75</v>
      </c>
      <c r="M2819" t="s">
        <v>76</v>
      </c>
      <c r="N2819" t="s">
        <v>199</v>
      </c>
      <c r="O2819" t="s">
        <v>82</v>
      </c>
      <c r="P2819" t="str">
        <f>"1162723904                    "</f>
        <v xml:space="preserve">1162723904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6.71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0.7</v>
      </c>
      <c r="BJ2819">
        <v>0.5</v>
      </c>
      <c r="BK2819">
        <v>1</v>
      </c>
      <c r="BL2819" s="4">
        <v>39.42</v>
      </c>
      <c r="BM2819" s="4">
        <v>5.91</v>
      </c>
      <c r="BN2819" s="4">
        <v>45.33</v>
      </c>
      <c r="BO2819" s="4">
        <v>45.33</v>
      </c>
      <c r="BP2819" t="s">
        <v>2864</v>
      </c>
      <c r="BQ2819" t="s">
        <v>200</v>
      </c>
      <c r="BR2819" t="s">
        <v>84</v>
      </c>
      <c r="BS2819" s="3">
        <v>43794</v>
      </c>
      <c r="BT2819" s="5">
        <v>0.35416666666666669</v>
      </c>
      <c r="BU2819" t="s">
        <v>2855</v>
      </c>
      <c r="BV2819" t="s">
        <v>86</v>
      </c>
      <c r="BY2819">
        <v>2568.41</v>
      </c>
      <c r="CC2819" t="s">
        <v>76</v>
      </c>
      <c r="CD2819">
        <v>1600</v>
      </c>
      <c r="CE2819" t="s">
        <v>88</v>
      </c>
      <c r="CI2819">
        <v>1</v>
      </c>
      <c r="CJ2819">
        <v>1</v>
      </c>
      <c r="CK2819">
        <v>22</v>
      </c>
      <c r="CL2819" t="s">
        <v>89</v>
      </c>
    </row>
    <row r="2820" spans="1:90">
      <c r="A2820" t="s">
        <v>72</v>
      </c>
      <c r="B2820" t="s">
        <v>73</v>
      </c>
      <c r="C2820" t="s">
        <v>74</v>
      </c>
      <c r="E2820" t="str">
        <f>"FES1162724764"</f>
        <v>FES1162724764</v>
      </c>
      <c r="F2820" s="3">
        <v>43791</v>
      </c>
      <c r="G2820">
        <v>202005</v>
      </c>
      <c r="H2820" t="s">
        <v>75</v>
      </c>
      <c r="I2820" t="s">
        <v>76</v>
      </c>
      <c r="J2820" t="s">
        <v>77</v>
      </c>
      <c r="K2820" t="s">
        <v>78</v>
      </c>
      <c r="L2820" t="s">
        <v>112</v>
      </c>
      <c r="M2820" t="s">
        <v>113</v>
      </c>
      <c r="N2820" t="s">
        <v>332</v>
      </c>
      <c r="O2820" t="s">
        <v>82</v>
      </c>
      <c r="P2820" t="str">
        <f>"2170718553                    "</f>
        <v xml:space="preserve">2170718553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49.33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11.2</v>
      </c>
      <c r="BJ2820">
        <v>3.1</v>
      </c>
      <c r="BK2820">
        <v>11.5</v>
      </c>
      <c r="BL2820" s="4">
        <v>289.94</v>
      </c>
      <c r="BM2820" s="4">
        <v>43.49</v>
      </c>
      <c r="BN2820" s="4">
        <v>333.43</v>
      </c>
      <c r="BO2820" s="4">
        <v>333.43</v>
      </c>
      <c r="BQ2820" t="s">
        <v>109</v>
      </c>
      <c r="BR2820" t="s">
        <v>84</v>
      </c>
      <c r="BS2820" s="3">
        <v>43794</v>
      </c>
      <c r="BT2820" s="5">
        <v>0.36805555555555558</v>
      </c>
      <c r="BU2820" t="s">
        <v>2865</v>
      </c>
      <c r="BV2820" t="s">
        <v>86</v>
      </c>
      <c r="BY2820">
        <v>15292.11</v>
      </c>
      <c r="CA2820" t="s">
        <v>2212</v>
      </c>
      <c r="CC2820" t="s">
        <v>113</v>
      </c>
      <c r="CD2820">
        <v>4001</v>
      </c>
      <c r="CE2820" t="s">
        <v>88</v>
      </c>
      <c r="CF2820" s="3">
        <v>43795</v>
      </c>
      <c r="CI2820">
        <v>1</v>
      </c>
      <c r="CJ2820">
        <v>1</v>
      </c>
      <c r="CK2820">
        <v>21</v>
      </c>
      <c r="CL2820" t="s">
        <v>89</v>
      </c>
    </row>
    <row r="2821" spans="1:90">
      <c r="A2821" t="s">
        <v>72</v>
      </c>
      <c r="B2821" t="s">
        <v>73</v>
      </c>
      <c r="C2821" t="s">
        <v>74</v>
      </c>
      <c r="E2821" t="str">
        <f>"FES1162724581"</f>
        <v>FES1162724581</v>
      </c>
      <c r="F2821" s="3">
        <v>43791</v>
      </c>
      <c r="G2821">
        <v>202005</v>
      </c>
      <c r="H2821" t="s">
        <v>75</v>
      </c>
      <c r="I2821" t="s">
        <v>76</v>
      </c>
      <c r="J2821" t="s">
        <v>77</v>
      </c>
      <c r="K2821" t="s">
        <v>78</v>
      </c>
      <c r="L2821" t="s">
        <v>90</v>
      </c>
      <c r="M2821" t="s">
        <v>91</v>
      </c>
      <c r="N2821" t="s">
        <v>393</v>
      </c>
      <c r="O2821" t="s">
        <v>82</v>
      </c>
      <c r="P2821" t="str">
        <f>"21707187319                   "</f>
        <v xml:space="preserve">21707187319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40.75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9.3000000000000007</v>
      </c>
      <c r="BJ2821">
        <v>9</v>
      </c>
      <c r="BK2821">
        <v>9.5</v>
      </c>
      <c r="BL2821" s="4">
        <v>239.52</v>
      </c>
      <c r="BM2821" s="4">
        <v>35.93</v>
      </c>
      <c r="BN2821" s="4">
        <v>275.45</v>
      </c>
      <c r="BO2821" s="4">
        <v>275.45</v>
      </c>
      <c r="BQ2821" t="s">
        <v>1630</v>
      </c>
      <c r="BR2821" t="s">
        <v>84</v>
      </c>
      <c r="BS2821" s="3">
        <v>43794</v>
      </c>
      <c r="BT2821" s="5">
        <v>0.28402777777777777</v>
      </c>
      <c r="BU2821" t="s">
        <v>1631</v>
      </c>
      <c r="BV2821" t="s">
        <v>86</v>
      </c>
      <c r="BY2821">
        <v>45040.05</v>
      </c>
      <c r="CA2821" t="s">
        <v>221</v>
      </c>
      <c r="CC2821" t="s">
        <v>91</v>
      </c>
      <c r="CD2821">
        <v>7405</v>
      </c>
      <c r="CE2821" t="s">
        <v>88</v>
      </c>
      <c r="CF2821" s="3">
        <v>43795</v>
      </c>
      <c r="CI2821">
        <v>1</v>
      </c>
      <c r="CJ2821">
        <v>1</v>
      </c>
      <c r="CK2821">
        <v>21</v>
      </c>
      <c r="CL2821" t="s">
        <v>89</v>
      </c>
    </row>
    <row r="2822" spans="1:90">
      <c r="A2822" t="s">
        <v>72</v>
      </c>
      <c r="B2822" t="s">
        <v>73</v>
      </c>
      <c r="C2822" t="s">
        <v>74</v>
      </c>
      <c r="E2822" t="str">
        <f>"FES1162724765"</f>
        <v>FES1162724765</v>
      </c>
      <c r="F2822" s="3">
        <v>43791</v>
      </c>
      <c r="G2822">
        <v>202005</v>
      </c>
      <c r="H2822" t="s">
        <v>75</v>
      </c>
      <c r="I2822" t="s">
        <v>76</v>
      </c>
      <c r="J2822" t="s">
        <v>77</v>
      </c>
      <c r="K2822" t="s">
        <v>78</v>
      </c>
      <c r="L2822" t="s">
        <v>176</v>
      </c>
      <c r="M2822" t="s">
        <v>177</v>
      </c>
      <c r="N2822" t="s">
        <v>178</v>
      </c>
      <c r="O2822" t="s">
        <v>82</v>
      </c>
      <c r="P2822" t="str">
        <f>"2170718556                    "</f>
        <v xml:space="preserve">2170718556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8.58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 s="4">
        <v>50.45</v>
      </c>
      <c r="BM2822" s="4">
        <v>7.57</v>
      </c>
      <c r="BN2822" s="4">
        <v>58.02</v>
      </c>
      <c r="BO2822" s="4">
        <v>58.02</v>
      </c>
      <c r="BQ2822" t="s">
        <v>142</v>
      </c>
      <c r="BR2822" t="s">
        <v>84</v>
      </c>
      <c r="BS2822" s="3">
        <v>43794</v>
      </c>
      <c r="BT2822" s="5">
        <v>0.33333333333333331</v>
      </c>
      <c r="BU2822" t="s">
        <v>2537</v>
      </c>
      <c r="BV2822" t="s">
        <v>86</v>
      </c>
      <c r="BY2822">
        <v>1200</v>
      </c>
      <c r="CA2822" t="s">
        <v>180</v>
      </c>
      <c r="CC2822" t="s">
        <v>177</v>
      </c>
      <c r="CD2822">
        <v>3610</v>
      </c>
      <c r="CE2822" t="s">
        <v>147</v>
      </c>
      <c r="CF2822" s="3">
        <v>43795</v>
      </c>
      <c r="CI2822">
        <v>1</v>
      </c>
      <c r="CJ2822">
        <v>1</v>
      </c>
      <c r="CK2822">
        <v>21</v>
      </c>
      <c r="CL2822" t="s">
        <v>89</v>
      </c>
    </row>
    <row r="2823" spans="1:90">
      <c r="A2823" t="s">
        <v>72</v>
      </c>
      <c r="B2823" t="s">
        <v>73</v>
      </c>
      <c r="C2823" t="s">
        <v>74</v>
      </c>
      <c r="E2823" t="str">
        <f>"FES1162725767"</f>
        <v>FES1162725767</v>
      </c>
      <c r="F2823" s="3">
        <v>43798</v>
      </c>
      <c r="G2823">
        <v>202005</v>
      </c>
      <c r="H2823" t="s">
        <v>75</v>
      </c>
      <c r="I2823" t="s">
        <v>76</v>
      </c>
      <c r="J2823" t="s">
        <v>77</v>
      </c>
      <c r="K2823" t="s">
        <v>78</v>
      </c>
      <c r="L2823" t="s">
        <v>605</v>
      </c>
      <c r="M2823" t="s">
        <v>606</v>
      </c>
      <c r="N2823" t="s">
        <v>2866</v>
      </c>
      <c r="O2823" t="s">
        <v>82</v>
      </c>
      <c r="P2823" t="str">
        <f>"2170718602                    "</f>
        <v xml:space="preserve">2170718602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12.07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 s="4">
        <v>70.95</v>
      </c>
      <c r="BM2823" s="4">
        <v>10.64</v>
      </c>
      <c r="BN2823" s="4">
        <v>81.59</v>
      </c>
      <c r="BO2823" s="4">
        <v>81.59</v>
      </c>
      <c r="BQ2823" t="s">
        <v>109</v>
      </c>
      <c r="BR2823" t="s">
        <v>84</v>
      </c>
      <c r="BS2823" t="s">
        <v>201</v>
      </c>
      <c r="BY2823">
        <v>1200</v>
      </c>
      <c r="CC2823" t="s">
        <v>606</v>
      </c>
      <c r="CD2823">
        <v>407</v>
      </c>
      <c r="CE2823" t="s">
        <v>147</v>
      </c>
      <c r="CI2823">
        <v>1</v>
      </c>
      <c r="CJ2823" t="s">
        <v>201</v>
      </c>
      <c r="CK2823">
        <v>24</v>
      </c>
      <c r="CL2823" t="s">
        <v>89</v>
      </c>
    </row>
    <row r="2824" spans="1:90">
      <c r="A2824" t="s">
        <v>72</v>
      </c>
      <c r="B2824" t="s">
        <v>73</v>
      </c>
      <c r="C2824" t="s">
        <v>74</v>
      </c>
      <c r="E2824" t="str">
        <f>"FES1162721930"</f>
        <v>FES1162721930</v>
      </c>
      <c r="F2824" s="3">
        <v>43776</v>
      </c>
      <c r="G2824">
        <v>202005</v>
      </c>
      <c r="H2824" t="s">
        <v>75</v>
      </c>
      <c r="I2824" t="s">
        <v>76</v>
      </c>
      <c r="J2824" t="s">
        <v>211</v>
      </c>
      <c r="K2824" t="s">
        <v>78</v>
      </c>
      <c r="L2824" t="s">
        <v>124</v>
      </c>
      <c r="M2824" t="s">
        <v>125</v>
      </c>
      <c r="N2824" t="s">
        <v>2867</v>
      </c>
      <c r="O2824" t="s">
        <v>756</v>
      </c>
      <c r="P2824" t="str">
        <f>"2170716007                    "</f>
        <v xml:space="preserve">2170716007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15.73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6.5</v>
      </c>
      <c r="BJ2824">
        <v>15.8</v>
      </c>
      <c r="BK2824">
        <v>16</v>
      </c>
      <c r="BL2824" s="4">
        <v>92.48</v>
      </c>
      <c r="BM2824" s="4">
        <v>13.87</v>
      </c>
      <c r="BN2824" s="4">
        <v>106.35</v>
      </c>
      <c r="BO2824" s="4">
        <v>106.35</v>
      </c>
      <c r="BQ2824" t="s">
        <v>121</v>
      </c>
      <c r="BR2824" t="s">
        <v>212</v>
      </c>
      <c r="BS2824" s="3">
        <v>43777</v>
      </c>
      <c r="BT2824" s="5">
        <v>0.42638888888888887</v>
      </c>
      <c r="BU2824" t="s">
        <v>2614</v>
      </c>
      <c r="BV2824" t="s">
        <v>86</v>
      </c>
      <c r="BY2824">
        <v>78842.97</v>
      </c>
      <c r="BZ2824" t="s">
        <v>27</v>
      </c>
      <c r="CA2824" t="s">
        <v>797</v>
      </c>
      <c r="CC2824" t="s">
        <v>125</v>
      </c>
      <c r="CD2824">
        <v>2065</v>
      </c>
      <c r="CE2824" t="s">
        <v>88</v>
      </c>
      <c r="CF2824" s="3">
        <v>43780</v>
      </c>
      <c r="CI2824">
        <v>1</v>
      </c>
      <c r="CJ2824">
        <v>1</v>
      </c>
      <c r="CK2824">
        <v>32</v>
      </c>
      <c r="CL2824" t="s">
        <v>89</v>
      </c>
    </row>
    <row r="2825" spans="1:90">
      <c r="A2825" t="s">
        <v>72</v>
      </c>
      <c r="B2825" t="s">
        <v>73</v>
      </c>
      <c r="C2825" t="s">
        <v>74</v>
      </c>
      <c r="E2825" t="str">
        <f>"FES1162721947"</f>
        <v>FES1162721947</v>
      </c>
      <c r="F2825" s="3">
        <v>43776</v>
      </c>
      <c r="G2825">
        <v>202005</v>
      </c>
      <c r="H2825" t="s">
        <v>75</v>
      </c>
      <c r="I2825" t="s">
        <v>76</v>
      </c>
      <c r="J2825" t="s">
        <v>211</v>
      </c>
      <c r="K2825" t="s">
        <v>78</v>
      </c>
      <c r="L2825" t="s">
        <v>566</v>
      </c>
      <c r="M2825" t="s">
        <v>567</v>
      </c>
      <c r="N2825" t="s">
        <v>568</v>
      </c>
      <c r="O2825" t="s">
        <v>756</v>
      </c>
      <c r="P2825" t="str">
        <f>"2170716146                    "</f>
        <v xml:space="preserve">2170716146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12.07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1.5</v>
      </c>
      <c r="BJ2825">
        <v>3.2</v>
      </c>
      <c r="BK2825">
        <v>4</v>
      </c>
      <c r="BL2825" s="4">
        <v>70.95</v>
      </c>
      <c r="BM2825" s="4">
        <v>10.64</v>
      </c>
      <c r="BN2825" s="4">
        <v>81.59</v>
      </c>
      <c r="BO2825" s="4">
        <v>81.59</v>
      </c>
      <c r="BQ2825" t="s">
        <v>121</v>
      </c>
      <c r="BR2825" t="s">
        <v>212</v>
      </c>
      <c r="BS2825" s="3">
        <v>43777</v>
      </c>
      <c r="BT2825" s="5">
        <v>0.25</v>
      </c>
      <c r="BU2825" t="s">
        <v>295</v>
      </c>
      <c r="BV2825" t="s">
        <v>86</v>
      </c>
      <c r="BY2825">
        <v>15995.16</v>
      </c>
      <c r="BZ2825" t="s">
        <v>27</v>
      </c>
      <c r="CA2825" t="s">
        <v>2007</v>
      </c>
      <c r="CC2825" t="s">
        <v>567</v>
      </c>
      <c r="CD2825">
        <v>2410</v>
      </c>
      <c r="CE2825" t="s">
        <v>88</v>
      </c>
      <c r="CF2825" s="3">
        <v>43780</v>
      </c>
      <c r="CI2825">
        <v>1</v>
      </c>
      <c r="CJ2825">
        <v>1</v>
      </c>
      <c r="CK2825">
        <v>34</v>
      </c>
      <c r="CL2825" t="s">
        <v>89</v>
      </c>
    </row>
    <row r="2826" spans="1:90">
      <c r="A2826" t="s">
        <v>72</v>
      </c>
      <c r="B2826" t="s">
        <v>73</v>
      </c>
      <c r="C2826" t="s">
        <v>74</v>
      </c>
      <c r="E2826" t="str">
        <f>"FES1162721942"</f>
        <v>FES1162721942</v>
      </c>
      <c r="F2826" s="3">
        <v>43776</v>
      </c>
      <c r="G2826">
        <v>202005</v>
      </c>
      <c r="H2826" t="s">
        <v>75</v>
      </c>
      <c r="I2826" t="s">
        <v>76</v>
      </c>
      <c r="J2826" t="s">
        <v>211</v>
      </c>
      <c r="K2826" t="s">
        <v>78</v>
      </c>
      <c r="L2826" t="s">
        <v>124</v>
      </c>
      <c r="M2826" t="s">
        <v>125</v>
      </c>
      <c r="N2826" t="s">
        <v>218</v>
      </c>
      <c r="O2826" t="s">
        <v>756</v>
      </c>
      <c r="P2826" t="str">
        <f>"2170716136                    "</f>
        <v xml:space="preserve">2170716136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13.48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13</v>
      </c>
      <c r="BJ2826">
        <v>11.5</v>
      </c>
      <c r="BK2826">
        <v>13</v>
      </c>
      <c r="BL2826" s="4">
        <v>79.22</v>
      </c>
      <c r="BM2826" s="4">
        <v>11.88</v>
      </c>
      <c r="BN2826" s="4">
        <v>91.1</v>
      </c>
      <c r="BO2826" s="4">
        <v>91.1</v>
      </c>
      <c r="BQ2826" t="s">
        <v>121</v>
      </c>
      <c r="BR2826" t="s">
        <v>212</v>
      </c>
      <c r="BS2826" s="3">
        <v>43777</v>
      </c>
      <c r="BT2826" s="5">
        <v>0.43124999999999997</v>
      </c>
      <c r="BU2826" t="s">
        <v>753</v>
      </c>
      <c r="BV2826" t="s">
        <v>86</v>
      </c>
      <c r="BY2826">
        <v>57726.8</v>
      </c>
      <c r="BZ2826" t="s">
        <v>27</v>
      </c>
      <c r="CA2826" t="s">
        <v>123</v>
      </c>
      <c r="CC2826" t="s">
        <v>125</v>
      </c>
      <c r="CD2826">
        <v>2094</v>
      </c>
      <c r="CE2826" t="s">
        <v>88</v>
      </c>
      <c r="CF2826" s="3">
        <v>43780</v>
      </c>
      <c r="CI2826">
        <v>1</v>
      </c>
      <c r="CJ2826">
        <v>1</v>
      </c>
      <c r="CK2826">
        <v>32</v>
      </c>
      <c r="CL2826" t="s">
        <v>89</v>
      </c>
    </row>
    <row r="2827" spans="1:90">
      <c r="A2827" t="s">
        <v>72</v>
      </c>
      <c r="B2827" t="s">
        <v>73</v>
      </c>
      <c r="C2827" t="s">
        <v>74</v>
      </c>
      <c r="E2827" t="str">
        <f>"FES1162721877"</f>
        <v>FES1162721877</v>
      </c>
      <c r="F2827" s="3">
        <v>43777</v>
      </c>
      <c r="G2827">
        <v>202005</v>
      </c>
      <c r="H2827" t="s">
        <v>75</v>
      </c>
      <c r="I2827" t="s">
        <v>76</v>
      </c>
      <c r="J2827" t="s">
        <v>211</v>
      </c>
      <c r="K2827" t="s">
        <v>78</v>
      </c>
      <c r="L2827" t="s">
        <v>75</v>
      </c>
      <c r="M2827" t="s">
        <v>76</v>
      </c>
      <c r="N2827" t="s">
        <v>647</v>
      </c>
      <c r="O2827" t="s">
        <v>756</v>
      </c>
      <c r="P2827" t="str">
        <f>"2170711490                    "</f>
        <v xml:space="preserve">2170711490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14.98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12.5</v>
      </c>
      <c r="BJ2827">
        <v>15</v>
      </c>
      <c r="BK2827">
        <v>15</v>
      </c>
      <c r="BL2827" s="4">
        <v>88.06</v>
      </c>
      <c r="BM2827" s="4">
        <v>13.21</v>
      </c>
      <c r="BN2827" s="4">
        <v>101.27</v>
      </c>
      <c r="BO2827" s="4">
        <v>101.27</v>
      </c>
      <c r="BQ2827" t="s">
        <v>121</v>
      </c>
      <c r="BR2827" t="s">
        <v>212</v>
      </c>
      <c r="BS2827" s="3">
        <v>43780</v>
      </c>
      <c r="BT2827" s="5">
        <v>0.3125</v>
      </c>
      <c r="BU2827" t="s">
        <v>2868</v>
      </c>
      <c r="BV2827" t="s">
        <v>86</v>
      </c>
      <c r="BY2827">
        <v>74950.559999999998</v>
      </c>
      <c r="BZ2827" t="s">
        <v>27</v>
      </c>
      <c r="CC2827" t="s">
        <v>76</v>
      </c>
      <c r="CD2827">
        <v>1645</v>
      </c>
      <c r="CE2827" t="s">
        <v>88</v>
      </c>
      <c r="CF2827" s="3">
        <v>43781</v>
      </c>
      <c r="CI2827">
        <v>1</v>
      </c>
      <c r="CJ2827">
        <v>1</v>
      </c>
      <c r="CK2827">
        <v>32</v>
      </c>
      <c r="CL2827" t="s">
        <v>89</v>
      </c>
    </row>
    <row r="2828" spans="1:90">
      <c r="A2828" t="s">
        <v>72</v>
      </c>
      <c r="B2828" t="s">
        <v>73</v>
      </c>
      <c r="C2828" t="s">
        <v>74</v>
      </c>
      <c r="E2828" t="str">
        <f>"FES1162721831"</f>
        <v>FES1162721831</v>
      </c>
      <c r="F2828" s="3">
        <v>43776</v>
      </c>
      <c r="G2828">
        <v>202005</v>
      </c>
      <c r="H2828" t="s">
        <v>75</v>
      </c>
      <c r="I2828" t="s">
        <v>76</v>
      </c>
      <c r="J2828" t="s">
        <v>211</v>
      </c>
      <c r="K2828" t="s">
        <v>78</v>
      </c>
      <c r="L2828" t="s">
        <v>344</v>
      </c>
      <c r="M2828" t="s">
        <v>345</v>
      </c>
      <c r="N2828" t="s">
        <v>2161</v>
      </c>
      <c r="O2828" t="s">
        <v>756</v>
      </c>
      <c r="P2828" t="str">
        <f>"2170714398                    "</f>
        <v xml:space="preserve">2170714398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15.73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15.5</v>
      </c>
      <c r="BJ2828">
        <v>7.3</v>
      </c>
      <c r="BK2828">
        <v>16</v>
      </c>
      <c r="BL2828" s="4">
        <v>92.48</v>
      </c>
      <c r="BM2828" s="4">
        <v>13.87</v>
      </c>
      <c r="BN2828" s="4">
        <v>106.35</v>
      </c>
      <c r="BO2828" s="4">
        <v>106.35</v>
      </c>
      <c r="BQ2828" t="s">
        <v>121</v>
      </c>
      <c r="BR2828" t="s">
        <v>212</v>
      </c>
      <c r="BS2828" s="3">
        <v>43777</v>
      </c>
      <c r="BT2828" s="5">
        <v>0.4284722222222222</v>
      </c>
      <c r="BU2828" t="s">
        <v>2869</v>
      </c>
      <c r="BV2828" t="s">
        <v>86</v>
      </c>
      <c r="BY2828">
        <v>36320.54</v>
      </c>
      <c r="BZ2828" t="s">
        <v>27</v>
      </c>
      <c r="CA2828" t="s">
        <v>123</v>
      </c>
      <c r="CC2828" t="s">
        <v>345</v>
      </c>
      <c r="CD2828">
        <v>2162</v>
      </c>
      <c r="CE2828" t="s">
        <v>88</v>
      </c>
      <c r="CF2828" s="3">
        <v>43780</v>
      </c>
      <c r="CI2828">
        <v>1</v>
      </c>
      <c r="CJ2828">
        <v>1</v>
      </c>
      <c r="CK2828">
        <v>32</v>
      </c>
      <c r="CL2828" t="s">
        <v>89</v>
      </c>
    </row>
    <row r="2829" spans="1:90">
      <c r="A2829" t="s">
        <v>72</v>
      </c>
      <c r="B2829" t="s">
        <v>73</v>
      </c>
      <c r="C2829" t="s">
        <v>74</v>
      </c>
      <c r="E2829" t="str">
        <f>"FES1162721871"</f>
        <v>FES1162721871</v>
      </c>
      <c r="F2829" s="3">
        <v>43776</v>
      </c>
      <c r="G2829">
        <v>202005</v>
      </c>
      <c r="H2829" t="s">
        <v>75</v>
      </c>
      <c r="I2829" t="s">
        <v>76</v>
      </c>
      <c r="J2829" t="s">
        <v>211</v>
      </c>
      <c r="K2829" t="s">
        <v>78</v>
      </c>
      <c r="L2829" t="s">
        <v>405</v>
      </c>
      <c r="M2829" t="s">
        <v>406</v>
      </c>
      <c r="N2829" t="s">
        <v>871</v>
      </c>
      <c r="O2829" t="s">
        <v>756</v>
      </c>
      <c r="P2829" t="str">
        <f>"2170716079                    "</f>
        <v xml:space="preserve">2170716079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15.69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4.9000000000000004</v>
      </c>
      <c r="BJ2829">
        <v>1.4</v>
      </c>
      <c r="BK2829">
        <v>5</v>
      </c>
      <c r="BL2829" s="4">
        <v>92.24</v>
      </c>
      <c r="BM2829" s="4">
        <v>13.84</v>
      </c>
      <c r="BN2829" s="4">
        <v>106.08</v>
      </c>
      <c r="BO2829" s="4">
        <v>106.08</v>
      </c>
      <c r="BQ2829" t="s">
        <v>121</v>
      </c>
      <c r="BR2829" t="s">
        <v>212</v>
      </c>
      <c r="BS2829" s="3">
        <v>43777</v>
      </c>
      <c r="BT2829" s="5">
        <v>0.40972222222222227</v>
      </c>
      <c r="BU2829" t="s">
        <v>2870</v>
      </c>
      <c r="BV2829" t="s">
        <v>86</v>
      </c>
      <c r="BY2829">
        <v>7097.16</v>
      </c>
      <c r="BZ2829" t="s">
        <v>27</v>
      </c>
      <c r="CA2829" t="s">
        <v>409</v>
      </c>
      <c r="CC2829" t="s">
        <v>406</v>
      </c>
      <c r="CD2829">
        <v>250</v>
      </c>
      <c r="CE2829" t="s">
        <v>88</v>
      </c>
      <c r="CF2829" s="3">
        <v>43781</v>
      </c>
      <c r="CI2829">
        <v>1</v>
      </c>
      <c r="CJ2829">
        <v>1</v>
      </c>
      <c r="CK2829">
        <v>34</v>
      </c>
      <c r="CL2829" t="s">
        <v>89</v>
      </c>
    </row>
    <row r="2830" spans="1:90">
      <c r="A2830" t="s">
        <v>72</v>
      </c>
      <c r="B2830" t="s">
        <v>73</v>
      </c>
      <c r="C2830" t="s">
        <v>74</v>
      </c>
      <c r="E2830" t="str">
        <f>"FES1162726067"</f>
        <v>FES1162726067</v>
      </c>
      <c r="F2830" s="3">
        <v>43798</v>
      </c>
      <c r="G2830">
        <v>202005</v>
      </c>
      <c r="H2830" t="s">
        <v>75</v>
      </c>
      <c r="I2830" t="s">
        <v>76</v>
      </c>
      <c r="J2830" t="s">
        <v>77</v>
      </c>
      <c r="K2830" t="s">
        <v>78</v>
      </c>
      <c r="L2830" t="s">
        <v>124</v>
      </c>
      <c r="M2830" t="s">
        <v>125</v>
      </c>
      <c r="N2830" t="s">
        <v>218</v>
      </c>
      <c r="O2830" t="s">
        <v>82</v>
      </c>
      <c r="P2830" t="str">
        <f>"2170719545                    "</f>
        <v xml:space="preserve">2170719545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6.71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 s="4">
        <v>39.42</v>
      </c>
      <c r="BM2830" s="4">
        <v>5.91</v>
      </c>
      <c r="BN2830" s="4">
        <v>45.33</v>
      </c>
      <c r="BO2830" s="4">
        <v>45.33</v>
      </c>
      <c r="BQ2830" t="s">
        <v>121</v>
      </c>
      <c r="BR2830" t="s">
        <v>84</v>
      </c>
      <c r="BS2830" t="s">
        <v>201</v>
      </c>
      <c r="BY2830">
        <v>1200</v>
      </c>
      <c r="CC2830" t="s">
        <v>125</v>
      </c>
      <c r="CD2830">
        <v>2094</v>
      </c>
      <c r="CE2830" t="s">
        <v>147</v>
      </c>
      <c r="CI2830">
        <v>1</v>
      </c>
      <c r="CJ2830" t="s">
        <v>201</v>
      </c>
      <c r="CK2830">
        <v>22</v>
      </c>
      <c r="CL2830" t="s">
        <v>89</v>
      </c>
    </row>
    <row r="2831" spans="1:90">
      <c r="A2831" t="s">
        <v>72</v>
      </c>
      <c r="B2831" t="s">
        <v>73</v>
      </c>
      <c r="C2831" t="s">
        <v>74</v>
      </c>
      <c r="E2831" t="str">
        <f>"FES1162724586"</f>
        <v>FES1162724586</v>
      </c>
      <c r="F2831" s="3">
        <v>43791</v>
      </c>
      <c r="G2831">
        <v>202005</v>
      </c>
      <c r="H2831" t="s">
        <v>75</v>
      </c>
      <c r="I2831" t="s">
        <v>76</v>
      </c>
      <c r="J2831" t="s">
        <v>77</v>
      </c>
      <c r="K2831" t="s">
        <v>78</v>
      </c>
      <c r="L2831" t="s">
        <v>202</v>
      </c>
      <c r="M2831" t="s">
        <v>203</v>
      </c>
      <c r="N2831" t="s">
        <v>2871</v>
      </c>
      <c r="O2831" t="s">
        <v>282</v>
      </c>
      <c r="P2831" t="str">
        <f>"2170718382                    "</f>
        <v xml:space="preserve">2170718382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18.53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25.4</v>
      </c>
      <c r="BJ2831">
        <v>30.9</v>
      </c>
      <c r="BK2831">
        <v>31</v>
      </c>
      <c r="BL2831" s="4">
        <v>113.93</v>
      </c>
      <c r="BM2831" s="4">
        <v>17.09</v>
      </c>
      <c r="BN2831" s="4">
        <v>131.02000000000001</v>
      </c>
      <c r="BO2831" s="4">
        <v>131.02000000000001</v>
      </c>
      <c r="BQ2831" t="s">
        <v>142</v>
      </c>
      <c r="BR2831" t="s">
        <v>84</v>
      </c>
      <c r="BS2831" s="3">
        <v>43794</v>
      </c>
      <c r="BT2831" s="5">
        <v>0.5083333333333333</v>
      </c>
      <c r="BU2831" t="s">
        <v>2872</v>
      </c>
      <c r="BV2831" t="s">
        <v>86</v>
      </c>
      <c r="BY2831">
        <v>154370.16</v>
      </c>
      <c r="CC2831" t="s">
        <v>203</v>
      </c>
      <c r="CD2831">
        <v>1401</v>
      </c>
      <c r="CE2831" t="s">
        <v>88</v>
      </c>
      <c r="CF2831" s="3">
        <v>43795</v>
      </c>
      <c r="CI2831">
        <v>1</v>
      </c>
      <c r="CJ2831">
        <v>1</v>
      </c>
      <c r="CK2831" t="s">
        <v>379</v>
      </c>
      <c r="CL2831" t="s">
        <v>89</v>
      </c>
    </row>
    <row r="2832" spans="1:90">
      <c r="A2832" t="s">
        <v>72</v>
      </c>
      <c r="B2832" t="s">
        <v>73</v>
      </c>
      <c r="C2832" t="s">
        <v>74</v>
      </c>
      <c r="E2832" t="str">
        <f>"FES1162724349"</f>
        <v>FES1162724349</v>
      </c>
      <c r="F2832" s="3">
        <v>43791</v>
      </c>
      <c r="G2832">
        <v>202005</v>
      </c>
      <c r="H2832" t="s">
        <v>75</v>
      </c>
      <c r="I2832" t="s">
        <v>76</v>
      </c>
      <c r="J2832" t="s">
        <v>77</v>
      </c>
      <c r="K2832" t="s">
        <v>78</v>
      </c>
      <c r="L2832" t="s">
        <v>106</v>
      </c>
      <c r="M2832" t="s">
        <v>107</v>
      </c>
      <c r="N2832" t="s">
        <v>260</v>
      </c>
      <c r="O2832" t="s">
        <v>282</v>
      </c>
      <c r="P2832" t="str">
        <f>"21707152865                   "</f>
        <v xml:space="preserve">21707152865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37.130000000000003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2</v>
      </c>
      <c r="BI2832">
        <v>40.1</v>
      </c>
      <c r="BJ2832">
        <v>27.1</v>
      </c>
      <c r="BK2832">
        <v>41</v>
      </c>
      <c r="BL2832" s="4">
        <v>223.26</v>
      </c>
      <c r="BM2832" s="4">
        <v>33.49</v>
      </c>
      <c r="BN2832" s="4">
        <v>256.75</v>
      </c>
      <c r="BO2832" s="4">
        <v>256.75</v>
      </c>
      <c r="BQ2832" t="s">
        <v>121</v>
      </c>
      <c r="BR2832" t="s">
        <v>84</v>
      </c>
      <c r="BS2832" s="3">
        <v>43795</v>
      </c>
      <c r="BT2832" s="5">
        <v>0.4826388888888889</v>
      </c>
      <c r="BU2832" t="s">
        <v>710</v>
      </c>
      <c r="BV2832" t="s">
        <v>86</v>
      </c>
      <c r="BY2832">
        <v>135417.91</v>
      </c>
      <c r="CA2832" t="s">
        <v>111</v>
      </c>
      <c r="CC2832" t="s">
        <v>107</v>
      </c>
      <c r="CD2832">
        <v>6001</v>
      </c>
      <c r="CE2832" t="s">
        <v>1892</v>
      </c>
      <c r="CF2832" s="3">
        <v>43796</v>
      </c>
      <c r="CI2832">
        <v>2</v>
      </c>
      <c r="CJ2832">
        <v>2</v>
      </c>
      <c r="CK2832" t="s">
        <v>1002</v>
      </c>
      <c r="CL2832" t="s">
        <v>89</v>
      </c>
    </row>
    <row r="2833" spans="1:90">
      <c r="A2833" t="s">
        <v>72</v>
      </c>
      <c r="B2833" t="s">
        <v>73</v>
      </c>
      <c r="C2833" t="s">
        <v>74</v>
      </c>
      <c r="E2833" t="str">
        <f>"FES1162724554"</f>
        <v>FES1162724554</v>
      </c>
      <c r="F2833" s="3">
        <v>43791</v>
      </c>
      <c r="G2833">
        <v>202005</v>
      </c>
      <c r="H2833" t="s">
        <v>75</v>
      </c>
      <c r="I2833" t="s">
        <v>76</v>
      </c>
      <c r="J2833" t="s">
        <v>77</v>
      </c>
      <c r="K2833" t="s">
        <v>78</v>
      </c>
      <c r="L2833" t="s">
        <v>653</v>
      </c>
      <c r="M2833" t="s">
        <v>654</v>
      </c>
      <c r="N2833" t="s">
        <v>655</v>
      </c>
      <c r="O2833" t="s">
        <v>282</v>
      </c>
      <c r="P2833" t="str">
        <f>"2170716684                    "</f>
        <v xml:space="preserve">2170716684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16.14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22.8</v>
      </c>
      <c r="BJ2833">
        <v>17.3</v>
      </c>
      <c r="BK2833">
        <v>23</v>
      </c>
      <c r="BL2833" s="4">
        <v>99.86</v>
      </c>
      <c r="BM2833" s="4">
        <v>14.98</v>
      </c>
      <c r="BN2833" s="4">
        <v>114.84</v>
      </c>
      <c r="BO2833" s="4">
        <v>114.84</v>
      </c>
      <c r="BQ2833" t="s">
        <v>109</v>
      </c>
      <c r="BR2833" t="s">
        <v>84</v>
      </c>
      <c r="BS2833" s="3">
        <v>43794</v>
      </c>
      <c r="BT2833" s="5">
        <v>0.47916666666666669</v>
      </c>
      <c r="BU2833" t="s">
        <v>656</v>
      </c>
      <c r="BV2833" t="s">
        <v>86</v>
      </c>
      <c r="BY2833">
        <v>86311</v>
      </c>
      <c r="CA2833" t="s">
        <v>2019</v>
      </c>
      <c r="CC2833" t="s">
        <v>654</v>
      </c>
      <c r="CD2833">
        <v>4300</v>
      </c>
      <c r="CE2833" t="s">
        <v>88</v>
      </c>
      <c r="CF2833" s="3">
        <v>43795</v>
      </c>
      <c r="CI2833">
        <v>1</v>
      </c>
      <c r="CJ2833">
        <v>1</v>
      </c>
      <c r="CK2833" t="s">
        <v>711</v>
      </c>
      <c r="CL2833" t="s">
        <v>89</v>
      </c>
    </row>
    <row r="2834" spans="1:90">
      <c r="A2834" t="s">
        <v>72</v>
      </c>
      <c r="B2834" t="s">
        <v>73</v>
      </c>
      <c r="C2834" t="s">
        <v>74</v>
      </c>
      <c r="E2834" t="str">
        <f>"019911621232"</f>
        <v>019911621232</v>
      </c>
      <c r="F2834" s="3">
        <v>43788</v>
      </c>
      <c r="G2834">
        <v>202005</v>
      </c>
      <c r="H2834" t="s">
        <v>106</v>
      </c>
      <c r="I2834" t="s">
        <v>107</v>
      </c>
      <c r="J2834" t="s">
        <v>2873</v>
      </c>
      <c r="K2834" t="s">
        <v>78</v>
      </c>
      <c r="L2834" t="s">
        <v>75</v>
      </c>
      <c r="M2834" t="s">
        <v>76</v>
      </c>
      <c r="N2834" t="s">
        <v>211</v>
      </c>
      <c r="O2834" t="s">
        <v>282</v>
      </c>
      <c r="P2834" t="str">
        <f>"                              "</f>
        <v xml:space="preserve">          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17.57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0.2</v>
      </c>
      <c r="BJ2834">
        <v>0.6</v>
      </c>
      <c r="BK2834">
        <v>1</v>
      </c>
      <c r="BL2834" s="4">
        <v>108.28</v>
      </c>
      <c r="BM2834" s="4">
        <v>16.239999999999998</v>
      </c>
      <c r="BN2834" s="4">
        <v>124.52</v>
      </c>
      <c r="BO2834" s="4">
        <v>124.52</v>
      </c>
      <c r="BQ2834" t="s">
        <v>2170</v>
      </c>
      <c r="BR2834" t="s">
        <v>2874</v>
      </c>
      <c r="BS2834" s="3">
        <v>43790</v>
      </c>
      <c r="BT2834" s="5">
        <v>0.46388888888888885</v>
      </c>
      <c r="BU2834" t="s">
        <v>1016</v>
      </c>
      <c r="BV2834" t="s">
        <v>86</v>
      </c>
      <c r="BY2834">
        <v>2818.87</v>
      </c>
      <c r="CA2834" t="s">
        <v>198</v>
      </c>
      <c r="CC2834" t="s">
        <v>76</v>
      </c>
      <c r="CD2834">
        <v>1600</v>
      </c>
      <c r="CE2834" t="s">
        <v>1895</v>
      </c>
      <c r="CF2834" s="3">
        <v>43791</v>
      </c>
      <c r="CI2834">
        <v>2</v>
      </c>
      <c r="CJ2834">
        <v>2</v>
      </c>
      <c r="CK2834" t="s">
        <v>1002</v>
      </c>
      <c r="CL2834" t="s">
        <v>89</v>
      </c>
    </row>
    <row r="2835" spans="1:90">
      <c r="A2835" t="s">
        <v>72</v>
      </c>
      <c r="B2835" t="s">
        <v>73</v>
      </c>
      <c r="C2835" t="s">
        <v>74</v>
      </c>
      <c r="E2835" t="str">
        <f>"FES1162724526"</f>
        <v>FES1162724526</v>
      </c>
      <c r="F2835" s="3">
        <v>43794</v>
      </c>
      <c r="G2835">
        <v>202005</v>
      </c>
      <c r="H2835" t="s">
        <v>75</v>
      </c>
      <c r="I2835" t="s">
        <v>76</v>
      </c>
      <c r="J2835" t="s">
        <v>77</v>
      </c>
      <c r="K2835" t="s">
        <v>78</v>
      </c>
      <c r="L2835" t="s">
        <v>75</v>
      </c>
      <c r="M2835" t="s">
        <v>76</v>
      </c>
      <c r="N2835" t="s">
        <v>2451</v>
      </c>
      <c r="O2835" t="s">
        <v>82</v>
      </c>
      <c r="P2835" t="str">
        <f>"2170717399                    "</f>
        <v xml:space="preserve">2170717399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6.71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 s="4">
        <v>39.42</v>
      </c>
      <c r="BM2835" s="4">
        <v>5.91</v>
      </c>
      <c r="BN2835" s="4">
        <v>45.33</v>
      </c>
      <c r="BO2835" s="4">
        <v>45.33</v>
      </c>
      <c r="BR2835" t="s">
        <v>84</v>
      </c>
      <c r="BS2835" s="3">
        <v>43795</v>
      </c>
      <c r="BT2835" s="5">
        <v>0.3125</v>
      </c>
      <c r="BU2835" t="s">
        <v>408</v>
      </c>
      <c r="BV2835" t="s">
        <v>86</v>
      </c>
      <c r="BY2835">
        <v>1200</v>
      </c>
      <c r="CA2835" t="s">
        <v>238</v>
      </c>
      <c r="CC2835" t="s">
        <v>76</v>
      </c>
      <c r="CD2835">
        <v>1666</v>
      </c>
      <c r="CE2835" t="s">
        <v>147</v>
      </c>
      <c r="CF2835" s="3">
        <v>43796</v>
      </c>
      <c r="CI2835">
        <v>1</v>
      </c>
      <c r="CJ2835">
        <v>1</v>
      </c>
      <c r="CK2835">
        <v>22</v>
      </c>
      <c r="CL2835" t="s">
        <v>89</v>
      </c>
    </row>
    <row r="2836" spans="1:90">
      <c r="A2836" t="s">
        <v>72</v>
      </c>
      <c r="B2836" t="s">
        <v>73</v>
      </c>
      <c r="C2836" t="s">
        <v>74</v>
      </c>
      <c r="E2836" t="str">
        <f>"FES116272048"</f>
        <v>FES116272048</v>
      </c>
      <c r="F2836" s="3">
        <v>43777</v>
      </c>
      <c r="G2836">
        <v>202005</v>
      </c>
      <c r="H2836" t="s">
        <v>75</v>
      </c>
      <c r="I2836" t="s">
        <v>76</v>
      </c>
      <c r="J2836" t="s">
        <v>211</v>
      </c>
      <c r="K2836" t="s">
        <v>78</v>
      </c>
      <c r="L2836" t="s">
        <v>925</v>
      </c>
      <c r="M2836" t="s">
        <v>926</v>
      </c>
      <c r="N2836" t="s">
        <v>927</v>
      </c>
      <c r="O2836" t="s">
        <v>756</v>
      </c>
      <c r="P2836" t="str">
        <f>"2170716028                    "</f>
        <v xml:space="preserve">2170716028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15.69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4.4000000000000004</v>
      </c>
      <c r="BJ2836">
        <v>3</v>
      </c>
      <c r="BK2836">
        <v>5</v>
      </c>
      <c r="BL2836" s="4">
        <v>92.24</v>
      </c>
      <c r="BM2836" s="4">
        <v>13.84</v>
      </c>
      <c r="BN2836" s="4">
        <v>106.08</v>
      </c>
      <c r="BO2836" s="4">
        <v>106.08</v>
      </c>
      <c r="BQ2836" t="s">
        <v>121</v>
      </c>
      <c r="BR2836" t="s">
        <v>212</v>
      </c>
      <c r="BS2836" s="3">
        <v>43782</v>
      </c>
      <c r="BT2836" s="5">
        <v>0.64583333333333337</v>
      </c>
      <c r="BU2836" t="s">
        <v>1948</v>
      </c>
      <c r="BV2836" t="s">
        <v>89</v>
      </c>
      <c r="BW2836" t="s">
        <v>319</v>
      </c>
      <c r="BX2836" t="s">
        <v>1504</v>
      </c>
      <c r="BY2836">
        <v>14787.93</v>
      </c>
      <c r="BZ2836" t="s">
        <v>27</v>
      </c>
      <c r="CA2836" t="s">
        <v>929</v>
      </c>
      <c r="CC2836" t="s">
        <v>926</v>
      </c>
      <c r="CD2836">
        <v>1028</v>
      </c>
      <c r="CE2836" t="s">
        <v>88</v>
      </c>
      <c r="CI2836">
        <v>1</v>
      </c>
      <c r="CJ2836">
        <v>3</v>
      </c>
      <c r="CK2836">
        <v>34</v>
      </c>
      <c r="CL2836" t="s">
        <v>89</v>
      </c>
    </row>
    <row r="2837" spans="1:90">
      <c r="A2837" t="s">
        <v>72</v>
      </c>
      <c r="B2837" t="s">
        <v>73</v>
      </c>
      <c r="C2837" t="s">
        <v>74</v>
      </c>
      <c r="E2837" t="str">
        <f>"FES1162724867"</f>
        <v>FES1162724867</v>
      </c>
      <c r="F2837" s="3">
        <v>43794</v>
      </c>
      <c r="G2837">
        <v>202005</v>
      </c>
      <c r="H2837" t="s">
        <v>75</v>
      </c>
      <c r="I2837" t="s">
        <v>76</v>
      </c>
      <c r="J2837" t="s">
        <v>77</v>
      </c>
      <c r="K2837" t="s">
        <v>78</v>
      </c>
      <c r="L2837" t="s">
        <v>133</v>
      </c>
      <c r="M2837" t="s">
        <v>134</v>
      </c>
      <c r="N2837" t="s">
        <v>1077</v>
      </c>
      <c r="O2837" t="s">
        <v>82</v>
      </c>
      <c r="P2837" t="str">
        <f>"2170717692                    "</f>
        <v xml:space="preserve">2170717692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8.58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 s="4">
        <v>50.45</v>
      </c>
      <c r="BM2837" s="4">
        <v>7.57</v>
      </c>
      <c r="BN2837" s="4">
        <v>58.02</v>
      </c>
      <c r="BO2837" s="4">
        <v>58.02</v>
      </c>
      <c r="BQ2837" t="s">
        <v>109</v>
      </c>
      <c r="BR2837" t="s">
        <v>84</v>
      </c>
      <c r="BS2837" s="3">
        <v>43795</v>
      </c>
      <c r="BT2837" s="5">
        <v>0.3527777777777778</v>
      </c>
      <c r="BU2837" t="s">
        <v>2875</v>
      </c>
      <c r="BV2837" t="s">
        <v>86</v>
      </c>
      <c r="BY2837">
        <v>1200</v>
      </c>
      <c r="CA2837" t="s">
        <v>912</v>
      </c>
      <c r="CC2837" t="s">
        <v>134</v>
      </c>
      <c r="CD2837">
        <v>5201</v>
      </c>
      <c r="CE2837" t="s">
        <v>147</v>
      </c>
      <c r="CF2837" s="3">
        <v>43796</v>
      </c>
      <c r="CI2837">
        <v>1</v>
      </c>
      <c r="CJ2837">
        <v>1</v>
      </c>
      <c r="CK2837">
        <v>21</v>
      </c>
      <c r="CL2837" t="s">
        <v>89</v>
      </c>
    </row>
    <row r="2838" spans="1:90">
      <c r="A2838" t="s">
        <v>72</v>
      </c>
      <c r="B2838" t="s">
        <v>73</v>
      </c>
      <c r="C2838" t="s">
        <v>74</v>
      </c>
      <c r="E2838" t="str">
        <f>"FES1162724810"</f>
        <v>FES1162724810</v>
      </c>
      <c r="F2838" s="3">
        <v>43794</v>
      </c>
      <c r="G2838">
        <v>202005</v>
      </c>
      <c r="H2838" t="s">
        <v>75</v>
      </c>
      <c r="I2838" t="s">
        <v>76</v>
      </c>
      <c r="J2838" t="s">
        <v>77</v>
      </c>
      <c r="K2838" t="s">
        <v>78</v>
      </c>
      <c r="L2838" t="s">
        <v>106</v>
      </c>
      <c r="M2838" t="s">
        <v>107</v>
      </c>
      <c r="N2838" t="s">
        <v>150</v>
      </c>
      <c r="O2838" t="s">
        <v>82</v>
      </c>
      <c r="P2838" t="str">
        <f>"2170716601                    "</f>
        <v xml:space="preserve">2170716601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8.58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 s="4">
        <v>50.45</v>
      </c>
      <c r="BM2838" s="4">
        <v>7.57</v>
      </c>
      <c r="BN2838" s="4">
        <v>58.02</v>
      </c>
      <c r="BO2838" s="4">
        <v>58.02</v>
      </c>
      <c r="BQ2838" t="s">
        <v>109</v>
      </c>
      <c r="BR2838" t="s">
        <v>84</v>
      </c>
      <c r="BS2838" s="3">
        <v>43795</v>
      </c>
      <c r="BT2838" s="5">
        <v>0.4284722222222222</v>
      </c>
      <c r="BU2838" t="s">
        <v>418</v>
      </c>
      <c r="BV2838" t="s">
        <v>86</v>
      </c>
      <c r="BY2838">
        <v>1200</v>
      </c>
      <c r="CA2838" t="s">
        <v>111</v>
      </c>
      <c r="CC2838" t="s">
        <v>107</v>
      </c>
      <c r="CD2838">
        <v>6001</v>
      </c>
      <c r="CE2838" t="s">
        <v>147</v>
      </c>
      <c r="CF2838" s="3">
        <v>43796</v>
      </c>
      <c r="CI2838">
        <v>1</v>
      </c>
      <c r="CJ2838">
        <v>1</v>
      </c>
      <c r="CK2838">
        <v>21</v>
      </c>
      <c r="CL2838" t="s">
        <v>89</v>
      </c>
    </row>
    <row r="2839" spans="1:90">
      <c r="A2839" t="s">
        <v>72</v>
      </c>
      <c r="B2839" t="s">
        <v>73</v>
      </c>
      <c r="C2839" t="s">
        <v>74</v>
      </c>
      <c r="E2839" t="str">
        <f>"FES1162721028"</f>
        <v>FES1162721028</v>
      </c>
      <c r="F2839" s="3">
        <v>43773</v>
      </c>
      <c r="G2839">
        <v>202005</v>
      </c>
      <c r="H2839" t="s">
        <v>75</v>
      </c>
      <c r="I2839" t="s">
        <v>76</v>
      </c>
      <c r="J2839" t="s">
        <v>211</v>
      </c>
      <c r="K2839" t="s">
        <v>78</v>
      </c>
      <c r="L2839" t="s">
        <v>681</v>
      </c>
      <c r="M2839" t="s">
        <v>682</v>
      </c>
      <c r="N2839" t="s">
        <v>683</v>
      </c>
      <c r="O2839" t="s">
        <v>756</v>
      </c>
      <c r="P2839" t="str">
        <f>"2170715311                    "</f>
        <v xml:space="preserve">2170715311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12.36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2.2999999999999998</v>
      </c>
      <c r="BJ2839">
        <v>1.2</v>
      </c>
      <c r="BK2839">
        <v>3</v>
      </c>
      <c r="BL2839" s="4">
        <v>71.239999999999995</v>
      </c>
      <c r="BM2839" s="4">
        <v>10.69</v>
      </c>
      <c r="BN2839" s="4">
        <v>81.93</v>
      </c>
      <c r="BO2839" s="4">
        <v>81.93</v>
      </c>
      <c r="BQ2839" t="s">
        <v>121</v>
      </c>
      <c r="BR2839" t="s">
        <v>212</v>
      </c>
      <c r="BS2839" s="3">
        <v>43774</v>
      </c>
      <c r="BT2839" s="5">
        <v>0.37986111111111115</v>
      </c>
      <c r="BU2839" t="s">
        <v>684</v>
      </c>
      <c r="BV2839" t="s">
        <v>86</v>
      </c>
      <c r="BY2839">
        <v>6187.28</v>
      </c>
      <c r="BZ2839" t="s">
        <v>27</v>
      </c>
      <c r="CA2839" t="s">
        <v>685</v>
      </c>
      <c r="CC2839" t="s">
        <v>682</v>
      </c>
      <c r="CD2839">
        <v>1961</v>
      </c>
      <c r="CE2839" t="s">
        <v>88</v>
      </c>
      <c r="CI2839">
        <v>1</v>
      </c>
      <c r="CJ2839">
        <v>1</v>
      </c>
      <c r="CK2839">
        <v>34</v>
      </c>
      <c r="CL2839" t="s">
        <v>89</v>
      </c>
    </row>
    <row r="2840" spans="1:90">
      <c r="A2840" t="s">
        <v>72</v>
      </c>
      <c r="B2840" t="s">
        <v>73</v>
      </c>
      <c r="C2840" t="s">
        <v>74</v>
      </c>
      <c r="E2840" t="str">
        <f>"FES1162720816"</f>
        <v>FES1162720816</v>
      </c>
      <c r="F2840" s="3">
        <v>43770</v>
      </c>
      <c r="G2840">
        <v>202005</v>
      </c>
      <c r="H2840" t="s">
        <v>75</v>
      </c>
      <c r="I2840" t="s">
        <v>76</v>
      </c>
      <c r="J2840" t="s">
        <v>211</v>
      </c>
      <c r="K2840" t="s">
        <v>78</v>
      </c>
      <c r="L2840" t="s">
        <v>825</v>
      </c>
      <c r="M2840" t="s">
        <v>826</v>
      </c>
      <c r="N2840" t="s">
        <v>939</v>
      </c>
      <c r="O2840" t="s">
        <v>756</v>
      </c>
      <c r="P2840" t="str">
        <f>"21707814944                   "</f>
        <v xml:space="preserve">21707814944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12.36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1.4</v>
      </c>
      <c r="BJ2840">
        <v>2.5</v>
      </c>
      <c r="BK2840">
        <v>3</v>
      </c>
      <c r="BL2840" s="4">
        <v>71.239999999999995</v>
      </c>
      <c r="BM2840" s="4">
        <v>10.69</v>
      </c>
      <c r="BN2840" s="4">
        <v>81.93</v>
      </c>
      <c r="BO2840" s="4">
        <v>81.93</v>
      </c>
      <c r="BQ2840" t="s">
        <v>121</v>
      </c>
      <c r="BR2840" t="s">
        <v>212</v>
      </c>
      <c r="BS2840" s="3">
        <v>43773</v>
      </c>
      <c r="BT2840" s="5">
        <v>0.34027777777777773</v>
      </c>
      <c r="BU2840" t="s">
        <v>2876</v>
      </c>
      <c r="BV2840" t="s">
        <v>86</v>
      </c>
      <c r="BY2840">
        <v>12479.88</v>
      </c>
      <c r="BZ2840" t="s">
        <v>27</v>
      </c>
      <c r="CC2840" t="s">
        <v>826</v>
      </c>
      <c r="CD2840">
        <v>1759</v>
      </c>
      <c r="CE2840" t="s">
        <v>88</v>
      </c>
      <c r="CF2840" s="3">
        <v>43774</v>
      </c>
      <c r="CI2840">
        <v>1</v>
      </c>
      <c r="CJ2840">
        <v>1</v>
      </c>
      <c r="CK2840">
        <v>34</v>
      </c>
      <c r="CL2840" t="s">
        <v>89</v>
      </c>
    </row>
    <row r="2841" spans="1:90">
      <c r="A2841" t="s">
        <v>72</v>
      </c>
      <c r="B2841" t="s">
        <v>73</v>
      </c>
      <c r="C2841" t="s">
        <v>74</v>
      </c>
      <c r="E2841" t="str">
        <f>"FES1162724900"</f>
        <v>FES1162724900</v>
      </c>
      <c r="F2841" s="3">
        <v>43794</v>
      </c>
      <c r="G2841">
        <v>202005</v>
      </c>
      <c r="H2841" t="s">
        <v>75</v>
      </c>
      <c r="I2841" t="s">
        <v>76</v>
      </c>
      <c r="J2841" t="s">
        <v>77</v>
      </c>
      <c r="K2841" t="s">
        <v>78</v>
      </c>
      <c r="L2841" t="s">
        <v>90</v>
      </c>
      <c r="M2841" t="s">
        <v>91</v>
      </c>
      <c r="N2841" t="s">
        <v>1987</v>
      </c>
      <c r="O2841" t="s">
        <v>82</v>
      </c>
      <c r="P2841" t="str">
        <f>"2170718580                    "</f>
        <v xml:space="preserve">2170718580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8.58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 s="4">
        <v>50.45</v>
      </c>
      <c r="BM2841" s="4">
        <v>7.57</v>
      </c>
      <c r="BN2841" s="4">
        <v>58.02</v>
      </c>
      <c r="BO2841" s="4">
        <v>58.02</v>
      </c>
      <c r="BQ2841" t="s">
        <v>109</v>
      </c>
      <c r="BR2841" t="s">
        <v>84</v>
      </c>
      <c r="BS2841" s="3">
        <v>43795</v>
      </c>
      <c r="BT2841" s="5">
        <v>0.34027777777777773</v>
      </c>
      <c r="BU2841" t="s">
        <v>2877</v>
      </c>
      <c r="BV2841" t="s">
        <v>86</v>
      </c>
      <c r="BY2841">
        <v>1200</v>
      </c>
      <c r="CA2841" t="s">
        <v>221</v>
      </c>
      <c r="CC2841" t="s">
        <v>91</v>
      </c>
      <c r="CD2841">
        <v>7441</v>
      </c>
      <c r="CE2841" t="s">
        <v>147</v>
      </c>
      <c r="CF2841" s="3">
        <v>43796</v>
      </c>
      <c r="CI2841">
        <v>1</v>
      </c>
      <c r="CJ2841">
        <v>1</v>
      </c>
      <c r="CK2841">
        <v>21</v>
      </c>
      <c r="CL2841" t="s">
        <v>89</v>
      </c>
    </row>
    <row r="2842" spans="1:90">
      <c r="A2842" t="s">
        <v>72</v>
      </c>
      <c r="B2842" t="s">
        <v>73</v>
      </c>
      <c r="C2842" t="s">
        <v>74</v>
      </c>
      <c r="E2842" t="str">
        <f>"FES1162724928"</f>
        <v>FES1162724928</v>
      </c>
      <c r="F2842" s="3">
        <v>43794</v>
      </c>
      <c r="G2842">
        <v>202005</v>
      </c>
      <c r="H2842" t="s">
        <v>75</v>
      </c>
      <c r="I2842" t="s">
        <v>76</v>
      </c>
      <c r="J2842" t="s">
        <v>77</v>
      </c>
      <c r="K2842" t="s">
        <v>78</v>
      </c>
      <c r="L2842" t="s">
        <v>124</v>
      </c>
      <c r="M2842" t="s">
        <v>125</v>
      </c>
      <c r="N2842" t="s">
        <v>218</v>
      </c>
      <c r="O2842" t="s">
        <v>82</v>
      </c>
      <c r="P2842" t="str">
        <f>"2170718607                    "</f>
        <v xml:space="preserve">2170718607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6.71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 s="4">
        <v>39.42</v>
      </c>
      <c r="BM2842" s="4">
        <v>5.91</v>
      </c>
      <c r="BN2842" s="4">
        <v>45.33</v>
      </c>
      <c r="BO2842" s="4">
        <v>45.33</v>
      </c>
      <c r="BQ2842" t="s">
        <v>121</v>
      </c>
      <c r="BR2842" t="s">
        <v>84</v>
      </c>
      <c r="BS2842" s="3">
        <v>43795</v>
      </c>
      <c r="BT2842" s="5">
        <v>0.37222222222222223</v>
      </c>
      <c r="BU2842" t="s">
        <v>1659</v>
      </c>
      <c r="BV2842" t="s">
        <v>86</v>
      </c>
      <c r="BY2842">
        <v>1200</v>
      </c>
      <c r="CC2842" t="s">
        <v>125</v>
      </c>
      <c r="CD2842">
        <v>2094</v>
      </c>
      <c r="CE2842" t="s">
        <v>147</v>
      </c>
      <c r="CF2842" s="3">
        <v>43796</v>
      </c>
      <c r="CI2842">
        <v>1</v>
      </c>
      <c r="CJ2842">
        <v>1</v>
      </c>
      <c r="CK2842">
        <v>22</v>
      </c>
      <c r="CL2842" t="s">
        <v>89</v>
      </c>
    </row>
    <row r="2843" spans="1:90">
      <c r="A2843" t="s">
        <v>72</v>
      </c>
      <c r="B2843" t="s">
        <v>73</v>
      </c>
      <c r="C2843" t="s">
        <v>74</v>
      </c>
      <c r="E2843" t="str">
        <f>"FES1162725053"</f>
        <v>FES1162725053</v>
      </c>
      <c r="F2843" s="3">
        <v>43794</v>
      </c>
      <c r="G2843">
        <v>202005</v>
      </c>
      <c r="H2843" t="s">
        <v>75</v>
      </c>
      <c r="I2843" t="s">
        <v>76</v>
      </c>
      <c r="J2843" t="s">
        <v>77</v>
      </c>
      <c r="K2843" t="s">
        <v>78</v>
      </c>
      <c r="L2843" t="s">
        <v>75</v>
      </c>
      <c r="M2843" t="s">
        <v>76</v>
      </c>
      <c r="N2843" t="s">
        <v>240</v>
      </c>
      <c r="O2843" t="s">
        <v>82</v>
      </c>
      <c r="P2843" t="str">
        <f>"2170718357                    "</f>
        <v xml:space="preserve">2170718357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6.71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1.2</v>
      </c>
      <c r="BJ2843">
        <v>0.9</v>
      </c>
      <c r="BK2843">
        <v>1.5</v>
      </c>
      <c r="BL2843" s="4">
        <v>39.42</v>
      </c>
      <c r="BM2843" s="4">
        <v>5.91</v>
      </c>
      <c r="BN2843" s="4">
        <v>45.33</v>
      </c>
      <c r="BO2843" s="4">
        <v>45.33</v>
      </c>
      <c r="BQ2843" t="s">
        <v>109</v>
      </c>
      <c r="BR2843" t="s">
        <v>84</v>
      </c>
      <c r="BS2843" s="3">
        <v>43795</v>
      </c>
      <c r="BT2843" s="5">
        <v>0.3298611111111111</v>
      </c>
      <c r="BU2843" t="s">
        <v>2878</v>
      </c>
      <c r="BV2843" t="s">
        <v>86</v>
      </c>
      <c r="BY2843">
        <v>4532.62</v>
      </c>
      <c r="CA2843" t="s">
        <v>2334</v>
      </c>
      <c r="CC2843" t="s">
        <v>76</v>
      </c>
      <c r="CD2843">
        <v>1601</v>
      </c>
      <c r="CE2843" t="s">
        <v>88</v>
      </c>
      <c r="CF2843" s="3">
        <v>43796</v>
      </c>
      <c r="CI2843">
        <v>1</v>
      </c>
      <c r="CJ2843">
        <v>1</v>
      </c>
      <c r="CK2843">
        <v>22</v>
      </c>
      <c r="CL2843" t="s">
        <v>89</v>
      </c>
    </row>
    <row r="2844" spans="1:90">
      <c r="A2844" t="s">
        <v>72</v>
      </c>
      <c r="B2844" t="s">
        <v>73</v>
      </c>
      <c r="C2844" t="s">
        <v>74</v>
      </c>
      <c r="E2844" t="str">
        <f>"FES1162725068"</f>
        <v>FES1162725068</v>
      </c>
      <c r="F2844" s="3">
        <v>43794</v>
      </c>
      <c r="G2844">
        <v>202005</v>
      </c>
      <c r="H2844" t="s">
        <v>75</v>
      </c>
      <c r="I2844" t="s">
        <v>76</v>
      </c>
      <c r="J2844" t="s">
        <v>77</v>
      </c>
      <c r="K2844" t="s">
        <v>78</v>
      </c>
      <c r="L2844" t="s">
        <v>482</v>
      </c>
      <c r="M2844" t="s">
        <v>483</v>
      </c>
      <c r="N2844" t="s">
        <v>594</v>
      </c>
      <c r="O2844" t="s">
        <v>82</v>
      </c>
      <c r="P2844" t="str">
        <f>"2170718807                    "</f>
        <v xml:space="preserve">2170718807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7.51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2.2999999999999998</v>
      </c>
      <c r="BJ2844">
        <v>0.8</v>
      </c>
      <c r="BK2844">
        <v>2.5</v>
      </c>
      <c r="BL2844" s="4">
        <v>44.14</v>
      </c>
      <c r="BM2844" s="4">
        <v>6.62</v>
      </c>
      <c r="BN2844" s="4">
        <v>50.76</v>
      </c>
      <c r="BO2844" s="4">
        <v>50.76</v>
      </c>
      <c r="BQ2844" t="s">
        <v>109</v>
      </c>
      <c r="BR2844" t="s">
        <v>84</v>
      </c>
      <c r="BS2844" s="3">
        <v>43795</v>
      </c>
      <c r="BT2844" s="5">
        <v>0.38541666666666669</v>
      </c>
      <c r="BU2844" t="s">
        <v>1526</v>
      </c>
      <c r="BV2844" t="s">
        <v>86</v>
      </c>
      <c r="BY2844">
        <v>4020.84</v>
      </c>
      <c r="CC2844" t="s">
        <v>483</v>
      </c>
      <c r="CD2844">
        <v>1459</v>
      </c>
      <c r="CE2844" t="s">
        <v>1598</v>
      </c>
      <c r="CF2844" s="3">
        <v>43796</v>
      </c>
      <c r="CI2844">
        <v>1</v>
      </c>
      <c r="CJ2844">
        <v>1</v>
      </c>
      <c r="CK2844">
        <v>22</v>
      </c>
      <c r="CL2844" t="s">
        <v>89</v>
      </c>
    </row>
    <row r="2845" spans="1:90">
      <c r="A2845" t="s">
        <v>72</v>
      </c>
      <c r="B2845" t="s">
        <v>73</v>
      </c>
      <c r="C2845" t="s">
        <v>74</v>
      </c>
      <c r="E2845" t="str">
        <f>"FES1162724787"</f>
        <v>FES1162724787</v>
      </c>
      <c r="F2845" s="3">
        <v>43794</v>
      </c>
      <c r="G2845">
        <v>202005</v>
      </c>
      <c r="H2845" t="s">
        <v>75</v>
      </c>
      <c r="I2845" t="s">
        <v>76</v>
      </c>
      <c r="J2845" t="s">
        <v>77</v>
      </c>
      <c r="K2845" t="s">
        <v>78</v>
      </c>
      <c r="L2845" t="s">
        <v>124</v>
      </c>
      <c r="M2845" t="s">
        <v>125</v>
      </c>
      <c r="N2845" t="s">
        <v>1709</v>
      </c>
      <c r="O2845" t="s">
        <v>82</v>
      </c>
      <c r="P2845" t="str">
        <f>"2170716421                    "</f>
        <v xml:space="preserve">2170716421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6.71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1.3</v>
      </c>
      <c r="BJ2845">
        <v>1.7</v>
      </c>
      <c r="BK2845">
        <v>2</v>
      </c>
      <c r="BL2845" s="4">
        <v>39.42</v>
      </c>
      <c r="BM2845" s="4">
        <v>5.91</v>
      </c>
      <c r="BN2845" s="4">
        <v>45.33</v>
      </c>
      <c r="BO2845" s="4">
        <v>45.33</v>
      </c>
      <c r="BQ2845" t="s">
        <v>109</v>
      </c>
      <c r="BR2845" t="s">
        <v>84</v>
      </c>
      <c r="BS2845" s="3">
        <v>43795</v>
      </c>
      <c r="BT2845" s="5">
        <v>0.33333333333333331</v>
      </c>
      <c r="BU2845" t="s">
        <v>2879</v>
      </c>
      <c r="BV2845" t="s">
        <v>86</v>
      </c>
      <c r="BY2845">
        <v>8396.4599999999991</v>
      </c>
      <c r="CC2845" t="s">
        <v>125</v>
      </c>
      <c r="CD2845">
        <v>2013</v>
      </c>
      <c r="CE2845" t="s">
        <v>1598</v>
      </c>
      <c r="CF2845" s="3">
        <v>43796</v>
      </c>
      <c r="CI2845">
        <v>1</v>
      </c>
      <c r="CJ2845">
        <v>1</v>
      </c>
      <c r="CK2845">
        <v>22</v>
      </c>
      <c r="CL2845" t="s">
        <v>89</v>
      </c>
    </row>
    <row r="2846" spans="1:90">
      <c r="A2846" t="s">
        <v>72</v>
      </c>
      <c r="B2846" t="s">
        <v>73</v>
      </c>
      <c r="C2846" t="s">
        <v>74</v>
      </c>
      <c r="E2846" t="str">
        <f>"FES1162724987"</f>
        <v>FES1162724987</v>
      </c>
      <c r="F2846" s="3">
        <v>43794</v>
      </c>
      <c r="G2846">
        <v>202005</v>
      </c>
      <c r="H2846" t="s">
        <v>75</v>
      </c>
      <c r="I2846" t="s">
        <v>76</v>
      </c>
      <c r="J2846" t="s">
        <v>77</v>
      </c>
      <c r="K2846" t="s">
        <v>78</v>
      </c>
      <c r="L2846" t="s">
        <v>106</v>
      </c>
      <c r="M2846" t="s">
        <v>107</v>
      </c>
      <c r="N2846" t="s">
        <v>771</v>
      </c>
      <c r="O2846" t="s">
        <v>82</v>
      </c>
      <c r="P2846" t="str">
        <f>"2170718702                    "</f>
        <v xml:space="preserve">2170718702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8.58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 s="4">
        <v>50.45</v>
      </c>
      <c r="BM2846" s="4">
        <v>7.57</v>
      </c>
      <c r="BN2846" s="4">
        <v>58.02</v>
      </c>
      <c r="BO2846" s="4">
        <v>58.02</v>
      </c>
      <c r="BQ2846" t="s">
        <v>109</v>
      </c>
      <c r="BR2846" t="s">
        <v>84</v>
      </c>
      <c r="BS2846" s="3">
        <v>43795</v>
      </c>
      <c r="BT2846" s="5">
        <v>0.42569444444444443</v>
      </c>
      <c r="BU2846" t="s">
        <v>1816</v>
      </c>
      <c r="BV2846" t="s">
        <v>86</v>
      </c>
      <c r="BY2846">
        <v>1200</v>
      </c>
      <c r="CA2846" t="s">
        <v>773</v>
      </c>
      <c r="CC2846" t="s">
        <v>107</v>
      </c>
      <c r="CD2846">
        <v>6012</v>
      </c>
      <c r="CE2846" t="s">
        <v>147</v>
      </c>
      <c r="CF2846" s="3">
        <v>43796</v>
      </c>
      <c r="CI2846">
        <v>1</v>
      </c>
      <c r="CJ2846">
        <v>1</v>
      </c>
      <c r="CK2846">
        <v>21</v>
      </c>
      <c r="CL2846" t="s">
        <v>89</v>
      </c>
    </row>
    <row r="2847" spans="1:90">
      <c r="A2847" t="s">
        <v>72</v>
      </c>
      <c r="B2847" t="s">
        <v>73</v>
      </c>
      <c r="C2847" t="s">
        <v>74</v>
      </c>
      <c r="E2847" t="str">
        <f>"FES1162724818"</f>
        <v>FES1162724818</v>
      </c>
      <c r="F2847" s="3">
        <v>43794</v>
      </c>
      <c r="G2847">
        <v>202005</v>
      </c>
      <c r="H2847" t="s">
        <v>75</v>
      </c>
      <c r="I2847" t="s">
        <v>76</v>
      </c>
      <c r="J2847" t="s">
        <v>77</v>
      </c>
      <c r="K2847" t="s">
        <v>78</v>
      </c>
      <c r="L2847" t="s">
        <v>90</v>
      </c>
      <c r="M2847" t="s">
        <v>91</v>
      </c>
      <c r="N2847" t="s">
        <v>678</v>
      </c>
      <c r="O2847" t="s">
        <v>82</v>
      </c>
      <c r="P2847" t="str">
        <f>"2170716652                    "</f>
        <v xml:space="preserve">2170716652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8.58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 s="4">
        <v>50.45</v>
      </c>
      <c r="BM2847" s="4">
        <v>7.57</v>
      </c>
      <c r="BN2847" s="4">
        <v>58.02</v>
      </c>
      <c r="BO2847" s="4">
        <v>58.02</v>
      </c>
      <c r="BQ2847" t="s">
        <v>121</v>
      </c>
      <c r="BR2847" t="s">
        <v>84</v>
      </c>
      <c r="BS2847" s="3">
        <v>43795</v>
      </c>
      <c r="BT2847" s="5">
        <v>0.41250000000000003</v>
      </c>
      <c r="BU2847" t="s">
        <v>2880</v>
      </c>
      <c r="BV2847" t="s">
        <v>86</v>
      </c>
      <c r="BY2847">
        <v>1200</v>
      </c>
      <c r="CA2847" t="s">
        <v>515</v>
      </c>
      <c r="CC2847" t="s">
        <v>91</v>
      </c>
      <c r="CD2847">
        <v>7500</v>
      </c>
      <c r="CE2847" t="s">
        <v>147</v>
      </c>
      <c r="CF2847" s="3">
        <v>43796</v>
      </c>
      <c r="CI2847">
        <v>1</v>
      </c>
      <c r="CJ2847">
        <v>1</v>
      </c>
      <c r="CK2847">
        <v>21</v>
      </c>
      <c r="CL2847" t="s">
        <v>89</v>
      </c>
    </row>
    <row r="2848" spans="1:90">
      <c r="A2848" t="s">
        <v>72</v>
      </c>
      <c r="B2848" t="s">
        <v>73</v>
      </c>
      <c r="C2848" t="s">
        <v>74</v>
      </c>
      <c r="E2848" t="str">
        <f>"FES1162724892"</f>
        <v>FES1162724892</v>
      </c>
      <c r="F2848" s="3">
        <v>43794</v>
      </c>
      <c r="G2848">
        <v>202005</v>
      </c>
      <c r="H2848" t="s">
        <v>75</v>
      </c>
      <c r="I2848" t="s">
        <v>76</v>
      </c>
      <c r="J2848" t="s">
        <v>77</v>
      </c>
      <c r="K2848" t="s">
        <v>78</v>
      </c>
      <c r="L2848" t="s">
        <v>2659</v>
      </c>
      <c r="M2848" t="s">
        <v>2660</v>
      </c>
      <c r="N2848" t="s">
        <v>2661</v>
      </c>
      <c r="O2848" t="s">
        <v>82</v>
      </c>
      <c r="P2848" t="str">
        <f>"217071519                     "</f>
        <v xml:space="preserve">217071519 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16.63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0.9</v>
      </c>
      <c r="BJ2848">
        <v>1.3</v>
      </c>
      <c r="BK2848">
        <v>1.5</v>
      </c>
      <c r="BL2848" s="4">
        <v>97.75</v>
      </c>
      <c r="BM2848" s="4">
        <v>14.66</v>
      </c>
      <c r="BN2848" s="4">
        <v>112.41</v>
      </c>
      <c r="BO2848" s="4">
        <v>112.41</v>
      </c>
      <c r="BR2848" t="s">
        <v>84</v>
      </c>
      <c r="BS2848" s="3">
        <v>43796</v>
      </c>
      <c r="BT2848" s="5">
        <v>0.48472222222222222</v>
      </c>
      <c r="BU2848" t="s">
        <v>2881</v>
      </c>
      <c r="BV2848" t="s">
        <v>86</v>
      </c>
      <c r="BY2848">
        <v>6514.05</v>
      </c>
      <c r="CC2848" t="s">
        <v>2660</v>
      </c>
      <c r="CD2848">
        <v>6335</v>
      </c>
      <c r="CE2848" t="s">
        <v>88</v>
      </c>
      <c r="CI2848">
        <v>3</v>
      </c>
      <c r="CJ2848">
        <v>2</v>
      </c>
      <c r="CK2848">
        <v>23</v>
      </c>
      <c r="CL2848" t="s">
        <v>89</v>
      </c>
    </row>
    <row r="2849" spans="1:90">
      <c r="A2849" t="s">
        <v>72</v>
      </c>
      <c r="B2849" t="s">
        <v>73</v>
      </c>
      <c r="C2849" t="s">
        <v>74</v>
      </c>
      <c r="E2849" t="str">
        <f>"FES1162724961"</f>
        <v>FES1162724961</v>
      </c>
      <c r="F2849" s="3">
        <v>43794</v>
      </c>
      <c r="G2849">
        <v>202005</v>
      </c>
      <c r="H2849" t="s">
        <v>75</v>
      </c>
      <c r="I2849" t="s">
        <v>76</v>
      </c>
      <c r="J2849" t="s">
        <v>77</v>
      </c>
      <c r="K2849" t="s">
        <v>78</v>
      </c>
      <c r="L2849" t="s">
        <v>90</v>
      </c>
      <c r="M2849" t="s">
        <v>91</v>
      </c>
      <c r="N2849" t="s">
        <v>1751</v>
      </c>
      <c r="O2849" t="s">
        <v>82</v>
      </c>
      <c r="P2849" t="str">
        <f>"2170718660                    "</f>
        <v xml:space="preserve">2170718660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8.58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 s="4">
        <v>50.45</v>
      </c>
      <c r="BM2849" s="4">
        <v>7.57</v>
      </c>
      <c r="BN2849" s="4">
        <v>58.02</v>
      </c>
      <c r="BO2849" s="4">
        <v>58.02</v>
      </c>
      <c r="BQ2849" t="s">
        <v>142</v>
      </c>
      <c r="BR2849" t="s">
        <v>84</v>
      </c>
      <c r="BS2849" s="3">
        <v>43795</v>
      </c>
      <c r="BT2849" s="5">
        <v>0.36388888888888887</v>
      </c>
      <c r="BU2849" t="s">
        <v>2629</v>
      </c>
      <c r="BV2849" t="s">
        <v>86</v>
      </c>
      <c r="BY2849">
        <v>1200</v>
      </c>
      <c r="CA2849" t="s">
        <v>1281</v>
      </c>
      <c r="CC2849" t="s">
        <v>91</v>
      </c>
      <c r="CD2849">
        <v>7800</v>
      </c>
      <c r="CE2849" t="s">
        <v>147</v>
      </c>
      <c r="CF2849" s="3">
        <v>43796</v>
      </c>
      <c r="CI2849">
        <v>1</v>
      </c>
      <c r="CJ2849">
        <v>1</v>
      </c>
      <c r="CK2849">
        <v>21</v>
      </c>
      <c r="CL2849" t="s">
        <v>89</v>
      </c>
    </row>
    <row r="2850" spans="1:90">
      <c r="A2850" t="s">
        <v>72</v>
      </c>
      <c r="B2850" t="s">
        <v>73</v>
      </c>
      <c r="C2850" t="s">
        <v>74</v>
      </c>
      <c r="E2850" t="str">
        <f>"FES1162724830"</f>
        <v>FES1162724830</v>
      </c>
      <c r="F2850" s="3">
        <v>43794</v>
      </c>
      <c r="G2850">
        <v>202005</v>
      </c>
      <c r="H2850" t="s">
        <v>75</v>
      </c>
      <c r="I2850" t="s">
        <v>76</v>
      </c>
      <c r="J2850" t="s">
        <v>77</v>
      </c>
      <c r="K2850" t="s">
        <v>78</v>
      </c>
      <c r="L2850" t="s">
        <v>691</v>
      </c>
      <c r="M2850" t="s">
        <v>692</v>
      </c>
      <c r="N2850" t="s">
        <v>2882</v>
      </c>
      <c r="O2850" t="s">
        <v>82</v>
      </c>
      <c r="P2850" t="str">
        <f>"2170716737                    "</f>
        <v xml:space="preserve">2170716737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6.71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1.5</v>
      </c>
      <c r="BJ2850">
        <v>0.9</v>
      </c>
      <c r="BK2850">
        <v>1.5</v>
      </c>
      <c r="BL2850" s="4">
        <v>39.42</v>
      </c>
      <c r="BM2850" s="4">
        <v>5.91</v>
      </c>
      <c r="BN2850" s="4">
        <v>45.33</v>
      </c>
      <c r="BO2850" s="4">
        <v>45.33</v>
      </c>
      <c r="BQ2850" t="s">
        <v>109</v>
      </c>
      <c r="BR2850" t="s">
        <v>84</v>
      </c>
      <c r="BS2850" s="3">
        <v>43795</v>
      </c>
      <c r="BT2850" s="5">
        <v>0.40625</v>
      </c>
      <c r="BU2850" t="s">
        <v>370</v>
      </c>
      <c r="BV2850" t="s">
        <v>86</v>
      </c>
      <c r="BY2850">
        <v>4445.7</v>
      </c>
      <c r="CC2850" t="s">
        <v>692</v>
      </c>
      <c r="CD2850">
        <v>1559</v>
      </c>
      <c r="CE2850" t="s">
        <v>1598</v>
      </c>
      <c r="CF2850" s="3">
        <v>43796</v>
      </c>
      <c r="CI2850">
        <v>1</v>
      </c>
      <c r="CJ2850">
        <v>1</v>
      </c>
      <c r="CK2850">
        <v>22</v>
      </c>
      <c r="CL2850" t="s">
        <v>89</v>
      </c>
    </row>
    <row r="2851" spans="1:90">
      <c r="A2851" t="s">
        <v>72</v>
      </c>
      <c r="B2851" t="s">
        <v>73</v>
      </c>
      <c r="C2851" t="s">
        <v>74</v>
      </c>
      <c r="E2851" t="str">
        <f>"FES1162725061"</f>
        <v>FES1162725061</v>
      </c>
      <c r="F2851" s="3">
        <v>43794</v>
      </c>
      <c r="G2851">
        <v>202005</v>
      </c>
      <c r="H2851" t="s">
        <v>75</v>
      </c>
      <c r="I2851" t="s">
        <v>76</v>
      </c>
      <c r="J2851" t="s">
        <v>77</v>
      </c>
      <c r="K2851" t="s">
        <v>78</v>
      </c>
      <c r="L2851" t="s">
        <v>225</v>
      </c>
      <c r="M2851" t="s">
        <v>226</v>
      </c>
      <c r="N2851" t="s">
        <v>227</v>
      </c>
      <c r="O2851" t="s">
        <v>82</v>
      </c>
      <c r="P2851" t="str">
        <f>"2170718797                    "</f>
        <v xml:space="preserve">2170718797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8.58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1.4</v>
      </c>
      <c r="BJ2851">
        <v>0.8</v>
      </c>
      <c r="BK2851">
        <v>1.5</v>
      </c>
      <c r="BL2851" s="4">
        <v>50.45</v>
      </c>
      <c r="BM2851" s="4">
        <v>7.57</v>
      </c>
      <c r="BN2851" s="4">
        <v>58.02</v>
      </c>
      <c r="BO2851" s="4">
        <v>58.02</v>
      </c>
      <c r="BQ2851" t="s">
        <v>121</v>
      </c>
      <c r="BR2851" t="s">
        <v>84</v>
      </c>
      <c r="BS2851" s="3">
        <v>43795</v>
      </c>
      <c r="BT2851" s="5">
        <v>0.40208333333333335</v>
      </c>
      <c r="BU2851" t="s">
        <v>1684</v>
      </c>
      <c r="BV2851" t="s">
        <v>86</v>
      </c>
      <c r="BY2851">
        <v>4234.83</v>
      </c>
      <c r="CA2851" t="s">
        <v>229</v>
      </c>
      <c r="CC2851" t="s">
        <v>226</v>
      </c>
      <c r="CD2851">
        <v>4026</v>
      </c>
      <c r="CE2851" t="s">
        <v>88</v>
      </c>
      <c r="CF2851" s="3">
        <v>43797</v>
      </c>
      <c r="CI2851">
        <v>1</v>
      </c>
      <c r="CJ2851">
        <v>1</v>
      </c>
      <c r="CK2851">
        <v>21</v>
      </c>
      <c r="CL2851" t="s">
        <v>89</v>
      </c>
    </row>
    <row r="2852" spans="1:90">
      <c r="A2852" t="s">
        <v>72</v>
      </c>
      <c r="B2852" t="s">
        <v>73</v>
      </c>
      <c r="C2852" t="s">
        <v>74</v>
      </c>
      <c r="E2852" t="str">
        <f>"FES1162725882"</f>
        <v>FES1162725882</v>
      </c>
      <c r="F2852" s="3">
        <v>43798</v>
      </c>
      <c r="G2852">
        <v>202005</v>
      </c>
      <c r="H2852" t="s">
        <v>75</v>
      </c>
      <c r="I2852" t="s">
        <v>76</v>
      </c>
      <c r="J2852" t="s">
        <v>77</v>
      </c>
      <c r="K2852" t="s">
        <v>78</v>
      </c>
      <c r="L2852" t="s">
        <v>925</v>
      </c>
      <c r="M2852" t="s">
        <v>926</v>
      </c>
      <c r="N2852" t="s">
        <v>927</v>
      </c>
      <c r="O2852" t="s">
        <v>82</v>
      </c>
      <c r="P2852" t="str">
        <f>"2170717090                    "</f>
        <v xml:space="preserve">2170717090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12.07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 s="4">
        <v>70.95</v>
      </c>
      <c r="BM2852" s="4">
        <v>10.64</v>
      </c>
      <c r="BN2852" s="4">
        <v>81.59</v>
      </c>
      <c r="BO2852" s="4">
        <v>81.59</v>
      </c>
      <c r="BQ2852" t="s">
        <v>109</v>
      </c>
      <c r="BR2852" t="s">
        <v>84</v>
      </c>
      <c r="BS2852" t="s">
        <v>201</v>
      </c>
      <c r="BY2852">
        <v>1200</v>
      </c>
      <c r="CC2852" t="s">
        <v>926</v>
      </c>
      <c r="CD2852">
        <v>1028</v>
      </c>
      <c r="CE2852" t="s">
        <v>147</v>
      </c>
      <c r="CI2852">
        <v>1</v>
      </c>
      <c r="CJ2852" t="s">
        <v>201</v>
      </c>
      <c r="CK2852">
        <v>24</v>
      </c>
      <c r="CL2852" t="s">
        <v>89</v>
      </c>
    </row>
    <row r="2853" spans="1:90">
      <c r="A2853" t="s">
        <v>72</v>
      </c>
      <c r="B2853" t="s">
        <v>73</v>
      </c>
      <c r="C2853" t="s">
        <v>74</v>
      </c>
      <c r="E2853" t="str">
        <f>"FES1162724898"</f>
        <v>FES1162724898</v>
      </c>
      <c r="F2853" s="3">
        <v>43794</v>
      </c>
      <c r="G2853">
        <v>202005</v>
      </c>
      <c r="H2853" t="s">
        <v>75</v>
      </c>
      <c r="I2853" t="s">
        <v>76</v>
      </c>
      <c r="J2853" t="s">
        <v>77</v>
      </c>
      <c r="K2853" t="s">
        <v>78</v>
      </c>
      <c r="L2853" t="s">
        <v>90</v>
      </c>
      <c r="M2853" t="s">
        <v>91</v>
      </c>
      <c r="N2853" t="s">
        <v>895</v>
      </c>
      <c r="O2853" t="s">
        <v>82</v>
      </c>
      <c r="P2853" t="str">
        <f>"22170718577                   "</f>
        <v xml:space="preserve">22170718577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8.58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 s="4">
        <v>50.45</v>
      </c>
      <c r="BM2853" s="4">
        <v>7.57</v>
      </c>
      <c r="BN2853" s="4">
        <v>58.02</v>
      </c>
      <c r="BO2853" s="4">
        <v>58.02</v>
      </c>
      <c r="BR2853" t="s">
        <v>84</v>
      </c>
      <c r="BS2853" s="3">
        <v>43795</v>
      </c>
      <c r="BT2853" s="5">
        <v>0.4375</v>
      </c>
      <c r="BU2853" t="s">
        <v>2883</v>
      </c>
      <c r="BV2853" t="s">
        <v>86</v>
      </c>
      <c r="BY2853">
        <v>1200</v>
      </c>
      <c r="CA2853" t="s">
        <v>717</v>
      </c>
      <c r="CC2853" t="s">
        <v>91</v>
      </c>
      <c r="CD2853">
        <v>7915</v>
      </c>
      <c r="CE2853" t="s">
        <v>147</v>
      </c>
      <c r="CF2853" s="3">
        <v>43796</v>
      </c>
      <c r="CI2853">
        <v>1</v>
      </c>
      <c r="CJ2853">
        <v>1</v>
      </c>
      <c r="CK2853">
        <v>21</v>
      </c>
      <c r="CL2853" t="s">
        <v>89</v>
      </c>
    </row>
    <row r="2854" spans="1:90">
      <c r="A2854" t="s">
        <v>72</v>
      </c>
      <c r="B2854" t="s">
        <v>73</v>
      </c>
      <c r="C2854" t="s">
        <v>74</v>
      </c>
      <c r="E2854" t="str">
        <f>"FES1162724946"</f>
        <v>FES1162724946</v>
      </c>
      <c r="F2854" s="3">
        <v>43794</v>
      </c>
      <c r="G2854">
        <v>202005</v>
      </c>
      <c r="H2854" t="s">
        <v>75</v>
      </c>
      <c r="I2854" t="s">
        <v>76</v>
      </c>
      <c r="J2854" t="s">
        <v>77</v>
      </c>
      <c r="K2854" t="s">
        <v>78</v>
      </c>
      <c r="L2854" t="s">
        <v>202</v>
      </c>
      <c r="M2854" t="s">
        <v>203</v>
      </c>
      <c r="N2854" t="s">
        <v>479</v>
      </c>
      <c r="O2854" t="s">
        <v>82</v>
      </c>
      <c r="P2854" t="str">
        <f>"2170718250                    "</f>
        <v xml:space="preserve">2170718250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6.71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 s="4">
        <v>39.42</v>
      </c>
      <c r="BM2854" s="4">
        <v>5.91</v>
      </c>
      <c r="BN2854" s="4">
        <v>45.33</v>
      </c>
      <c r="BO2854" s="4">
        <v>45.33</v>
      </c>
      <c r="BQ2854" t="s">
        <v>142</v>
      </c>
      <c r="BR2854" t="s">
        <v>84</v>
      </c>
      <c r="BS2854" s="3">
        <v>43795</v>
      </c>
      <c r="BT2854" s="5">
        <v>0.4368055555555555</v>
      </c>
      <c r="BU2854" t="s">
        <v>2884</v>
      </c>
      <c r="BV2854" t="s">
        <v>86</v>
      </c>
      <c r="BY2854">
        <v>1200</v>
      </c>
      <c r="CA2854" t="s">
        <v>1181</v>
      </c>
      <c r="CC2854" t="s">
        <v>203</v>
      </c>
      <c r="CD2854">
        <v>1401</v>
      </c>
      <c r="CE2854" t="s">
        <v>147</v>
      </c>
      <c r="CF2854" s="3">
        <v>43796</v>
      </c>
      <c r="CI2854">
        <v>1</v>
      </c>
      <c r="CJ2854">
        <v>1</v>
      </c>
      <c r="CK2854">
        <v>22</v>
      </c>
      <c r="CL2854" t="s">
        <v>89</v>
      </c>
    </row>
    <row r="2855" spans="1:90">
      <c r="A2855" t="s">
        <v>72</v>
      </c>
      <c r="B2855" t="s">
        <v>73</v>
      </c>
      <c r="C2855" t="s">
        <v>74</v>
      </c>
      <c r="E2855" t="str">
        <f>"FES1162724771"</f>
        <v>FES1162724771</v>
      </c>
      <c r="F2855" s="3">
        <v>43794</v>
      </c>
      <c r="G2855">
        <v>202005</v>
      </c>
      <c r="H2855" t="s">
        <v>75</v>
      </c>
      <c r="I2855" t="s">
        <v>76</v>
      </c>
      <c r="J2855" t="s">
        <v>77</v>
      </c>
      <c r="K2855" t="s">
        <v>78</v>
      </c>
      <c r="L2855" t="s">
        <v>691</v>
      </c>
      <c r="M2855" t="s">
        <v>692</v>
      </c>
      <c r="N2855" t="s">
        <v>957</v>
      </c>
      <c r="O2855" t="s">
        <v>82</v>
      </c>
      <c r="P2855" t="str">
        <f>"2170713447                    "</f>
        <v xml:space="preserve">2170713447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6.71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 s="4">
        <v>39.42</v>
      </c>
      <c r="BM2855" s="4">
        <v>5.91</v>
      </c>
      <c r="BN2855" s="4">
        <v>45.33</v>
      </c>
      <c r="BO2855" s="4">
        <v>45.33</v>
      </c>
      <c r="BQ2855" t="s">
        <v>2885</v>
      </c>
      <c r="BR2855" t="s">
        <v>84</v>
      </c>
      <c r="BS2855" s="3">
        <v>43795</v>
      </c>
      <c r="BT2855" s="5">
        <v>0.33333333333333331</v>
      </c>
      <c r="BU2855" t="s">
        <v>2886</v>
      </c>
      <c r="BV2855" t="s">
        <v>86</v>
      </c>
      <c r="BY2855">
        <v>1200</v>
      </c>
      <c r="CA2855" t="s">
        <v>2691</v>
      </c>
      <c r="CC2855" t="s">
        <v>692</v>
      </c>
      <c r="CD2855">
        <v>1559</v>
      </c>
      <c r="CE2855" t="s">
        <v>147</v>
      </c>
      <c r="CF2855" s="3">
        <v>43796</v>
      </c>
      <c r="CI2855">
        <v>1</v>
      </c>
      <c r="CJ2855">
        <v>1</v>
      </c>
      <c r="CK2855">
        <v>22</v>
      </c>
      <c r="CL2855" t="s">
        <v>89</v>
      </c>
    </row>
    <row r="2856" spans="1:90">
      <c r="A2856" t="s">
        <v>72</v>
      </c>
      <c r="B2856" t="s">
        <v>73</v>
      </c>
      <c r="C2856" t="s">
        <v>74</v>
      </c>
      <c r="E2856" t="str">
        <f>"FES1162724907"</f>
        <v>FES1162724907</v>
      </c>
      <c r="F2856" s="3">
        <v>43794</v>
      </c>
      <c r="G2856">
        <v>202005</v>
      </c>
      <c r="H2856" t="s">
        <v>75</v>
      </c>
      <c r="I2856" t="s">
        <v>76</v>
      </c>
      <c r="J2856" t="s">
        <v>77</v>
      </c>
      <c r="K2856" t="s">
        <v>78</v>
      </c>
      <c r="L2856" t="s">
        <v>90</v>
      </c>
      <c r="M2856" t="s">
        <v>91</v>
      </c>
      <c r="N2856" t="s">
        <v>2887</v>
      </c>
      <c r="O2856" t="s">
        <v>82</v>
      </c>
      <c r="P2856" t="str">
        <f>"2170718589                    "</f>
        <v xml:space="preserve">2170718589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19.3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4.2</v>
      </c>
      <c r="BJ2856">
        <v>2</v>
      </c>
      <c r="BK2856">
        <v>4.5</v>
      </c>
      <c r="BL2856" s="4">
        <v>113.47</v>
      </c>
      <c r="BM2856" s="4">
        <v>17.02</v>
      </c>
      <c r="BN2856" s="4">
        <v>130.49</v>
      </c>
      <c r="BO2856" s="4">
        <v>130.49</v>
      </c>
      <c r="BQ2856" t="s">
        <v>142</v>
      </c>
      <c r="BR2856" t="s">
        <v>84</v>
      </c>
      <c r="BS2856" s="3">
        <v>43795</v>
      </c>
      <c r="BT2856" s="5">
        <v>0.37222222222222223</v>
      </c>
      <c r="BU2856" t="s">
        <v>2888</v>
      </c>
      <c r="BV2856" t="s">
        <v>86</v>
      </c>
      <c r="BY2856">
        <v>10022.18</v>
      </c>
      <c r="CA2856" t="s">
        <v>515</v>
      </c>
      <c r="CC2856" t="s">
        <v>91</v>
      </c>
      <c r="CD2856">
        <v>7493</v>
      </c>
      <c r="CE2856" t="s">
        <v>88</v>
      </c>
      <c r="CF2856" s="3">
        <v>43796</v>
      </c>
      <c r="CI2856">
        <v>1</v>
      </c>
      <c r="CJ2856">
        <v>1</v>
      </c>
      <c r="CK2856">
        <v>21</v>
      </c>
      <c r="CL2856" t="s">
        <v>89</v>
      </c>
    </row>
    <row r="2857" spans="1:90">
      <c r="A2857" t="s">
        <v>72</v>
      </c>
      <c r="B2857" t="s">
        <v>73</v>
      </c>
      <c r="C2857" t="s">
        <v>74</v>
      </c>
      <c r="E2857" t="str">
        <f>"FES1162724783"</f>
        <v>FES1162724783</v>
      </c>
      <c r="F2857" s="3">
        <v>43794</v>
      </c>
      <c r="G2857">
        <v>202005</v>
      </c>
      <c r="H2857" t="s">
        <v>75</v>
      </c>
      <c r="I2857" t="s">
        <v>76</v>
      </c>
      <c r="J2857" t="s">
        <v>77</v>
      </c>
      <c r="K2857" t="s">
        <v>78</v>
      </c>
      <c r="L2857" t="s">
        <v>225</v>
      </c>
      <c r="M2857" t="s">
        <v>226</v>
      </c>
      <c r="N2857" t="s">
        <v>227</v>
      </c>
      <c r="O2857" t="s">
        <v>82</v>
      </c>
      <c r="P2857" t="str">
        <f>"2170716026                    "</f>
        <v xml:space="preserve">2170716026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8.58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 s="4">
        <v>50.45</v>
      </c>
      <c r="BM2857" s="4">
        <v>7.57</v>
      </c>
      <c r="BN2857" s="4">
        <v>58.02</v>
      </c>
      <c r="BO2857" s="4">
        <v>58.02</v>
      </c>
      <c r="BQ2857" t="s">
        <v>121</v>
      </c>
      <c r="BR2857" t="s">
        <v>84</v>
      </c>
      <c r="BS2857" s="3">
        <v>43795</v>
      </c>
      <c r="BT2857" s="5">
        <v>0.40208333333333335</v>
      </c>
      <c r="BU2857" t="s">
        <v>1684</v>
      </c>
      <c r="BV2857" t="s">
        <v>86</v>
      </c>
      <c r="BY2857">
        <v>1200</v>
      </c>
      <c r="CA2857" t="s">
        <v>229</v>
      </c>
      <c r="CC2857" t="s">
        <v>226</v>
      </c>
      <c r="CD2857">
        <v>4026</v>
      </c>
      <c r="CE2857" t="s">
        <v>147</v>
      </c>
      <c r="CF2857" s="3">
        <v>43797</v>
      </c>
      <c r="CI2857">
        <v>1</v>
      </c>
      <c r="CJ2857">
        <v>1</v>
      </c>
      <c r="CK2857">
        <v>21</v>
      </c>
      <c r="CL2857" t="s">
        <v>89</v>
      </c>
    </row>
    <row r="2858" spans="1:90">
      <c r="A2858" t="s">
        <v>72</v>
      </c>
      <c r="B2858" t="s">
        <v>73</v>
      </c>
      <c r="C2858" t="s">
        <v>74</v>
      </c>
      <c r="E2858" t="str">
        <f>"FES1162724975"</f>
        <v>FES1162724975</v>
      </c>
      <c r="F2858" s="3">
        <v>43794</v>
      </c>
      <c r="G2858">
        <v>202005</v>
      </c>
      <c r="H2858" t="s">
        <v>75</v>
      </c>
      <c r="I2858" t="s">
        <v>76</v>
      </c>
      <c r="J2858" t="s">
        <v>77</v>
      </c>
      <c r="K2858" t="s">
        <v>78</v>
      </c>
      <c r="L2858" t="s">
        <v>112</v>
      </c>
      <c r="M2858" t="s">
        <v>113</v>
      </c>
      <c r="N2858" t="s">
        <v>160</v>
      </c>
      <c r="O2858" t="s">
        <v>82</v>
      </c>
      <c r="P2858" t="str">
        <f>"2170718681                    "</f>
        <v xml:space="preserve">2170718681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8.58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 s="4">
        <v>50.45</v>
      </c>
      <c r="BM2858" s="4">
        <v>7.57</v>
      </c>
      <c r="BN2858" s="4">
        <v>58.02</v>
      </c>
      <c r="BO2858" s="4">
        <v>58.02</v>
      </c>
      <c r="BQ2858" t="s">
        <v>161</v>
      </c>
      <c r="BR2858" t="s">
        <v>84</v>
      </c>
      <c r="BS2858" s="3">
        <v>43795</v>
      </c>
      <c r="BT2858" s="5">
        <v>0.38263888888888892</v>
      </c>
      <c r="BU2858" t="s">
        <v>162</v>
      </c>
      <c r="BV2858" t="s">
        <v>86</v>
      </c>
      <c r="BY2858">
        <v>1200</v>
      </c>
      <c r="CA2858" t="s">
        <v>163</v>
      </c>
      <c r="CC2858" t="s">
        <v>113</v>
      </c>
      <c r="CD2858">
        <v>4000</v>
      </c>
      <c r="CE2858" t="s">
        <v>147</v>
      </c>
      <c r="CF2858" s="3">
        <v>43796</v>
      </c>
      <c r="CI2858">
        <v>1</v>
      </c>
      <c r="CJ2858">
        <v>1</v>
      </c>
      <c r="CK2858">
        <v>21</v>
      </c>
      <c r="CL2858" t="s">
        <v>89</v>
      </c>
    </row>
    <row r="2859" spans="1:90">
      <c r="A2859" t="s">
        <v>72</v>
      </c>
      <c r="B2859" t="s">
        <v>73</v>
      </c>
      <c r="C2859" t="s">
        <v>74</v>
      </c>
      <c r="E2859" t="str">
        <f>"FES1162724970"</f>
        <v>FES1162724970</v>
      </c>
      <c r="F2859" s="3">
        <v>43794</v>
      </c>
      <c r="G2859">
        <v>202005</v>
      </c>
      <c r="H2859" t="s">
        <v>75</v>
      </c>
      <c r="I2859" t="s">
        <v>76</v>
      </c>
      <c r="J2859" t="s">
        <v>77</v>
      </c>
      <c r="K2859" t="s">
        <v>78</v>
      </c>
      <c r="L2859" t="s">
        <v>112</v>
      </c>
      <c r="M2859" t="s">
        <v>113</v>
      </c>
      <c r="N2859" t="s">
        <v>1083</v>
      </c>
      <c r="O2859" t="s">
        <v>82</v>
      </c>
      <c r="P2859" t="str">
        <f>"2170718675                    "</f>
        <v xml:space="preserve">2170718675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8.58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 s="4">
        <v>50.45</v>
      </c>
      <c r="BM2859" s="4">
        <v>7.57</v>
      </c>
      <c r="BN2859" s="4">
        <v>58.02</v>
      </c>
      <c r="BO2859" s="4">
        <v>58.02</v>
      </c>
      <c r="BQ2859" t="s">
        <v>121</v>
      </c>
      <c r="BR2859" t="s">
        <v>84</v>
      </c>
      <c r="BS2859" s="3">
        <v>43795</v>
      </c>
      <c r="BT2859" s="5">
        <v>0.3</v>
      </c>
      <c r="BU2859" t="s">
        <v>2835</v>
      </c>
      <c r="BV2859" t="s">
        <v>86</v>
      </c>
      <c r="BY2859">
        <v>1200</v>
      </c>
      <c r="CA2859" t="s">
        <v>2212</v>
      </c>
      <c r="CC2859" t="s">
        <v>113</v>
      </c>
      <c r="CD2859">
        <v>4001</v>
      </c>
      <c r="CE2859" t="s">
        <v>147</v>
      </c>
      <c r="CF2859" s="3">
        <v>43797</v>
      </c>
      <c r="CI2859">
        <v>1</v>
      </c>
      <c r="CJ2859">
        <v>1</v>
      </c>
      <c r="CK2859">
        <v>21</v>
      </c>
      <c r="CL2859" t="s">
        <v>89</v>
      </c>
    </row>
    <row r="2860" spans="1:90">
      <c r="A2860" t="s">
        <v>72</v>
      </c>
      <c r="B2860" t="s">
        <v>73</v>
      </c>
      <c r="C2860" t="s">
        <v>74</v>
      </c>
      <c r="E2860" t="str">
        <f>"FES1162724795"</f>
        <v>FES1162724795</v>
      </c>
      <c r="F2860" s="3">
        <v>43794</v>
      </c>
      <c r="G2860">
        <v>202005</v>
      </c>
      <c r="H2860" t="s">
        <v>75</v>
      </c>
      <c r="I2860" t="s">
        <v>76</v>
      </c>
      <c r="J2860" t="s">
        <v>77</v>
      </c>
      <c r="K2860" t="s">
        <v>78</v>
      </c>
      <c r="L2860" t="s">
        <v>176</v>
      </c>
      <c r="M2860" t="s">
        <v>177</v>
      </c>
      <c r="N2860" t="s">
        <v>334</v>
      </c>
      <c r="O2860" t="s">
        <v>82</v>
      </c>
      <c r="P2860" t="str">
        <f>"2170716471                    "</f>
        <v xml:space="preserve">2170716471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8.58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 s="4">
        <v>50.45</v>
      </c>
      <c r="BM2860" s="4">
        <v>7.57</v>
      </c>
      <c r="BN2860" s="4">
        <v>58.02</v>
      </c>
      <c r="BO2860" s="4">
        <v>58.02</v>
      </c>
      <c r="BQ2860" t="s">
        <v>121</v>
      </c>
      <c r="BR2860" t="s">
        <v>84</v>
      </c>
      <c r="BS2860" s="3">
        <v>43795</v>
      </c>
      <c r="BT2860" s="5">
        <v>0.39930555555555558</v>
      </c>
      <c r="BU2860" t="s">
        <v>1142</v>
      </c>
      <c r="BV2860" t="s">
        <v>86</v>
      </c>
      <c r="BY2860">
        <v>1200</v>
      </c>
      <c r="CA2860" t="s">
        <v>180</v>
      </c>
      <c r="CC2860" t="s">
        <v>177</v>
      </c>
      <c r="CD2860">
        <v>3610</v>
      </c>
      <c r="CE2860" t="s">
        <v>147</v>
      </c>
      <c r="CF2860" s="3">
        <v>43796</v>
      </c>
      <c r="CI2860">
        <v>1</v>
      </c>
      <c r="CJ2860">
        <v>1</v>
      </c>
      <c r="CK2860">
        <v>21</v>
      </c>
      <c r="CL2860" t="s">
        <v>89</v>
      </c>
    </row>
    <row r="2861" spans="1:90">
      <c r="A2861" t="s">
        <v>72</v>
      </c>
      <c r="B2861" t="s">
        <v>73</v>
      </c>
      <c r="C2861" t="s">
        <v>74</v>
      </c>
      <c r="E2861" t="str">
        <f>"FES1162724959"</f>
        <v>FES1162724959</v>
      </c>
      <c r="F2861" s="3">
        <v>43794</v>
      </c>
      <c r="G2861">
        <v>202005</v>
      </c>
      <c r="H2861" t="s">
        <v>75</v>
      </c>
      <c r="I2861" t="s">
        <v>76</v>
      </c>
      <c r="J2861" t="s">
        <v>77</v>
      </c>
      <c r="K2861" t="s">
        <v>78</v>
      </c>
      <c r="L2861" t="s">
        <v>90</v>
      </c>
      <c r="M2861" t="s">
        <v>91</v>
      </c>
      <c r="N2861" t="s">
        <v>1751</v>
      </c>
      <c r="O2861" t="s">
        <v>82</v>
      </c>
      <c r="P2861" t="str">
        <f>"2170718652                    "</f>
        <v xml:space="preserve">2170718652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8.58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 s="4">
        <v>50.45</v>
      </c>
      <c r="BM2861" s="4">
        <v>7.57</v>
      </c>
      <c r="BN2861" s="4">
        <v>58.02</v>
      </c>
      <c r="BO2861" s="4">
        <v>58.02</v>
      </c>
      <c r="BQ2861" t="s">
        <v>142</v>
      </c>
      <c r="BR2861" t="s">
        <v>84</v>
      </c>
      <c r="BS2861" s="3">
        <v>43795</v>
      </c>
      <c r="BT2861" s="5">
        <v>0.36388888888888887</v>
      </c>
      <c r="BU2861" t="s">
        <v>2629</v>
      </c>
      <c r="BV2861" t="s">
        <v>86</v>
      </c>
      <c r="BY2861">
        <v>1200</v>
      </c>
      <c r="CA2861" t="s">
        <v>1281</v>
      </c>
      <c r="CC2861" t="s">
        <v>91</v>
      </c>
      <c r="CD2861">
        <v>7800</v>
      </c>
      <c r="CE2861" t="s">
        <v>147</v>
      </c>
      <c r="CF2861" s="3">
        <v>43796</v>
      </c>
      <c r="CI2861">
        <v>1</v>
      </c>
      <c r="CJ2861">
        <v>1</v>
      </c>
      <c r="CK2861">
        <v>21</v>
      </c>
      <c r="CL2861" t="s">
        <v>89</v>
      </c>
    </row>
    <row r="2862" spans="1:90">
      <c r="A2862" t="s">
        <v>72</v>
      </c>
      <c r="B2862" t="s">
        <v>73</v>
      </c>
      <c r="C2862" t="s">
        <v>74</v>
      </c>
      <c r="E2862" t="str">
        <f>"FES1162722118"</f>
        <v>FES1162722118</v>
      </c>
      <c r="F2862" s="3">
        <v>43777</v>
      </c>
      <c r="G2862">
        <v>202005</v>
      </c>
      <c r="H2862" t="s">
        <v>75</v>
      </c>
      <c r="I2862" t="s">
        <v>76</v>
      </c>
      <c r="J2862" t="s">
        <v>211</v>
      </c>
      <c r="K2862" t="s">
        <v>78</v>
      </c>
      <c r="L2862" t="s">
        <v>214</v>
      </c>
      <c r="M2862" t="s">
        <v>214</v>
      </c>
      <c r="N2862" t="s">
        <v>314</v>
      </c>
      <c r="O2862" t="s">
        <v>82</v>
      </c>
      <c r="P2862" t="str">
        <f>"2170713466                    "</f>
        <v xml:space="preserve">2170713466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35.409999999999997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4</v>
      </c>
      <c r="BJ2862">
        <v>4.0999999999999996</v>
      </c>
      <c r="BK2862">
        <v>4.5</v>
      </c>
      <c r="BL2862" s="4">
        <v>208.13</v>
      </c>
      <c r="BM2862" s="4">
        <v>31.22</v>
      </c>
      <c r="BN2862" s="4">
        <v>239.35</v>
      </c>
      <c r="BO2862" s="4">
        <v>239.35</v>
      </c>
      <c r="BQ2862" t="s">
        <v>121</v>
      </c>
      <c r="BR2862" t="s">
        <v>212</v>
      </c>
      <c r="BS2862" s="3">
        <v>43780</v>
      </c>
      <c r="BT2862" s="5">
        <v>0.47847222222222219</v>
      </c>
      <c r="BU2862" t="s">
        <v>315</v>
      </c>
      <c r="BV2862" t="s">
        <v>86</v>
      </c>
      <c r="BY2862">
        <v>20358</v>
      </c>
      <c r="BZ2862" t="s">
        <v>27</v>
      </c>
      <c r="CA2862" t="s">
        <v>217</v>
      </c>
      <c r="CC2862" t="s">
        <v>214</v>
      </c>
      <c r="CD2862">
        <v>7646</v>
      </c>
      <c r="CE2862" t="s">
        <v>88</v>
      </c>
      <c r="CF2862" s="3">
        <v>43781</v>
      </c>
      <c r="CI2862">
        <v>0</v>
      </c>
      <c r="CJ2862">
        <v>0</v>
      </c>
      <c r="CK2862">
        <v>23</v>
      </c>
      <c r="CL2862" t="s">
        <v>89</v>
      </c>
    </row>
    <row r="2863" spans="1:90">
      <c r="A2863" t="s">
        <v>72</v>
      </c>
      <c r="B2863" t="s">
        <v>73</v>
      </c>
      <c r="C2863" t="s">
        <v>74</v>
      </c>
      <c r="E2863" t="str">
        <f>"FES1162722283"</f>
        <v>FES1162722283</v>
      </c>
      <c r="F2863" s="3">
        <v>43780</v>
      </c>
      <c r="G2863">
        <v>202005</v>
      </c>
      <c r="H2863" t="s">
        <v>75</v>
      </c>
      <c r="I2863" t="s">
        <v>76</v>
      </c>
      <c r="J2863" t="s">
        <v>211</v>
      </c>
      <c r="K2863" t="s">
        <v>78</v>
      </c>
      <c r="L2863" t="s">
        <v>214</v>
      </c>
      <c r="M2863" t="s">
        <v>214</v>
      </c>
      <c r="N2863" t="s">
        <v>314</v>
      </c>
      <c r="O2863" t="s">
        <v>82</v>
      </c>
      <c r="P2863" t="str">
        <f>"2170714811                    "</f>
        <v xml:space="preserve">2170714811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50.43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2</v>
      </c>
      <c r="BI2863">
        <v>6.5</v>
      </c>
      <c r="BJ2863">
        <v>6.4</v>
      </c>
      <c r="BK2863">
        <v>6.5</v>
      </c>
      <c r="BL2863" s="4">
        <v>296.43</v>
      </c>
      <c r="BM2863" s="4">
        <v>44.46</v>
      </c>
      <c r="BN2863" s="4">
        <v>340.89</v>
      </c>
      <c r="BO2863" s="4">
        <v>340.89</v>
      </c>
      <c r="BQ2863" t="s">
        <v>121</v>
      </c>
      <c r="BR2863" t="s">
        <v>212</v>
      </c>
      <c r="BS2863" s="3">
        <v>43781</v>
      </c>
      <c r="BT2863" s="5">
        <v>0.49444444444444446</v>
      </c>
      <c r="BU2863" t="s">
        <v>2889</v>
      </c>
      <c r="BV2863" t="s">
        <v>86</v>
      </c>
      <c r="BY2863">
        <v>32000</v>
      </c>
      <c r="BZ2863" t="s">
        <v>27</v>
      </c>
      <c r="CA2863" t="s">
        <v>1643</v>
      </c>
      <c r="CC2863" t="s">
        <v>214</v>
      </c>
      <c r="CD2863">
        <v>7646</v>
      </c>
      <c r="CE2863" t="s">
        <v>147</v>
      </c>
      <c r="CF2863" s="3">
        <v>43782</v>
      </c>
      <c r="CI2863">
        <v>0</v>
      </c>
      <c r="CJ2863">
        <v>0</v>
      </c>
      <c r="CK2863">
        <v>23</v>
      </c>
      <c r="CL2863" t="s">
        <v>89</v>
      </c>
    </row>
    <row r="2864" spans="1:90">
      <c r="A2864" t="s">
        <v>72</v>
      </c>
      <c r="B2864" t="s">
        <v>73</v>
      </c>
      <c r="C2864" t="s">
        <v>74</v>
      </c>
      <c r="E2864" t="str">
        <f>"FES1162722263"</f>
        <v>FES1162722263</v>
      </c>
      <c r="F2864" s="3">
        <v>43780</v>
      </c>
      <c r="G2864">
        <v>202005</v>
      </c>
      <c r="H2864" t="s">
        <v>75</v>
      </c>
      <c r="I2864" t="s">
        <v>76</v>
      </c>
      <c r="J2864" t="s">
        <v>211</v>
      </c>
      <c r="K2864" t="s">
        <v>78</v>
      </c>
      <c r="L2864" t="s">
        <v>1239</v>
      </c>
      <c r="M2864" t="s">
        <v>1240</v>
      </c>
      <c r="N2864" t="s">
        <v>1241</v>
      </c>
      <c r="O2864" t="s">
        <v>82</v>
      </c>
      <c r="P2864" t="str">
        <f>"2170716462                    "</f>
        <v xml:space="preserve">2170716462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31.65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3</v>
      </c>
      <c r="BJ2864">
        <v>3.8</v>
      </c>
      <c r="BK2864">
        <v>4</v>
      </c>
      <c r="BL2864" s="4">
        <v>186.05</v>
      </c>
      <c r="BM2864" s="4">
        <v>27.91</v>
      </c>
      <c r="BN2864" s="4">
        <v>213.96</v>
      </c>
      <c r="BO2864" s="4">
        <v>213.96</v>
      </c>
      <c r="BQ2864" t="s">
        <v>142</v>
      </c>
      <c r="BR2864" t="s">
        <v>212</v>
      </c>
      <c r="BS2864" t="s">
        <v>201</v>
      </c>
      <c r="BY2864">
        <v>19166</v>
      </c>
      <c r="BZ2864" t="s">
        <v>27</v>
      </c>
      <c r="CC2864" t="s">
        <v>1240</v>
      </c>
      <c r="CD2864">
        <v>6300</v>
      </c>
      <c r="CE2864" t="s">
        <v>1598</v>
      </c>
      <c r="CF2864" s="3">
        <v>43784</v>
      </c>
      <c r="CI2864">
        <v>3</v>
      </c>
      <c r="CJ2864" t="s">
        <v>201</v>
      </c>
      <c r="CK2864">
        <v>23</v>
      </c>
      <c r="CL2864" t="s">
        <v>89</v>
      </c>
    </row>
    <row r="2865" spans="1:90">
      <c r="A2865" t="s">
        <v>72</v>
      </c>
      <c r="B2865" t="s">
        <v>73</v>
      </c>
      <c r="C2865" t="s">
        <v>74</v>
      </c>
      <c r="E2865" t="str">
        <f>"FES1162722253"</f>
        <v>FES1162722253</v>
      </c>
      <c r="F2865" s="3">
        <v>43780</v>
      </c>
      <c r="G2865">
        <v>202005</v>
      </c>
      <c r="H2865" t="s">
        <v>75</v>
      </c>
      <c r="I2865" t="s">
        <v>76</v>
      </c>
      <c r="J2865" t="s">
        <v>211</v>
      </c>
      <c r="K2865" t="s">
        <v>78</v>
      </c>
      <c r="L2865" t="s">
        <v>405</v>
      </c>
      <c r="M2865" t="s">
        <v>406</v>
      </c>
      <c r="N2865" t="s">
        <v>407</v>
      </c>
      <c r="O2865" t="s">
        <v>756</v>
      </c>
      <c r="P2865" t="str">
        <f>"2170714270                    "</f>
        <v xml:space="preserve">2170714270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26.56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2</v>
      </c>
      <c r="BI2865">
        <v>5.9</v>
      </c>
      <c r="BJ2865">
        <v>7.5</v>
      </c>
      <c r="BK2865">
        <v>8</v>
      </c>
      <c r="BL2865" s="4">
        <v>156.12</v>
      </c>
      <c r="BM2865" s="4">
        <v>23.42</v>
      </c>
      <c r="BN2865" s="4">
        <v>179.54</v>
      </c>
      <c r="BO2865" s="4">
        <v>179.54</v>
      </c>
      <c r="BQ2865" t="s">
        <v>121</v>
      </c>
      <c r="BR2865" t="s">
        <v>212</v>
      </c>
      <c r="BS2865" s="3">
        <v>43781</v>
      </c>
      <c r="BT2865" s="5">
        <v>0.35069444444444442</v>
      </c>
      <c r="BU2865" t="s">
        <v>408</v>
      </c>
      <c r="BV2865" t="s">
        <v>86</v>
      </c>
      <c r="BY2865">
        <v>37703.81</v>
      </c>
      <c r="BZ2865" t="s">
        <v>27</v>
      </c>
      <c r="CA2865" t="s">
        <v>409</v>
      </c>
      <c r="CC2865" t="s">
        <v>406</v>
      </c>
      <c r="CD2865">
        <v>250</v>
      </c>
      <c r="CE2865" t="s">
        <v>1598</v>
      </c>
      <c r="CF2865" s="3">
        <v>43783</v>
      </c>
      <c r="CI2865">
        <v>1</v>
      </c>
      <c r="CJ2865">
        <v>1</v>
      </c>
      <c r="CK2865">
        <v>34</v>
      </c>
      <c r="CL2865" t="s">
        <v>89</v>
      </c>
    </row>
    <row r="2866" spans="1:90">
      <c r="A2866" t="s">
        <v>72</v>
      </c>
      <c r="B2866" t="s">
        <v>73</v>
      </c>
      <c r="C2866" t="s">
        <v>74</v>
      </c>
      <c r="E2866" t="str">
        <f>"FES1162722254"</f>
        <v>FES1162722254</v>
      </c>
      <c r="F2866" s="3">
        <v>43780</v>
      </c>
      <c r="G2866">
        <v>202005</v>
      </c>
      <c r="H2866" t="s">
        <v>75</v>
      </c>
      <c r="I2866" t="s">
        <v>76</v>
      </c>
      <c r="J2866" t="s">
        <v>211</v>
      </c>
      <c r="K2866" t="s">
        <v>78</v>
      </c>
      <c r="L2866" t="s">
        <v>405</v>
      </c>
      <c r="M2866" t="s">
        <v>406</v>
      </c>
      <c r="N2866" t="s">
        <v>407</v>
      </c>
      <c r="O2866" t="s">
        <v>756</v>
      </c>
      <c r="P2866" t="str">
        <f>"2170714271                    "</f>
        <v xml:space="preserve">2170714271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26.56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2</v>
      </c>
      <c r="BI2866">
        <v>5.9</v>
      </c>
      <c r="BJ2866">
        <v>7.7</v>
      </c>
      <c r="BK2866">
        <v>8</v>
      </c>
      <c r="BL2866" s="4">
        <v>156.12</v>
      </c>
      <c r="BM2866" s="4">
        <v>23.42</v>
      </c>
      <c r="BN2866" s="4">
        <v>179.54</v>
      </c>
      <c r="BO2866" s="4">
        <v>179.54</v>
      </c>
      <c r="BQ2866" t="s">
        <v>121</v>
      </c>
      <c r="BR2866" t="s">
        <v>212</v>
      </c>
      <c r="BS2866" s="3">
        <v>43781</v>
      </c>
      <c r="BT2866" s="5">
        <v>0.3756944444444445</v>
      </c>
      <c r="BU2866" t="s">
        <v>408</v>
      </c>
      <c r="BV2866" t="s">
        <v>86</v>
      </c>
      <c r="BY2866">
        <v>38381.72</v>
      </c>
      <c r="BZ2866" t="s">
        <v>27</v>
      </c>
      <c r="CA2866" t="s">
        <v>409</v>
      </c>
      <c r="CC2866" t="s">
        <v>406</v>
      </c>
      <c r="CD2866">
        <v>250</v>
      </c>
      <c r="CE2866" t="s">
        <v>1598</v>
      </c>
      <c r="CF2866" s="3">
        <v>43783</v>
      </c>
      <c r="CI2866">
        <v>1</v>
      </c>
      <c r="CJ2866">
        <v>1</v>
      </c>
      <c r="CK2866">
        <v>34</v>
      </c>
      <c r="CL2866" t="s">
        <v>89</v>
      </c>
    </row>
    <row r="2867" spans="1:90">
      <c r="A2867" t="s">
        <v>72</v>
      </c>
      <c r="B2867" t="s">
        <v>73</v>
      </c>
      <c r="C2867" t="s">
        <v>74</v>
      </c>
      <c r="E2867" t="str">
        <f>"FES1162722255"</f>
        <v>FES1162722255</v>
      </c>
      <c r="F2867" s="3">
        <v>43780</v>
      </c>
      <c r="G2867">
        <v>202005</v>
      </c>
      <c r="H2867" t="s">
        <v>75</v>
      </c>
      <c r="I2867" t="s">
        <v>76</v>
      </c>
      <c r="J2867" t="s">
        <v>211</v>
      </c>
      <c r="K2867" t="s">
        <v>78</v>
      </c>
      <c r="L2867" t="s">
        <v>405</v>
      </c>
      <c r="M2867" t="s">
        <v>406</v>
      </c>
      <c r="N2867" t="s">
        <v>407</v>
      </c>
      <c r="O2867" t="s">
        <v>756</v>
      </c>
      <c r="P2867" t="str">
        <f>"2170714179                    "</f>
        <v xml:space="preserve">2170714179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26.56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2</v>
      </c>
      <c r="BI2867">
        <v>5.9</v>
      </c>
      <c r="BJ2867">
        <v>7.2</v>
      </c>
      <c r="BK2867">
        <v>8</v>
      </c>
      <c r="BL2867" s="4">
        <v>156.12</v>
      </c>
      <c r="BM2867" s="4">
        <v>23.42</v>
      </c>
      <c r="BN2867" s="4">
        <v>179.54</v>
      </c>
      <c r="BO2867" s="4">
        <v>179.54</v>
      </c>
      <c r="BQ2867" t="s">
        <v>121</v>
      </c>
      <c r="BR2867" t="s">
        <v>212</v>
      </c>
      <c r="BS2867" s="3">
        <v>43781</v>
      </c>
      <c r="BT2867" s="5">
        <v>0.3743055555555555</v>
      </c>
      <c r="BU2867" t="s">
        <v>408</v>
      </c>
      <c r="BV2867" t="s">
        <v>86</v>
      </c>
      <c r="BY2867">
        <v>35876.559999999998</v>
      </c>
      <c r="BZ2867" t="s">
        <v>27</v>
      </c>
      <c r="CA2867" t="s">
        <v>409</v>
      </c>
      <c r="CC2867" t="s">
        <v>406</v>
      </c>
      <c r="CD2867">
        <v>250</v>
      </c>
      <c r="CE2867" t="s">
        <v>1598</v>
      </c>
      <c r="CI2867">
        <v>1</v>
      </c>
      <c r="CJ2867">
        <v>1</v>
      </c>
      <c r="CK2867">
        <v>34</v>
      </c>
      <c r="CL2867" t="s">
        <v>89</v>
      </c>
    </row>
    <row r="2868" spans="1:90">
      <c r="A2868" t="s">
        <v>72</v>
      </c>
      <c r="B2868" t="s">
        <v>73</v>
      </c>
      <c r="C2868" t="s">
        <v>74</v>
      </c>
      <c r="E2868" t="str">
        <f>"FES1162722233"</f>
        <v>FES1162722233</v>
      </c>
      <c r="F2868" s="3">
        <v>43780</v>
      </c>
      <c r="G2868">
        <v>202005</v>
      </c>
      <c r="H2868" t="s">
        <v>75</v>
      </c>
      <c r="I2868" t="s">
        <v>76</v>
      </c>
      <c r="J2868" t="s">
        <v>211</v>
      </c>
      <c r="K2868" t="s">
        <v>78</v>
      </c>
      <c r="L2868" t="s">
        <v>405</v>
      </c>
      <c r="M2868" t="s">
        <v>406</v>
      </c>
      <c r="N2868" t="s">
        <v>407</v>
      </c>
      <c r="O2868" t="s">
        <v>756</v>
      </c>
      <c r="P2868" t="str">
        <f>"2170709688                    "</f>
        <v xml:space="preserve">2170709688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22.94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5.4</v>
      </c>
      <c r="BJ2868">
        <v>6.2</v>
      </c>
      <c r="BK2868">
        <v>7</v>
      </c>
      <c r="BL2868" s="4">
        <v>134.83000000000001</v>
      </c>
      <c r="BM2868" s="4">
        <v>20.22</v>
      </c>
      <c r="BN2868" s="4">
        <v>155.05000000000001</v>
      </c>
      <c r="BO2868" s="4">
        <v>155.05000000000001</v>
      </c>
      <c r="BQ2868" t="s">
        <v>121</v>
      </c>
      <c r="BR2868" t="s">
        <v>212</v>
      </c>
      <c r="BS2868" s="3">
        <v>43781</v>
      </c>
      <c r="BT2868" s="5">
        <v>0.37222222222222223</v>
      </c>
      <c r="BU2868" t="s">
        <v>408</v>
      </c>
      <c r="BV2868" t="s">
        <v>86</v>
      </c>
      <c r="BY2868">
        <v>31191.14</v>
      </c>
      <c r="BZ2868" t="s">
        <v>27</v>
      </c>
      <c r="CA2868" t="s">
        <v>409</v>
      </c>
      <c r="CC2868" t="s">
        <v>406</v>
      </c>
      <c r="CD2868">
        <v>250</v>
      </c>
      <c r="CE2868" t="s">
        <v>147</v>
      </c>
      <c r="CF2868" s="3">
        <v>43783</v>
      </c>
      <c r="CI2868">
        <v>1</v>
      </c>
      <c r="CJ2868">
        <v>1</v>
      </c>
      <c r="CK2868">
        <v>34</v>
      </c>
      <c r="CL2868" t="s">
        <v>89</v>
      </c>
    </row>
    <row r="2869" spans="1:90">
      <c r="A2869" t="s">
        <v>72</v>
      </c>
      <c r="B2869" t="s">
        <v>73</v>
      </c>
      <c r="C2869" t="s">
        <v>74</v>
      </c>
      <c r="E2869" t="str">
        <f>"FES1162722234"</f>
        <v>FES1162722234</v>
      </c>
      <c r="F2869" s="3">
        <v>43780</v>
      </c>
      <c r="G2869">
        <v>202005</v>
      </c>
      <c r="H2869" t="s">
        <v>75</v>
      </c>
      <c r="I2869" t="s">
        <v>76</v>
      </c>
      <c r="J2869" t="s">
        <v>211</v>
      </c>
      <c r="K2869" t="s">
        <v>78</v>
      </c>
      <c r="L2869" t="s">
        <v>405</v>
      </c>
      <c r="M2869" t="s">
        <v>406</v>
      </c>
      <c r="N2869" t="s">
        <v>407</v>
      </c>
      <c r="O2869" t="s">
        <v>756</v>
      </c>
      <c r="P2869" t="str">
        <f>"2170709689                    "</f>
        <v xml:space="preserve">2170709689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22.94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5.4</v>
      </c>
      <c r="BJ2869">
        <v>6.1</v>
      </c>
      <c r="BK2869">
        <v>7</v>
      </c>
      <c r="BL2869" s="4">
        <v>134.83000000000001</v>
      </c>
      <c r="BM2869" s="4">
        <v>20.22</v>
      </c>
      <c r="BN2869" s="4">
        <v>155.05000000000001</v>
      </c>
      <c r="BO2869" s="4">
        <v>155.05000000000001</v>
      </c>
      <c r="BQ2869" t="s">
        <v>121</v>
      </c>
      <c r="BR2869" t="s">
        <v>212</v>
      </c>
      <c r="BS2869" s="3">
        <v>43781</v>
      </c>
      <c r="BT2869" s="5">
        <v>0.37222222222222223</v>
      </c>
      <c r="BU2869" t="s">
        <v>408</v>
      </c>
      <c r="BV2869" t="s">
        <v>86</v>
      </c>
      <c r="BY2869">
        <v>30410.34</v>
      </c>
      <c r="BZ2869" t="s">
        <v>27</v>
      </c>
      <c r="CA2869" t="s">
        <v>409</v>
      </c>
      <c r="CC2869" t="s">
        <v>406</v>
      </c>
      <c r="CD2869">
        <v>250</v>
      </c>
      <c r="CE2869" t="s">
        <v>147</v>
      </c>
      <c r="CF2869" s="3">
        <v>43783</v>
      </c>
      <c r="CI2869">
        <v>1</v>
      </c>
      <c r="CJ2869">
        <v>1</v>
      </c>
      <c r="CK2869">
        <v>34</v>
      </c>
      <c r="CL2869" t="s">
        <v>89</v>
      </c>
    </row>
    <row r="2870" spans="1:90">
      <c r="A2870" t="s">
        <v>72</v>
      </c>
      <c r="B2870" t="s">
        <v>73</v>
      </c>
      <c r="C2870" t="s">
        <v>74</v>
      </c>
      <c r="E2870" t="str">
        <f>"FES1162721144"</f>
        <v>FES1162721144</v>
      </c>
      <c r="F2870" s="3">
        <v>43774</v>
      </c>
      <c r="G2870">
        <v>202005</v>
      </c>
      <c r="H2870" t="s">
        <v>75</v>
      </c>
      <c r="I2870" t="s">
        <v>76</v>
      </c>
      <c r="J2870" t="s">
        <v>211</v>
      </c>
      <c r="K2870" t="s">
        <v>78</v>
      </c>
      <c r="L2870" t="s">
        <v>701</v>
      </c>
      <c r="M2870" t="s">
        <v>702</v>
      </c>
      <c r="N2870" t="s">
        <v>1086</v>
      </c>
      <c r="O2870" t="s">
        <v>756</v>
      </c>
      <c r="P2870" t="str">
        <f>"2170715417                    "</f>
        <v xml:space="preserve">2170715417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23.5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6.4</v>
      </c>
      <c r="BJ2870">
        <v>1.5</v>
      </c>
      <c r="BK2870">
        <v>7</v>
      </c>
      <c r="BL2870" s="4">
        <v>135.38999999999999</v>
      </c>
      <c r="BM2870" s="4">
        <v>20.309999999999999</v>
      </c>
      <c r="BN2870" s="4">
        <v>155.69999999999999</v>
      </c>
      <c r="BO2870" s="4">
        <v>155.69999999999999</v>
      </c>
      <c r="BQ2870" t="s">
        <v>121</v>
      </c>
      <c r="BR2870" t="s">
        <v>212</v>
      </c>
      <c r="BS2870" s="3">
        <v>43775</v>
      </c>
      <c r="BT2870" s="5">
        <v>0.36944444444444446</v>
      </c>
      <c r="BU2870" t="s">
        <v>2890</v>
      </c>
      <c r="BV2870" t="s">
        <v>86</v>
      </c>
      <c r="BY2870">
        <v>7666.31</v>
      </c>
      <c r="BZ2870" t="s">
        <v>27</v>
      </c>
      <c r="CA2870" t="s">
        <v>873</v>
      </c>
      <c r="CC2870" t="s">
        <v>702</v>
      </c>
      <c r="CD2870">
        <v>299</v>
      </c>
      <c r="CE2870" t="s">
        <v>88</v>
      </c>
      <c r="CF2870" s="3">
        <v>43780</v>
      </c>
      <c r="CI2870">
        <v>1</v>
      </c>
      <c r="CJ2870">
        <v>1</v>
      </c>
      <c r="CK2870">
        <v>34</v>
      </c>
      <c r="CL2870" t="s">
        <v>89</v>
      </c>
    </row>
    <row r="2871" spans="1:90">
      <c r="A2871" t="s">
        <v>72</v>
      </c>
      <c r="B2871" t="s">
        <v>73</v>
      </c>
      <c r="C2871" t="s">
        <v>74</v>
      </c>
      <c r="E2871" t="str">
        <f>"FES1162722330"</f>
        <v>FES1162722330</v>
      </c>
      <c r="F2871" s="3">
        <v>43780</v>
      </c>
      <c r="G2871">
        <v>202005</v>
      </c>
      <c r="H2871" t="s">
        <v>75</v>
      </c>
      <c r="I2871" t="s">
        <v>76</v>
      </c>
      <c r="J2871" t="s">
        <v>211</v>
      </c>
      <c r="K2871" t="s">
        <v>78</v>
      </c>
      <c r="L2871" t="s">
        <v>825</v>
      </c>
      <c r="M2871" t="s">
        <v>826</v>
      </c>
      <c r="N2871" t="s">
        <v>2891</v>
      </c>
      <c r="O2871" t="s">
        <v>756</v>
      </c>
      <c r="P2871" t="str">
        <f>"2170716542                    "</f>
        <v xml:space="preserve">2170716542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12.07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3.2</v>
      </c>
      <c r="BJ2871">
        <v>1.7</v>
      </c>
      <c r="BK2871">
        <v>4</v>
      </c>
      <c r="BL2871" s="4">
        <v>70.95</v>
      </c>
      <c r="BM2871" s="4">
        <v>10.64</v>
      </c>
      <c r="BN2871" s="4">
        <v>81.59</v>
      </c>
      <c r="BO2871" s="4">
        <v>81.59</v>
      </c>
      <c r="BQ2871" t="s">
        <v>121</v>
      </c>
      <c r="BR2871" t="s">
        <v>212</v>
      </c>
      <c r="BS2871" s="3">
        <v>43781</v>
      </c>
      <c r="BT2871" s="5">
        <v>0.31736111111111115</v>
      </c>
      <c r="BU2871" t="s">
        <v>2892</v>
      </c>
      <c r="BV2871" t="s">
        <v>86</v>
      </c>
      <c r="BY2871">
        <v>8490.7199999999993</v>
      </c>
      <c r="BZ2871" t="s">
        <v>27</v>
      </c>
      <c r="CC2871" t="s">
        <v>826</v>
      </c>
      <c r="CD2871">
        <v>1759</v>
      </c>
      <c r="CE2871" t="s">
        <v>88</v>
      </c>
      <c r="CF2871" s="3">
        <v>43782</v>
      </c>
      <c r="CI2871">
        <v>1</v>
      </c>
      <c r="CJ2871">
        <v>1</v>
      </c>
      <c r="CK2871">
        <v>34</v>
      </c>
      <c r="CL2871" t="s">
        <v>89</v>
      </c>
    </row>
    <row r="2872" spans="1:90">
      <c r="A2872" t="s">
        <v>72</v>
      </c>
      <c r="B2872" t="s">
        <v>73</v>
      </c>
      <c r="C2872" t="s">
        <v>74</v>
      </c>
      <c r="E2872" t="str">
        <f>"FES1162722236"</f>
        <v>FES1162722236</v>
      </c>
      <c r="F2872" s="3">
        <v>43780</v>
      </c>
      <c r="G2872">
        <v>202005</v>
      </c>
      <c r="H2872" t="s">
        <v>75</v>
      </c>
      <c r="I2872" t="s">
        <v>76</v>
      </c>
      <c r="J2872" t="s">
        <v>211</v>
      </c>
      <c r="K2872" t="s">
        <v>78</v>
      </c>
      <c r="L2872" t="s">
        <v>405</v>
      </c>
      <c r="M2872" t="s">
        <v>406</v>
      </c>
      <c r="N2872" t="s">
        <v>407</v>
      </c>
      <c r="O2872" t="s">
        <v>756</v>
      </c>
      <c r="P2872" t="str">
        <f>"2170719693                    "</f>
        <v xml:space="preserve">2170719693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22.94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5.4</v>
      </c>
      <c r="BJ2872">
        <v>6.5</v>
      </c>
      <c r="BK2872">
        <v>7</v>
      </c>
      <c r="BL2872" s="4">
        <v>134.83000000000001</v>
      </c>
      <c r="BM2872" s="4">
        <v>20.22</v>
      </c>
      <c r="BN2872" s="4">
        <v>155.05000000000001</v>
      </c>
      <c r="BO2872" s="4">
        <v>155.05000000000001</v>
      </c>
      <c r="BQ2872" t="s">
        <v>121</v>
      </c>
      <c r="BR2872" t="s">
        <v>212</v>
      </c>
      <c r="BS2872" s="3">
        <v>43781</v>
      </c>
      <c r="BT2872" s="5">
        <v>0.34375</v>
      </c>
      <c r="BU2872" t="s">
        <v>408</v>
      </c>
      <c r="BV2872" t="s">
        <v>86</v>
      </c>
      <c r="BY2872">
        <v>32428.79</v>
      </c>
      <c r="BZ2872" t="s">
        <v>27</v>
      </c>
      <c r="CA2872" t="s">
        <v>409</v>
      </c>
      <c r="CC2872" t="s">
        <v>406</v>
      </c>
      <c r="CD2872">
        <v>250</v>
      </c>
      <c r="CE2872" t="s">
        <v>1598</v>
      </c>
      <c r="CF2872" s="3">
        <v>43783</v>
      </c>
      <c r="CI2872">
        <v>1</v>
      </c>
      <c r="CJ2872">
        <v>1</v>
      </c>
      <c r="CK2872">
        <v>34</v>
      </c>
      <c r="CL2872" t="s">
        <v>89</v>
      </c>
    </row>
    <row r="2873" spans="1:90">
      <c r="A2873" t="s">
        <v>72</v>
      </c>
      <c r="B2873" t="s">
        <v>73</v>
      </c>
      <c r="C2873" t="s">
        <v>74</v>
      </c>
      <c r="E2873" t="str">
        <f>"FES1162722380"</f>
        <v>FES1162722380</v>
      </c>
      <c r="F2873" s="3">
        <v>43780</v>
      </c>
      <c r="G2873">
        <v>202005</v>
      </c>
      <c r="H2873" t="s">
        <v>75</v>
      </c>
      <c r="I2873" t="s">
        <v>76</v>
      </c>
      <c r="J2873" t="s">
        <v>211</v>
      </c>
      <c r="K2873" t="s">
        <v>78</v>
      </c>
      <c r="L2873" t="s">
        <v>124</v>
      </c>
      <c r="M2873" t="s">
        <v>125</v>
      </c>
      <c r="N2873" t="s">
        <v>218</v>
      </c>
      <c r="O2873" t="s">
        <v>756</v>
      </c>
      <c r="P2873" t="str">
        <f>"2170716585                    "</f>
        <v xml:space="preserve">2170716585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17.239999999999998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14</v>
      </c>
      <c r="BJ2873">
        <v>18</v>
      </c>
      <c r="BK2873">
        <v>18</v>
      </c>
      <c r="BL2873" s="4">
        <v>101.33</v>
      </c>
      <c r="BM2873" s="4">
        <v>15.2</v>
      </c>
      <c r="BN2873" s="4">
        <v>116.53</v>
      </c>
      <c r="BO2873" s="4">
        <v>116.53</v>
      </c>
      <c r="BQ2873" t="s">
        <v>121</v>
      </c>
      <c r="BR2873" t="s">
        <v>212</v>
      </c>
      <c r="BS2873" s="3">
        <v>43781</v>
      </c>
      <c r="BT2873" s="5">
        <v>0.3576388888888889</v>
      </c>
      <c r="BU2873" t="s">
        <v>753</v>
      </c>
      <c r="BV2873" t="s">
        <v>86</v>
      </c>
      <c r="BY2873">
        <v>90000</v>
      </c>
      <c r="BZ2873" t="s">
        <v>27</v>
      </c>
      <c r="CA2873" t="s">
        <v>123</v>
      </c>
      <c r="CC2873" t="s">
        <v>125</v>
      </c>
      <c r="CD2873">
        <v>2094</v>
      </c>
      <c r="CE2873" t="s">
        <v>1598</v>
      </c>
      <c r="CF2873" s="3">
        <v>43782</v>
      </c>
      <c r="CI2873">
        <v>1</v>
      </c>
      <c r="CJ2873">
        <v>1</v>
      </c>
      <c r="CK2873">
        <v>32</v>
      </c>
      <c r="CL2873" t="s">
        <v>89</v>
      </c>
    </row>
    <row r="2874" spans="1:90">
      <c r="A2874" t="s">
        <v>72</v>
      </c>
      <c r="B2874" t="s">
        <v>73</v>
      </c>
      <c r="C2874" t="s">
        <v>74</v>
      </c>
      <c r="E2874" t="str">
        <f>"FES1162722306"</f>
        <v>FES1162722306</v>
      </c>
      <c r="F2874" s="3">
        <v>43780</v>
      </c>
      <c r="G2874">
        <v>202005</v>
      </c>
      <c r="H2874" t="s">
        <v>75</v>
      </c>
      <c r="I2874" t="s">
        <v>76</v>
      </c>
      <c r="J2874" t="s">
        <v>211</v>
      </c>
      <c r="K2874" t="s">
        <v>78</v>
      </c>
      <c r="L2874" t="s">
        <v>566</v>
      </c>
      <c r="M2874" t="s">
        <v>567</v>
      </c>
      <c r="N2874" t="s">
        <v>568</v>
      </c>
      <c r="O2874" t="s">
        <v>756</v>
      </c>
      <c r="P2874" t="str">
        <f>"217071616                     "</f>
        <v xml:space="preserve">217071616 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15.69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4.2</v>
      </c>
      <c r="BJ2874">
        <v>1.4</v>
      </c>
      <c r="BK2874">
        <v>5</v>
      </c>
      <c r="BL2874" s="4">
        <v>92.24</v>
      </c>
      <c r="BM2874" s="4">
        <v>13.84</v>
      </c>
      <c r="BN2874" s="4">
        <v>106.08</v>
      </c>
      <c r="BO2874" s="4">
        <v>106.08</v>
      </c>
      <c r="BQ2874" t="s">
        <v>121</v>
      </c>
      <c r="BR2874" t="s">
        <v>212</v>
      </c>
      <c r="BS2874" s="3">
        <v>43781</v>
      </c>
      <c r="BT2874" s="5">
        <v>0.25347222222222221</v>
      </c>
      <c r="BU2874" t="s">
        <v>1542</v>
      </c>
      <c r="BV2874" t="s">
        <v>86</v>
      </c>
      <c r="BY2874">
        <v>6851.1</v>
      </c>
      <c r="BZ2874" t="s">
        <v>27</v>
      </c>
      <c r="CA2874" t="s">
        <v>123</v>
      </c>
      <c r="CC2874" t="s">
        <v>567</v>
      </c>
      <c r="CD2874">
        <v>2410</v>
      </c>
      <c r="CE2874" t="s">
        <v>1598</v>
      </c>
      <c r="CF2874" s="3">
        <v>43782</v>
      </c>
      <c r="CI2874">
        <v>1</v>
      </c>
      <c r="CJ2874">
        <v>1</v>
      </c>
      <c r="CK2874">
        <v>34</v>
      </c>
      <c r="CL2874" t="s">
        <v>89</v>
      </c>
    </row>
    <row r="2875" spans="1:90">
      <c r="A2875" t="s">
        <v>72</v>
      </c>
      <c r="B2875" t="s">
        <v>73</v>
      </c>
      <c r="C2875" t="s">
        <v>74</v>
      </c>
      <c r="E2875" t="str">
        <f>"009938881881"</f>
        <v>009938881881</v>
      </c>
      <c r="F2875" s="3">
        <v>43780</v>
      </c>
      <c r="G2875">
        <v>202005</v>
      </c>
      <c r="H2875" t="s">
        <v>75</v>
      </c>
      <c r="I2875" t="s">
        <v>76</v>
      </c>
      <c r="J2875" t="s">
        <v>2893</v>
      </c>
      <c r="K2875" t="s">
        <v>78</v>
      </c>
      <c r="L2875" t="s">
        <v>75</v>
      </c>
      <c r="M2875" t="s">
        <v>76</v>
      </c>
      <c r="N2875" t="s">
        <v>211</v>
      </c>
      <c r="O2875" t="s">
        <v>82</v>
      </c>
      <c r="P2875" t="str">
        <f>"...                           "</f>
        <v xml:space="preserve">...       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6.71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0.2</v>
      </c>
      <c r="BJ2875">
        <v>1.9</v>
      </c>
      <c r="BK2875">
        <v>2</v>
      </c>
      <c r="BL2875" s="4">
        <v>39.42</v>
      </c>
      <c r="BM2875" s="4">
        <v>5.91</v>
      </c>
      <c r="BN2875" s="4">
        <v>45.33</v>
      </c>
      <c r="BO2875" s="4">
        <v>45.33</v>
      </c>
      <c r="BQ2875" t="s">
        <v>2611</v>
      </c>
      <c r="BR2875" t="s">
        <v>2496</v>
      </c>
      <c r="BS2875" s="3">
        <v>43781</v>
      </c>
      <c r="BT2875" s="5">
        <v>0.36180555555555555</v>
      </c>
      <c r="BU2875" t="s">
        <v>1016</v>
      </c>
      <c r="BV2875" t="s">
        <v>86</v>
      </c>
      <c r="BY2875">
        <v>9709.18</v>
      </c>
      <c r="BZ2875" t="s">
        <v>27</v>
      </c>
      <c r="CA2875" t="s">
        <v>198</v>
      </c>
      <c r="CC2875" t="s">
        <v>76</v>
      </c>
      <c r="CD2875">
        <v>1600</v>
      </c>
      <c r="CE2875" t="s">
        <v>88</v>
      </c>
      <c r="CF2875" s="3">
        <v>43782</v>
      </c>
      <c r="CI2875">
        <v>1</v>
      </c>
      <c r="CJ2875">
        <v>1</v>
      </c>
      <c r="CK2875">
        <v>22</v>
      </c>
      <c r="CL2875" t="s">
        <v>89</v>
      </c>
    </row>
    <row r="2876" spans="1:90">
      <c r="A2876" t="s">
        <v>72</v>
      </c>
      <c r="B2876" t="s">
        <v>73</v>
      </c>
      <c r="C2876" t="s">
        <v>74</v>
      </c>
      <c r="E2876" t="str">
        <f>"FES1162721080"</f>
        <v>FES1162721080</v>
      </c>
      <c r="F2876" s="3">
        <v>43774</v>
      </c>
      <c r="G2876">
        <v>202005</v>
      </c>
      <c r="H2876" t="s">
        <v>75</v>
      </c>
      <c r="I2876" t="s">
        <v>76</v>
      </c>
      <c r="J2876" t="s">
        <v>211</v>
      </c>
      <c r="K2876" t="s">
        <v>78</v>
      </c>
      <c r="L2876" t="s">
        <v>1651</v>
      </c>
      <c r="M2876" t="s">
        <v>1651</v>
      </c>
      <c r="N2876" t="s">
        <v>1652</v>
      </c>
      <c r="O2876" t="s">
        <v>756</v>
      </c>
      <c r="P2876" t="str">
        <f>"2170715351                    "</f>
        <v xml:space="preserve">2170715351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12.36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2.6</v>
      </c>
      <c r="BJ2876">
        <v>1.2</v>
      </c>
      <c r="BK2876">
        <v>3</v>
      </c>
      <c r="BL2876" s="4">
        <v>71.239999999999995</v>
      </c>
      <c r="BM2876" s="4">
        <v>10.69</v>
      </c>
      <c r="BN2876" s="4">
        <v>81.93</v>
      </c>
      <c r="BO2876" s="4">
        <v>81.93</v>
      </c>
      <c r="BQ2876" t="s">
        <v>142</v>
      </c>
      <c r="BR2876" t="s">
        <v>212</v>
      </c>
      <c r="BS2876" s="3">
        <v>43775</v>
      </c>
      <c r="BT2876" s="5">
        <v>0.42708333333333331</v>
      </c>
      <c r="BU2876" t="s">
        <v>1828</v>
      </c>
      <c r="BV2876" t="s">
        <v>86</v>
      </c>
      <c r="BY2876">
        <v>6223.55</v>
      </c>
      <c r="BZ2876" t="s">
        <v>27</v>
      </c>
      <c r="CC2876" t="s">
        <v>1651</v>
      </c>
      <c r="CD2876">
        <v>1490</v>
      </c>
      <c r="CE2876" t="s">
        <v>88</v>
      </c>
      <c r="CF2876" s="3">
        <v>43776</v>
      </c>
      <c r="CI2876">
        <v>1</v>
      </c>
      <c r="CJ2876">
        <v>1</v>
      </c>
      <c r="CK2876">
        <v>34</v>
      </c>
      <c r="CL2876" t="s">
        <v>89</v>
      </c>
    </row>
    <row r="2877" spans="1:90">
      <c r="A2877" t="s">
        <v>72</v>
      </c>
      <c r="B2877" t="s">
        <v>73</v>
      </c>
      <c r="C2877" t="s">
        <v>74</v>
      </c>
      <c r="E2877" t="str">
        <f>"FES1162721181"</f>
        <v>FES1162721181</v>
      </c>
      <c r="F2877" s="3">
        <v>43774</v>
      </c>
      <c r="G2877">
        <v>202005</v>
      </c>
      <c r="H2877" t="s">
        <v>75</v>
      </c>
      <c r="I2877" t="s">
        <v>76</v>
      </c>
      <c r="J2877" t="s">
        <v>211</v>
      </c>
      <c r="K2877" t="s">
        <v>78</v>
      </c>
      <c r="L2877" t="s">
        <v>482</v>
      </c>
      <c r="M2877" t="s">
        <v>483</v>
      </c>
      <c r="N2877" t="s">
        <v>1153</v>
      </c>
      <c r="O2877" t="s">
        <v>756</v>
      </c>
      <c r="P2877" t="str">
        <f>"2170715471                    "</f>
        <v xml:space="preserve">2170715471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14.58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13.5</v>
      </c>
      <c r="BJ2877">
        <v>8.1</v>
      </c>
      <c r="BK2877">
        <v>14</v>
      </c>
      <c r="BL2877" s="4">
        <v>83.99</v>
      </c>
      <c r="BM2877" s="4">
        <v>12.6</v>
      </c>
      <c r="BN2877" s="4">
        <v>96.59</v>
      </c>
      <c r="BO2877" s="4">
        <v>96.59</v>
      </c>
      <c r="BQ2877" t="s">
        <v>121</v>
      </c>
      <c r="BR2877" t="s">
        <v>212</v>
      </c>
      <c r="BS2877" s="3">
        <v>43775</v>
      </c>
      <c r="BT2877" s="5">
        <v>0.29166666666666669</v>
      </c>
      <c r="BU2877" t="s">
        <v>1518</v>
      </c>
      <c r="BV2877" t="s">
        <v>86</v>
      </c>
      <c r="BY2877">
        <v>40260.239999999998</v>
      </c>
      <c r="BZ2877" t="s">
        <v>27</v>
      </c>
      <c r="CC2877" t="s">
        <v>483</v>
      </c>
      <c r="CD2877">
        <v>1459</v>
      </c>
      <c r="CE2877" t="s">
        <v>88</v>
      </c>
      <c r="CF2877" s="3">
        <v>43776</v>
      </c>
      <c r="CI2877">
        <v>1</v>
      </c>
      <c r="CJ2877">
        <v>1</v>
      </c>
      <c r="CK2877">
        <v>32</v>
      </c>
      <c r="CL2877" t="s">
        <v>89</v>
      </c>
    </row>
    <row r="2878" spans="1:90">
      <c r="A2878" t="s">
        <v>72</v>
      </c>
      <c r="B2878" t="s">
        <v>73</v>
      </c>
      <c r="C2878" t="s">
        <v>74</v>
      </c>
      <c r="E2878" t="str">
        <f>"FES1162721303"</f>
        <v>FES1162721303</v>
      </c>
      <c r="F2878" s="3">
        <v>43774</v>
      </c>
      <c r="G2878">
        <v>202005</v>
      </c>
      <c r="H2878" t="s">
        <v>75</v>
      </c>
      <c r="I2878" t="s">
        <v>76</v>
      </c>
      <c r="J2878" t="s">
        <v>211</v>
      </c>
      <c r="K2878" t="s">
        <v>78</v>
      </c>
      <c r="L2878" t="s">
        <v>124</v>
      </c>
      <c r="M2878" t="s">
        <v>125</v>
      </c>
      <c r="N2878" t="s">
        <v>218</v>
      </c>
      <c r="O2878" t="s">
        <v>756</v>
      </c>
      <c r="P2878" t="str">
        <f>"2170715588                    "</f>
        <v xml:space="preserve">2170715588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15.35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14.3</v>
      </c>
      <c r="BJ2878">
        <v>7.1</v>
      </c>
      <c r="BK2878">
        <v>15</v>
      </c>
      <c r="BL2878" s="4">
        <v>88.43</v>
      </c>
      <c r="BM2878" s="4">
        <v>13.26</v>
      </c>
      <c r="BN2878" s="4">
        <v>101.69</v>
      </c>
      <c r="BO2878" s="4">
        <v>101.69</v>
      </c>
      <c r="BQ2878" t="s">
        <v>121</v>
      </c>
      <c r="BR2878" t="s">
        <v>212</v>
      </c>
      <c r="BS2878" s="3">
        <v>43775</v>
      </c>
      <c r="BT2878" s="5">
        <v>0.37638888888888888</v>
      </c>
      <c r="BU2878" t="s">
        <v>2894</v>
      </c>
      <c r="BV2878" t="s">
        <v>86</v>
      </c>
      <c r="BY2878">
        <v>35272.06</v>
      </c>
      <c r="BZ2878" t="s">
        <v>27</v>
      </c>
      <c r="CA2878" t="s">
        <v>837</v>
      </c>
      <c r="CC2878" t="s">
        <v>125</v>
      </c>
      <c r="CD2878">
        <v>2094</v>
      </c>
      <c r="CE2878" t="s">
        <v>88</v>
      </c>
      <c r="CF2878" s="3">
        <v>43776</v>
      </c>
      <c r="CI2878">
        <v>1</v>
      </c>
      <c r="CJ2878">
        <v>1</v>
      </c>
      <c r="CK2878">
        <v>32</v>
      </c>
      <c r="CL2878" t="s">
        <v>89</v>
      </c>
    </row>
    <row r="2879" spans="1:90">
      <c r="A2879" t="s">
        <v>72</v>
      </c>
      <c r="B2879" t="s">
        <v>73</v>
      </c>
      <c r="C2879" t="s">
        <v>74</v>
      </c>
      <c r="E2879" t="str">
        <f>"FES1162721293"</f>
        <v>FES1162721293</v>
      </c>
      <c r="F2879" s="3">
        <v>43774</v>
      </c>
      <c r="G2879">
        <v>202005</v>
      </c>
      <c r="H2879" t="s">
        <v>75</v>
      </c>
      <c r="I2879" t="s">
        <v>76</v>
      </c>
      <c r="J2879" t="s">
        <v>211</v>
      </c>
      <c r="K2879" t="s">
        <v>78</v>
      </c>
      <c r="L2879" t="s">
        <v>2895</v>
      </c>
      <c r="M2879" t="s">
        <v>2896</v>
      </c>
      <c r="N2879" t="s">
        <v>2897</v>
      </c>
      <c r="O2879" t="s">
        <v>756</v>
      </c>
      <c r="P2879" t="str">
        <f>"2170713782                    "</f>
        <v xml:space="preserve">2170713782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23.5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6.4</v>
      </c>
      <c r="BJ2879">
        <v>0.8</v>
      </c>
      <c r="BK2879">
        <v>7</v>
      </c>
      <c r="BL2879" s="4">
        <v>135.38999999999999</v>
      </c>
      <c r="BM2879" s="4">
        <v>20.309999999999999</v>
      </c>
      <c r="BN2879" s="4">
        <v>155.69999999999999</v>
      </c>
      <c r="BO2879" s="4">
        <v>155.69999999999999</v>
      </c>
      <c r="BQ2879" t="s">
        <v>2898</v>
      </c>
      <c r="BR2879" t="s">
        <v>212</v>
      </c>
      <c r="BS2879" s="3">
        <v>43775</v>
      </c>
      <c r="BT2879" s="5">
        <v>0.3840277777777778</v>
      </c>
      <c r="BU2879" t="s">
        <v>2899</v>
      </c>
      <c r="BV2879" t="s">
        <v>86</v>
      </c>
      <c r="BY2879">
        <v>4017.79</v>
      </c>
      <c r="BZ2879" t="s">
        <v>27</v>
      </c>
      <c r="CC2879" t="s">
        <v>2896</v>
      </c>
      <c r="CD2879">
        <v>1441</v>
      </c>
      <c r="CE2879" t="s">
        <v>88</v>
      </c>
      <c r="CF2879" s="3">
        <v>43776</v>
      </c>
      <c r="CI2879">
        <v>1</v>
      </c>
      <c r="CJ2879">
        <v>1</v>
      </c>
      <c r="CK2879">
        <v>34</v>
      </c>
      <c r="CL2879" t="s">
        <v>89</v>
      </c>
    </row>
    <row r="2880" spans="1:90">
      <c r="A2880" t="s">
        <v>72</v>
      </c>
      <c r="B2880" t="s">
        <v>73</v>
      </c>
      <c r="C2880" t="s">
        <v>74</v>
      </c>
      <c r="E2880" t="str">
        <f>"009939474001"</f>
        <v>009939474001</v>
      </c>
      <c r="F2880" s="3">
        <v>43774</v>
      </c>
      <c r="G2880">
        <v>202005</v>
      </c>
      <c r="H2880" t="s">
        <v>90</v>
      </c>
      <c r="I2880" t="s">
        <v>91</v>
      </c>
      <c r="J2880" t="s">
        <v>211</v>
      </c>
      <c r="K2880" t="s">
        <v>78</v>
      </c>
      <c r="L2880" t="s">
        <v>124</v>
      </c>
      <c r="M2880" t="s">
        <v>125</v>
      </c>
      <c r="N2880" t="s">
        <v>1008</v>
      </c>
      <c r="O2880" t="s">
        <v>82</v>
      </c>
      <c r="P2880" t="str">
        <f>"1703                          "</f>
        <v xml:space="preserve">1703      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8.7899999999999991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0.7</v>
      </c>
      <c r="BJ2880">
        <v>1.8</v>
      </c>
      <c r="BK2880">
        <v>2</v>
      </c>
      <c r="BL2880" s="4">
        <v>50.66</v>
      </c>
      <c r="BM2880" s="4">
        <v>7.6</v>
      </c>
      <c r="BN2880" s="4">
        <v>58.26</v>
      </c>
      <c r="BO2880" s="4">
        <v>58.26</v>
      </c>
      <c r="BP2880" t="s">
        <v>2900</v>
      </c>
      <c r="BQ2880" t="s">
        <v>1010</v>
      </c>
      <c r="BR2880" t="s">
        <v>1011</v>
      </c>
      <c r="BS2880" s="3">
        <v>43776</v>
      </c>
      <c r="BT2880" s="5">
        <v>0.4548611111111111</v>
      </c>
      <c r="BU2880" t="s">
        <v>2901</v>
      </c>
      <c r="BV2880" t="s">
        <v>86</v>
      </c>
      <c r="BY2880">
        <v>9046.7999999999993</v>
      </c>
      <c r="BZ2880" t="s">
        <v>27</v>
      </c>
      <c r="CA2880" t="s">
        <v>123</v>
      </c>
      <c r="CC2880" t="s">
        <v>125</v>
      </c>
      <c r="CD2880">
        <v>2192</v>
      </c>
      <c r="CE2880" t="s">
        <v>2902</v>
      </c>
      <c r="CF2880" s="3">
        <v>43777</v>
      </c>
      <c r="CI2880">
        <v>1</v>
      </c>
      <c r="CJ2880">
        <v>2</v>
      </c>
      <c r="CK2880">
        <v>21</v>
      </c>
      <c r="CL2880" t="s">
        <v>89</v>
      </c>
    </row>
    <row r="2881" spans="1:90">
      <c r="A2881" t="s">
        <v>72</v>
      </c>
      <c r="B2881" t="s">
        <v>73</v>
      </c>
      <c r="C2881" t="s">
        <v>74</v>
      </c>
      <c r="E2881" t="str">
        <f>"FES1162720845"</f>
        <v>FES1162720845</v>
      </c>
      <c r="F2881" s="3">
        <v>43773</v>
      </c>
      <c r="G2881">
        <v>202005</v>
      </c>
      <c r="H2881" t="s">
        <v>75</v>
      </c>
      <c r="I2881" t="s">
        <v>76</v>
      </c>
      <c r="J2881" t="s">
        <v>211</v>
      </c>
      <c r="K2881" t="s">
        <v>78</v>
      </c>
      <c r="L2881" t="s">
        <v>339</v>
      </c>
      <c r="M2881" t="s">
        <v>340</v>
      </c>
      <c r="N2881" t="s">
        <v>2903</v>
      </c>
      <c r="O2881" t="s">
        <v>282</v>
      </c>
      <c r="P2881" t="str">
        <f>"2170715225                    "</f>
        <v xml:space="preserve">2170715225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15.11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1.9</v>
      </c>
      <c r="BJ2881">
        <v>3.8</v>
      </c>
      <c r="BK2881">
        <v>4</v>
      </c>
      <c r="BL2881" s="4">
        <v>92.07</v>
      </c>
      <c r="BM2881" s="4">
        <v>13.81</v>
      </c>
      <c r="BN2881" s="4">
        <v>105.88</v>
      </c>
      <c r="BO2881" s="4">
        <v>105.88</v>
      </c>
      <c r="BQ2881" t="s">
        <v>121</v>
      </c>
      <c r="BR2881" t="s">
        <v>212</v>
      </c>
      <c r="BS2881" s="3">
        <v>43774</v>
      </c>
      <c r="BT2881" s="5">
        <v>0.4284722222222222</v>
      </c>
      <c r="BU2881" t="s">
        <v>2904</v>
      </c>
      <c r="BV2881" t="s">
        <v>86</v>
      </c>
      <c r="BY2881">
        <v>19025.259999999998</v>
      </c>
      <c r="CA2881" t="s">
        <v>720</v>
      </c>
      <c r="CC2881" t="s">
        <v>340</v>
      </c>
      <c r="CD2881">
        <v>157</v>
      </c>
      <c r="CE2881" t="s">
        <v>88</v>
      </c>
      <c r="CF2881" s="3">
        <v>43775</v>
      </c>
      <c r="CI2881">
        <v>0</v>
      </c>
      <c r="CJ2881">
        <v>0</v>
      </c>
      <c r="CK2881" t="s">
        <v>285</v>
      </c>
      <c r="CL2881" t="s">
        <v>89</v>
      </c>
    </row>
    <row r="2882" spans="1:90">
      <c r="A2882" t="s">
        <v>72</v>
      </c>
      <c r="B2882" t="s">
        <v>73</v>
      </c>
      <c r="C2882" t="s">
        <v>74</v>
      </c>
      <c r="E2882" t="str">
        <f>"FES1162722327"</f>
        <v>FES1162722327</v>
      </c>
      <c r="F2882" s="3">
        <v>43780</v>
      </c>
      <c r="G2882">
        <v>202005</v>
      </c>
      <c r="H2882" t="s">
        <v>75</v>
      </c>
      <c r="I2882" t="s">
        <v>76</v>
      </c>
      <c r="J2882" t="s">
        <v>211</v>
      </c>
      <c r="K2882" t="s">
        <v>78</v>
      </c>
      <c r="L2882" t="s">
        <v>280</v>
      </c>
      <c r="M2882" t="s">
        <v>102</v>
      </c>
      <c r="N2882" t="s">
        <v>707</v>
      </c>
      <c r="O2882" t="s">
        <v>282</v>
      </c>
      <c r="P2882" t="str">
        <f>"2170716539                    "</f>
        <v xml:space="preserve">2170716539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14.75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4.5</v>
      </c>
      <c r="BJ2882">
        <v>1.3</v>
      </c>
      <c r="BK2882">
        <v>5</v>
      </c>
      <c r="BL2882" s="4">
        <v>91.71</v>
      </c>
      <c r="BM2882" s="4">
        <v>13.76</v>
      </c>
      <c r="BN2882" s="4">
        <v>105.47</v>
      </c>
      <c r="BO2882" s="4">
        <v>105.47</v>
      </c>
      <c r="BQ2882" t="s">
        <v>121</v>
      </c>
      <c r="BR2882" t="s">
        <v>212</v>
      </c>
      <c r="BS2882" s="3">
        <v>43781</v>
      </c>
      <c r="BT2882" s="5">
        <v>0.33680555555555558</v>
      </c>
      <c r="BU2882" t="s">
        <v>2905</v>
      </c>
      <c r="BV2882" t="s">
        <v>86</v>
      </c>
      <c r="BY2882">
        <v>6552</v>
      </c>
      <c r="CA2882" t="s">
        <v>709</v>
      </c>
      <c r="CC2882" t="s">
        <v>102</v>
      </c>
      <c r="CD2882">
        <v>1</v>
      </c>
      <c r="CE2882" t="s">
        <v>88</v>
      </c>
      <c r="CF2882" s="3">
        <v>43782</v>
      </c>
      <c r="CI2882">
        <v>0</v>
      </c>
      <c r="CJ2882">
        <v>0</v>
      </c>
      <c r="CK2882" t="s">
        <v>285</v>
      </c>
      <c r="CL2882" t="s">
        <v>89</v>
      </c>
    </row>
    <row r="2883" spans="1:90">
      <c r="A2883" t="s">
        <v>72</v>
      </c>
      <c r="B2883" t="s">
        <v>73</v>
      </c>
      <c r="C2883" t="s">
        <v>74</v>
      </c>
      <c r="E2883" t="str">
        <f>"FES1162720709"</f>
        <v>FES1162720709</v>
      </c>
      <c r="F2883" s="3">
        <v>43770</v>
      </c>
      <c r="G2883">
        <v>202005</v>
      </c>
      <c r="H2883" t="s">
        <v>75</v>
      </c>
      <c r="I2883" t="s">
        <v>76</v>
      </c>
      <c r="J2883" t="s">
        <v>211</v>
      </c>
      <c r="K2883" t="s">
        <v>78</v>
      </c>
      <c r="L2883" t="s">
        <v>280</v>
      </c>
      <c r="M2883" t="s">
        <v>102</v>
      </c>
      <c r="N2883" t="s">
        <v>234</v>
      </c>
      <c r="O2883" t="s">
        <v>282</v>
      </c>
      <c r="P2883" t="str">
        <f>"2170715085                    "</f>
        <v xml:space="preserve">2170715085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15.11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3.7</v>
      </c>
      <c r="BJ2883">
        <v>1.6</v>
      </c>
      <c r="BK2883">
        <v>4</v>
      </c>
      <c r="BL2883" s="4">
        <v>92.07</v>
      </c>
      <c r="BM2883" s="4">
        <v>13.81</v>
      </c>
      <c r="BN2883" s="4">
        <v>105.88</v>
      </c>
      <c r="BO2883" s="4">
        <v>105.88</v>
      </c>
      <c r="BQ2883" t="s">
        <v>121</v>
      </c>
      <c r="BR2883" t="s">
        <v>212</v>
      </c>
      <c r="BS2883" s="3">
        <v>43773</v>
      </c>
      <c r="BT2883" s="5">
        <v>0.375</v>
      </c>
      <c r="BU2883" t="s">
        <v>235</v>
      </c>
      <c r="BV2883" t="s">
        <v>86</v>
      </c>
      <c r="BY2883">
        <v>8215.85</v>
      </c>
      <c r="CA2883" t="s">
        <v>183</v>
      </c>
      <c r="CC2883" t="s">
        <v>102</v>
      </c>
      <c r="CD2883">
        <v>200</v>
      </c>
      <c r="CE2883" t="s">
        <v>88</v>
      </c>
      <c r="CF2883" s="3">
        <v>43774</v>
      </c>
      <c r="CI2883">
        <v>0</v>
      </c>
      <c r="CJ2883">
        <v>0</v>
      </c>
      <c r="CK2883" t="s">
        <v>285</v>
      </c>
      <c r="CL2883" t="s">
        <v>89</v>
      </c>
    </row>
    <row r="2884" spans="1:90">
      <c r="A2884" t="s">
        <v>72</v>
      </c>
      <c r="B2884" t="s">
        <v>73</v>
      </c>
      <c r="C2884" t="s">
        <v>74</v>
      </c>
      <c r="E2884" t="str">
        <f>"FES1162721188"</f>
        <v>FES1162721188</v>
      </c>
      <c r="F2884" s="3">
        <v>43774</v>
      </c>
      <c r="G2884">
        <v>202005</v>
      </c>
      <c r="H2884" t="s">
        <v>75</v>
      </c>
      <c r="I2884" t="s">
        <v>76</v>
      </c>
      <c r="J2884" t="s">
        <v>211</v>
      </c>
      <c r="K2884" t="s">
        <v>78</v>
      </c>
      <c r="L2884" t="s">
        <v>2111</v>
      </c>
      <c r="M2884" t="s">
        <v>2112</v>
      </c>
      <c r="N2884" t="s">
        <v>2089</v>
      </c>
      <c r="O2884" t="s">
        <v>282</v>
      </c>
      <c r="P2884" t="str">
        <f>"2170711577                    "</f>
        <v xml:space="preserve">2170711577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18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4</v>
      </c>
      <c r="BJ2884">
        <v>3.1</v>
      </c>
      <c r="BK2884">
        <v>4</v>
      </c>
      <c r="BL2884" s="4">
        <v>108.71</v>
      </c>
      <c r="BM2884" s="4">
        <v>16.309999999999999</v>
      </c>
      <c r="BN2884" s="4">
        <v>125.02</v>
      </c>
      <c r="BO2884" s="4">
        <v>125.02</v>
      </c>
      <c r="BQ2884" t="s">
        <v>121</v>
      </c>
      <c r="BR2884" t="s">
        <v>212</v>
      </c>
      <c r="BS2884" s="3">
        <v>43777</v>
      </c>
      <c r="BT2884" s="5">
        <v>0.34722222222222227</v>
      </c>
      <c r="BU2884" t="s">
        <v>2906</v>
      </c>
      <c r="BV2884" t="s">
        <v>89</v>
      </c>
      <c r="BW2884" t="s">
        <v>144</v>
      </c>
      <c r="BX2884" t="s">
        <v>145</v>
      </c>
      <c r="BY2884">
        <v>15381.34</v>
      </c>
      <c r="CA2884" t="s">
        <v>1046</v>
      </c>
      <c r="CC2884" t="s">
        <v>2112</v>
      </c>
      <c r="CD2884">
        <v>4339</v>
      </c>
      <c r="CE2884" t="s">
        <v>88</v>
      </c>
      <c r="CF2884" s="3">
        <v>43780</v>
      </c>
      <c r="CI2884">
        <v>1</v>
      </c>
      <c r="CJ2884">
        <v>3</v>
      </c>
      <c r="CK2884" t="s">
        <v>994</v>
      </c>
      <c r="CL2884" t="s">
        <v>89</v>
      </c>
    </row>
    <row r="2885" spans="1:90">
      <c r="A2885" t="s">
        <v>72</v>
      </c>
      <c r="B2885" t="s">
        <v>73</v>
      </c>
      <c r="C2885" t="s">
        <v>74</v>
      </c>
      <c r="E2885" t="str">
        <f>"FES1162722172"</f>
        <v>FES1162722172</v>
      </c>
      <c r="F2885" s="3">
        <v>43780</v>
      </c>
      <c r="G2885">
        <v>202005</v>
      </c>
      <c r="H2885" t="s">
        <v>75</v>
      </c>
      <c r="I2885" t="s">
        <v>76</v>
      </c>
      <c r="J2885" t="s">
        <v>211</v>
      </c>
      <c r="K2885" t="s">
        <v>78</v>
      </c>
      <c r="L2885" t="s">
        <v>280</v>
      </c>
      <c r="M2885" t="s">
        <v>102</v>
      </c>
      <c r="N2885" t="s">
        <v>2041</v>
      </c>
      <c r="O2885" t="s">
        <v>282</v>
      </c>
      <c r="P2885" t="str">
        <f>"2170715608                    "</f>
        <v xml:space="preserve">2170715608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14.75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8.1999999999999993</v>
      </c>
      <c r="BJ2885">
        <v>1.9</v>
      </c>
      <c r="BK2885">
        <v>9</v>
      </c>
      <c r="BL2885" s="4">
        <v>91.71</v>
      </c>
      <c r="BM2885" s="4">
        <v>13.76</v>
      </c>
      <c r="BN2885" s="4">
        <v>105.47</v>
      </c>
      <c r="BO2885" s="4">
        <v>105.47</v>
      </c>
      <c r="BQ2885" t="s">
        <v>2907</v>
      </c>
      <c r="BR2885" t="s">
        <v>212</v>
      </c>
      <c r="BS2885" s="3">
        <v>43781</v>
      </c>
      <c r="BT2885" s="5">
        <v>0.34722222222222227</v>
      </c>
      <c r="BU2885" t="s">
        <v>2908</v>
      </c>
      <c r="BV2885" t="s">
        <v>86</v>
      </c>
      <c r="BY2885">
        <v>9567.56</v>
      </c>
      <c r="CA2885" t="s">
        <v>2043</v>
      </c>
      <c r="CC2885" t="s">
        <v>102</v>
      </c>
      <c r="CD2885">
        <v>45</v>
      </c>
      <c r="CE2885" t="s">
        <v>1598</v>
      </c>
      <c r="CF2885" s="3">
        <v>43782</v>
      </c>
      <c r="CI2885">
        <v>0</v>
      </c>
      <c r="CJ2885">
        <v>0</v>
      </c>
      <c r="CK2885" t="s">
        <v>285</v>
      </c>
      <c r="CL2885" t="s">
        <v>89</v>
      </c>
    </row>
    <row r="2886" spans="1:90">
      <c r="A2886" t="s">
        <v>72</v>
      </c>
      <c r="B2886" t="s">
        <v>73</v>
      </c>
      <c r="C2886" t="s">
        <v>74</v>
      </c>
      <c r="E2886" t="str">
        <f>"FES1162721425"</f>
        <v>FES1162721425</v>
      </c>
      <c r="F2886" s="3">
        <v>43775</v>
      </c>
      <c r="G2886">
        <v>202005</v>
      </c>
      <c r="H2886" t="s">
        <v>75</v>
      </c>
      <c r="I2886" t="s">
        <v>76</v>
      </c>
      <c r="J2886" t="s">
        <v>211</v>
      </c>
      <c r="K2886" t="s">
        <v>78</v>
      </c>
      <c r="L2886" t="s">
        <v>280</v>
      </c>
      <c r="M2886" t="s">
        <v>102</v>
      </c>
      <c r="N2886" t="s">
        <v>181</v>
      </c>
      <c r="O2886" t="s">
        <v>282</v>
      </c>
      <c r="P2886" t="str">
        <f>"2170713439                    "</f>
        <v xml:space="preserve">2170713439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14.75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8.8000000000000007</v>
      </c>
      <c r="BJ2886">
        <v>8</v>
      </c>
      <c r="BK2886">
        <v>9</v>
      </c>
      <c r="BL2886" s="4">
        <v>91.71</v>
      </c>
      <c r="BM2886" s="4">
        <v>13.76</v>
      </c>
      <c r="BN2886" s="4">
        <v>105.47</v>
      </c>
      <c r="BO2886" s="4">
        <v>105.47</v>
      </c>
      <c r="BQ2886" t="s">
        <v>121</v>
      </c>
      <c r="BR2886" t="s">
        <v>212</v>
      </c>
      <c r="BS2886" s="3">
        <v>43776</v>
      </c>
      <c r="BT2886" s="5">
        <v>0.40625</v>
      </c>
      <c r="BU2886" t="s">
        <v>182</v>
      </c>
      <c r="BV2886" t="s">
        <v>86</v>
      </c>
      <c r="BY2886">
        <v>39913.19</v>
      </c>
      <c r="CA2886" t="s">
        <v>183</v>
      </c>
      <c r="CC2886" t="s">
        <v>102</v>
      </c>
      <c r="CD2886">
        <v>200</v>
      </c>
      <c r="CE2886" t="s">
        <v>88</v>
      </c>
      <c r="CF2886" s="3">
        <v>43777</v>
      </c>
      <c r="CI2886">
        <v>0</v>
      </c>
      <c r="CJ2886">
        <v>0</v>
      </c>
      <c r="CK2886" t="s">
        <v>285</v>
      </c>
      <c r="CL2886" t="s">
        <v>89</v>
      </c>
    </row>
    <row r="2887" spans="1:90">
      <c r="A2887" t="s">
        <v>72</v>
      </c>
      <c r="B2887" t="s">
        <v>73</v>
      </c>
      <c r="C2887" t="s">
        <v>74</v>
      </c>
      <c r="E2887" t="str">
        <f>"FES1162721438"</f>
        <v>FES1162721438</v>
      </c>
      <c r="F2887" s="3">
        <v>43775</v>
      </c>
      <c r="G2887">
        <v>202005</v>
      </c>
      <c r="H2887" t="s">
        <v>75</v>
      </c>
      <c r="I2887" t="s">
        <v>76</v>
      </c>
      <c r="J2887" t="s">
        <v>211</v>
      </c>
      <c r="K2887" t="s">
        <v>78</v>
      </c>
      <c r="L2887" t="s">
        <v>280</v>
      </c>
      <c r="M2887" t="s">
        <v>102</v>
      </c>
      <c r="N2887" t="s">
        <v>707</v>
      </c>
      <c r="O2887" t="s">
        <v>282</v>
      </c>
      <c r="P2887" t="str">
        <f>"2170713531                    "</f>
        <v xml:space="preserve">2170713531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14.75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4.8</v>
      </c>
      <c r="BJ2887">
        <v>6</v>
      </c>
      <c r="BK2887">
        <v>6</v>
      </c>
      <c r="BL2887" s="4">
        <v>91.71</v>
      </c>
      <c r="BM2887" s="4">
        <v>13.76</v>
      </c>
      <c r="BN2887" s="4">
        <v>105.47</v>
      </c>
      <c r="BO2887" s="4">
        <v>105.47</v>
      </c>
      <c r="BQ2887" t="s">
        <v>121</v>
      </c>
      <c r="BR2887" t="s">
        <v>212</v>
      </c>
      <c r="BS2887" s="3">
        <v>43776</v>
      </c>
      <c r="BT2887" s="5">
        <v>0.33124999999999999</v>
      </c>
      <c r="BU2887" t="s">
        <v>708</v>
      </c>
      <c r="BV2887" t="s">
        <v>86</v>
      </c>
      <c r="BY2887">
        <v>29951.52</v>
      </c>
      <c r="CA2887" t="s">
        <v>709</v>
      </c>
      <c r="CC2887" t="s">
        <v>102</v>
      </c>
      <c r="CD2887">
        <v>1</v>
      </c>
      <c r="CE2887" t="s">
        <v>88</v>
      </c>
      <c r="CF2887" s="3">
        <v>43777</v>
      </c>
      <c r="CI2887">
        <v>0</v>
      </c>
      <c r="CJ2887">
        <v>0</v>
      </c>
      <c r="CK2887" t="s">
        <v>285</v>
      </c>
      <c r="CL2887" t="s">
        <v>89</v>
      </c>
    </row>
    <row r="2888" spans="1:90">
      <c r="A2888" t="s">
        <v>72</v>
      </c>
      <c r="B2888" t="s">
        <v>73</v>
      </c>
      <c r="C2888" t="s">
        <v>74</v>
      </c>
      <c r="E2888" t="str">
        <f>"FES1162721650"</f>
        <v>FES1162721650</v>
      </c>
      <c r="F2888" s="3">
        <v>43775</v>
      </c>
      <c r="G2888">
        <v>202005</v>
      </c>
      <c r="H2888" t="s">
        <v>75</v>
      </c>
      <c r="I2888" t="s">
        <v>76</v>
      </c>
      <c r="J2888" t="s">
        <v>211</v>
      </c>
      <c r="K2888" t="s">
        <v>78</v>
      </c>
      <c r="L2888" t="s">
        <v>280</v>
      </c>
      <c r="M2888" t="s">
        <v>102</v>
      </c>
      <c r="N2888" t="s">
        <v>497</v>
      </c>
      <c r="O2888" t="s">
        <v>282</v>
      </c>
      <c r="P2888" t="str">
        <f>"2170715855                    "</f>
        <v xml:space="preserve">2170715855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14.75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5.7</v>
      </c>
      <c r="BJ2888">
        <v>2.2999999999999998</v>
      </c>
      <c r="BK2888">
        <v>6</v>
      </c>
      <c r="BL2888" s="4">
        <v>91.71</v>
      </c>
      <c r="BM2888" s="4">
        <v>13.76</v>
      </c>
      <c r="BN2888" s="4">
        <v>105.47</v>
      </c>
      <c r="BO2888" s="4">
        <v>105.47</v>
      </c>
      <c r="BP2888" t="s">
        <v>757</v>
      </c>
      <c r="BQ2888" t="s">
        <v>121</v>
      </c>
      <c r="BR2888" t="s">
        <v>212</v>
      </c>
      <c r="BS2888" s="3">
        <v>43776</v>
      </c>
      <c r="BT2888" s="5">
        <v>0.36805555555555558</v>
      </c>
      <c r="BU2888" t="s">
        <v>2909</v>
      </c>
      <c r="BV2888" t="s">
        <v>86</v>
      </c>
      <c r="BY2888">
        <v>11387.55</v>
      </c>
      <c r="CA2888" t="s">
        <v>183</v>
      </c>
      <c r="CC2888" t="s">
        <v>102</v>
      </c>
      <c r="CD2888">
        <v>200</v>
      </c>
      <c r="CE2888" t="s">
        <v>88</v>
      </c>
      <c r="CF2888" s="3">
        <v>43777</v>
      </c>
      <c r="CI2888">
        <v>0</v>
      </c>
      <c r="CJ2888">
        <v>0</v>
      </c>
      <c r="CK2888" t="s">
        <v>285</v>
      </c>
      <c r="CL2888" t="s">
        <v>89</v>
      </c>
    </row>
    <row r="2889" spans="1:90">
      <c r="A2889" t="s">
        <v>72</v>
      </c>
      <c r="B2889" t="s">
        <v>73</v>
      </c>
      <c r="C2889" t="s">
        <v>74</v>
      </c>
      <c r="E2889" t="str">
        <f>"FES1162722279"</f>
        <v>FES1162722279</v>
      </c>
      <c r="F2889" s="3">
        <v>43780</v>
      </c>
      <c r="G2889">
        <v>202005</v>
      </c>
      <c r="H2889" t="s">
        <v>75</v>
      </c>
      <c r="I2889" t="s">
        <v>76</v>
      </c>
      <c r="J2889" t="s">
        <v>211</v>
      </c>
      <c r="K2889" t="s">
        <v>78</v>
      </c>
      <c r="L2889" t="s">
        <v>214</v>
      </c>
      <c r="M2889" t="s">
        <v>214</v>
      </c>
      <c r="N2889" t="s">
        <v>2910</v>
      </c>
      <c r="O2889" t="s">
        <v>282</v>
      </c>
      <c r="P2889" t="str">
        <f>"2170713498                    "</f>
        <v xml:space="preserve">2170713498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19.079999999999998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8</v>
      </c>
      <c r="BJ2889">
        <v>16.2</v>
      </c>
      <c r="BK2889">
        <v>17</v>
      </c>
      <c r="BL2889" s="4">
        <v>117.13</v>
      </c>
      <c r="BM2889" s="4">
        <v>17.57</v>
      </c>
      <c r="BN2889" s="4">
        <v>134.69999999999999</v>
      </c>
      <c r="BO2889" s="4">
        <v>134.69999999999999</v>
      </c>
      <c r="BQ2889" t="s">
        <v>121</v>
      </c>
      <c r="BR2889" t="s">
        <v>212</v>
      </c>
      <c r="BS2889" s="3">
        <v>43782</v>
      </c>
      <c r="BT2889" s="5">
        <v>0.5131944444444444</v>
      </c>
      <c r="BU2889" t="s">
        <v>2911</v>
      </c>
      <c r="BV2889" t="s">
        <v>86</v>
      </c>
      <c r="BY2889">
        <v>80750</v>
      </c>
      <c r="CA2889" t="s">
        <v>217</v>
      </c>
      <c r="CC2889" t="s">
        <v>214</v>
      </c>
      <c r="CD2889">
        <v>7646</v>
      </c>
      <c r="CE2889" t="s">
        <v>1598</v>
      </c>
      <c r="CF2889" s="3">
        <v>43783</v>
      </c>
      <c r="CI2889">
        <v>2</v>
      </c>
      <c r="CJ2889">
        <v>2</v>
      </c>
      <c r="CK2889" t="s">
        <v>1002</v>
      </c>
      <c r="CL2889" t="s">
        <v>89</v>
      </c>
    </row>
    <row r="2890" spans="1:90">
      <c r="A2890" t="s">
        <v>72</v>
      </c>
      <c r="B2890" t="s">
        <v>73</v>
      </c>
      <c r="C2890" t="s">
        <v>74</v>
      </c>
      <c r="E2890" t="str">
        <f>"FES1162722250"</f>
        <v>FES1162722250</v>
      </c>
      <c r="F2890" s="3">
        <v>43780</v>
      </c>
      <c r="G2890">
        <v>202005</v>
      </c>
      <c r="H2890" t="s">
        <v>75</v>
      </c>
      <c r="I2890" t="s">
        <v>76</v>
      </c>
      <c r="J2890" t="s">
        <v>211</v>
      </c>
      <c r="K2890" t="s">
        <v>78</v>
      </c>
      <c r="L2890" t="s">
        <v>270</v>
      </c>
      <c r="M2890" t="s">
        <v>271</v>
      </c>
      <c r="N2890" t="s">
        <v>618</v>
      </c>
      <c r="O2890" t="s">
        <v>282</v>
      </c>
      <c r="P2890" t="str">
        <f>"2170713909                    "</f>
        <v xml:space="preserve">2170713909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29.61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12.3</v>
      </c>
      <c r="BJ2890">
        <v>30.3</v>
      </c>
      <c r="BK2890">
        <v>31</v>
      </c>
      <c r="BL2890" s="4">
        <v>179.04</v>
      </c>
      <c r="BM2890" s="4">
        <v>26.86</v>
      </c>
      <c r="BN2890" s="4">
        <v>205.9</v>
      </c>
      <c r="BO2890" s="4">
        <v>205.9</v>
      </c>
      <c r="BQ2890" t="s">
        <v>121</v>
      </c>
      <c r="BR2890" t="s">
        <v>212</v>
      </c>
      <c r="BS2890" s="3">
        <v>43781</v>
      </c>
      <c r="BT2890" s="5">
        <v>0.40833333333333338</v>
      </c>
      <c r="BU2890" t="s">
        <v>1602</v>
      </c>
      <c r="BV2890" t="s">
        <v>86</v>
      </c>
      <c r="BY2890">
        <v>151459.44</v>
      </c>
      <c r="CA2890" t="s">
        <v>773</v>
      </c>
      <c r="CC2890" t="s">
        <v>271</v>
      </c>
      <c r="CD2890">
        <v>6220</v>
      </c>
      <c r="CE2890" t="s">
        <v>1598</v>
      </c>
      <c r="CF2890" s="3">
        <v>43782</v>
      </c>
      <c r="CI2890">
        <v>2</v>
      </c>
      <c r="CJ2890">
        <v>1</v>
      </c>
      <c r="CK2890" t="s">
        <v>1002</v>
      </c>
      <c r="CL2890" t="s">
        <v>89</v>
      </c>
    </row>
    <row r="2891" spans="1:90">
      <c r="A2891" t="s">
        <v>72</v>
      </c>
      <c r="B2891" t="s">
        <v>73</v>
      </c>
      <c r="C2891" t="s">
        <v>74</v>
      </c>
      <c r="E2891" t="str">
        <f>"RFES1162719200"</f>
        <v>RFES1162719200</v>
      </c>
      <c r="F2891" s="3">
        <v>43777</v>
      </c>
      <c r="G2891">
        <v>202005</v>
      </c>
      <c r="H2891" t="s">
        <v>522</v>
      </c>
      <c r="I2891" t="s">
        <v>523</v>
      </c>
      <c r="J2891" t="s">
        <v>1535</v>
      </c>
      <c r="K2891" t="s">
        <v>78</v>
      </c>
      <c r="L2891" t="s">
        <v>75</v>
      </c>
      <c r="M2891" t="s">
        <v>76</v>
      </c>
      <c r="N2891" t="s">
        <v>211</v>
      </c>
      <c r="O2891" t="s">
        <v>282</v>
      </c>
      <c r="P2891" t="str">
        <f>"2170713821                    "</f>
        <v xml:space="preserve">2170713821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12.07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3</v>
      </c>
      <c r="BJ2891">
        <v>4.9000000000000004</v>
      </c>
      <c r="BK2891">
        <v>5</v>
      </c>
      <c r="BL2891" s="4">
        <v>75.95</v>
      </c>
      <c r="BM2891" s="4">
        <v>11.39</v>
      </c>
      <c r="BN2891" s="4">
        <v>87.34</v>
      </c>
      <c r="BO2891" s="4">
        <v>87.34</v>
      </c>
      <c r="BQ2891" t="s">
        <v>212</v>
      </c>
      <c r="BR2891" t="s">
        <v>121</v>
      </c>
      <c r="BS2891" s="3">
        <v>43780</v>
      </c>
      <c r="BT2891" s="5">
        <v>0.37638888888888888</v>
      </c>
      <c r="BU2891" t="s">
        <v>2912</v>
      </c>
      <c r="BV2891" t="s">
        <v>86</v>
      </c>
      <c r="BY2891">
        <v>24640</v>
      </c>
      <c r="CA2891" t="s">
        <v>123</v>
      </c>
      <c r="CC2891" t="s">
        <v>76</v>
      </c>
      <c r="CD2891">
        <v>1601</v>
      </c>
      <c r="CE2891" t="s">
        <v>1598</v>
      </c>
      <c r="CF2891" s="3">
        <v>43781</v>
      </c>
      <c r="CI2891">
        <v>1</v>
      </c>
      <c r="CJ2891">
        <v>1</v>
      </c>
      <c r="CK2891" t="s">
        <v>2913</v>
      </c>
      <c r="CL2891" t="s">
        <v>89</v>
      </c>
    </row>
    <row r="2892" spans="1:90">
      <c r="A2892" t="s">
        <v>72</v>
      </c>
      <c r="B2892" t="s">
        <v>73</v>
      </c>
      <c r="C2892" t="s">
        <v>74</v>
      </c>
      <c r="E2892" t="str">
        <f>"FES1162722163"</f>
        <v>FES1162722163</v>
      </c>
      <c r="F2892" s="3">
        <v>43777</v>
      </c>
      <c r="G2892">
        <v>202005</v>
      </c>
      <c r="H2892" t="s">
        <v>75</v>
      </c>
      <c r="I2892" t="s">
        <v>76</v>
      </c>
      <c r="J2892" t="s">
        <v>211</v>
      </c>
      <c r="K2892" t="s">
        <v>78</v>
      </c>
      <c r="L2892" t="s">
        <v>112</v>
      </c>
      <c r="M2892" t="s">
        <v>113</v>
      </c>
      <c r="N2892" t="s">
        <v>637</v>
      </c>
      <c r="O2892" t="s">
        <v>282</v>
      </c>
      <c r="P2892" t="str">
        <f>"2170716387                    "</f>
        <v xml:space="preserve">2170716387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13.6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9</v>
      </c>
      <c r="BJ2892">
        <v>17.3</v>
      </c>
      <c r="BK2892">
        <v>18</v>
      </c>
      <c r="BL2892" s="4">
        <v>84.92</v>
      </c>
      <c r="BM2892" s="4">
        <v>12.74</v>
      </c>
      <c r="BN2892" s="4">
        <v>97.66</v>
      </c>
      <c r="BO2892" s="4">
        <v>97.66</v>
      </c>
      <c r="BQ2892" t="s">
        <v>121</v>
      </c>
      <c r="BR2892" t="s">
        <v>212</v>
      </c>
      <c r="BS2892" s="3">
        <v>43781</v>
      </c>
      <c r="BT2892" s="5">
        <v>0.41388888888888892</v>
      </c>
      <c r="BU2892" t="s">
        <v>2914</v>
      </c>
      <c r="BV2892" t="s">
        <v>89</v>
      </c>
      <c r="BW2892" t="s">
        <v>144</v>
      </c>
      <c r="BX2892" t="s">
        <v>145</v>
      </c>
      <c r="BY2892">
        <v>86618.65</v>
      </c>
      <c r="CA2892" t="s">
        <v>1683</v>
      </c>
      <c r="CC2892" t="s">
        <v>113</v>
      </c>
      <c r="CD2892">
        <v>4094</v>
      </c>
      <c r="CE2892" t="s">
        <v>88</v>
      </c>
      <c r="CF2892" s="3">
        <v>43782</v>
      </c>
      <c r="CI2892">
        <v>1</v>
      </c>
      <c r="CJ2892">
        <v>2</v>
      </c>
      <c r="CK2892" t="s">
        <v>711</v>
      </c>
      <c r="CL2892" t="s">
        <v>89</v>
      </c>
    </row>
    <row r="2893" spans="1:90">
      <c r="A2893" t="s">
        <v>72</v>
      </c>
      <c r="B2893" t="s">
        <v>73</v>
      </c>
      <c r="C2893" t="s">
        <v>74</v>
      </c>
      <c r="E2893" t="str">
        <f>"FES1162722121"</f>
        <v>FES1162722121</v>
      </c>
      <c r="F2893" s="3">
        <v>43777</v>
      </c>
      <c r="G2893">
        <v>202005</v>
      </c>
      <c r="H2893" t="s">
        <v>75</v>
      </c>
      <c r="I2893" t="s">
        <v>76</v>
      </c>
      <c r="J2893" t="s">
        <v>211</v>
      </c>
      <c r="K2893" t="s">
        <v>78</v>
      </c>
      <c r="L2893" t="s">
        <v>280</v>
      </c>
      <c r="M2893" t="s">
        <v>102</v>
      </c>
      <c r="N2893" t="s">
        <v>2915</v>
      </c>
      <c r="O2893" t="s">
        <v>282</v>
      </c>
      <c r="P2893" t="str">
        <f>"2170715591                    "</f>
        <v xml:space="preserve">2170715591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14.75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4.2</v>
      </c>
      <c r="BJ2893">
        <v>1.8</v>
      </c>
      <c r="BK2893">
        <v>5</v>
      </c>
      <c r="BL2893" s="4">
        <v>91.71</v>
      </c>
      <c r="BM2893" s="4">
        <v>13.76</v>
      </c>
      <c r="BN2893" s="4">
        <v>105.47</v>
      </c>
      <c r="BO2893" s="4">
        <v>105.47</v>
      </c>
      <c r="BQ2893" t="s">
        <v>121</v>
      </c>
      <c r="BR2893" t="s">
        <v>212</v>
      </c>
      <c r="BS2893" s="3">
        <v>43780</v>
      </c>
      <c r="BT2893" s="5">
        <v>0.42708333333333331</v>
      </c>
      <c r="BU2893" t="s">
        <v>2916</v>
      </c>
      <c r="BV2893" t="s">
        <v>86</v>
      </c>
      <c r="BY2893">
        <v>8919.2999999999993</v>
      </c>
      <c r="CA2893" t="s">
        <v>183</v>
      </c>
      <c r="CC2893" t="s">
        <v>102</v>
      </c>
      <c r="CD2893">
        <v>200</v>
      </c>
      <c r="CE2893" t="s">
        <v>88</v>
      </c>
      <c r="CF2893" s="3">
        <v>43781</v>
      </c>
      <c r="CI2893">
        <v>0</v>
      </c>
      <c r="CJ2893">
        <v>0</v>
      </c>
      <c r="CK2893" t="s">
        <v>285</v>
      </c>
      <c r="CL2893" t="s">
        <v>89</v>
      </c>
    </row>
    <row r="2894" spans="1:90">
      <c r="A2894" t="s">
        <v>72</v>
      </c>
      <c r="B2894" t="s">
        <v>73</v>
      </c>
      <c r="C2894" t="s">
        <v>74</v>
      </c>
      <c r="E2894" t="str">
        <f>"FES1162721614"</f>
        <v>FES1162721614</v>
      </c>
      <c r="F2894" s="3">
        <v>43775</v>
      </c>
      <c r="G2894">
        <v>202005</v>
      </c>
      <c r="H2894" t="s">
        <v>75</v>
      </c>
      <c r="I2894" t="s">
        <v>76</v>
      </c>
      <c r="J2894" t="s">
        <v>211</v>
      </c>
      <c r="K2894" t="s">
        <v>78</v>
      </c>
      <c r="L2894" t="s">
        <v>176</v>
      </c>
      <c r="M2894" t="s">
        <v>177</v>
      </c>
      <c r="N2894" t="s">
        <v>2586</v>
      </c>
      <c r="O2894" t="s">
        <v>282</v>
      </c>
      <c r="P2894" t="str">
        <f>"2170715801                    "</f>
        <v xml:space="preserve">2170715801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19.7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14.3</v>
      </c>
      <c r="BJ2894">
        <v>29.5</v>
      </c>
      <c r="BK2894">
        <v>30</v>
      </c>
      <c r="BL2894" s="4">
        <v>120.78</v>
      </c>
      <c r="BM2894" s="4">
        <v>18.12</v>
      </c>
      <c r="BN2894" s="4">
        <v>138.9</v>
      </c>
      <c r="BO2894" s="4">
        <v>138.9</v>
      </c>
      <c r="BQ2894" t="s">
        <v>121</v>
      </c>
      <c r="BR2894" t="s">
        <v>212</v>
      </c>
      <c r="BS2894" s="3">
        <v>43776</v>
      </c>
      <c r="BT2894" s="5">
        <v>0.35069444444444442</v>
      </c>
      <c r="BU2894" t="s">
        <v>1045</v>
      </c>
      <c r="BV2894" t="s">
        <v>86</v>
      </c>
      <c r="BY2894">
        <v>147646.79999999999</v>
      </c>
      <c r="CA2894" t="s">
        <v>224</v>
      </c>
      <c r="CC2894" t="s">
        <v>177</v>
      </c>
      <c r="CD2894">
        <v>3610</v>
      </c>
      <c r="CE2894" t="s">
        <v>88</v>
      </c>
      <c r="CF2894" s="3">
        <v>43777</v>
      </c>
      <c r="CI2894">
        <v>1</v>
      </c>
      <c r="CJ2894">
        <v>1</v>
      </c>
      <c r="CK2894" t="s">
        <v>711</v>
      </c>
      <c r="CL2894" t="s">
        <v>89</v>
      </c>
    </row>
    <row r="2895" spans="1:90">
      <c r="A2895" t="s">
        <v>72</v>
      </c>
      <c r="B2895" t="s">
        <v>73</v>
      </c>
      <c r="C2895" t="s">
        <v>74</v>
      </c>
      <c r="E2895" t="str">
        <f>"FES1162721720"</f>
        <v>FES1162721720</v>
      </c>
      <c r="F2895" s="3">
        <v>43775</v>
      </c>
      <c r="G2895">
        <v>202005</v>
      </c>
      <c r="H2895" t="s">
        <v>75</v>
      </c>
      <c r="I2895" t="s">
        <v>76</v>
      </c>
      <c r="J2895" t="s">
        <v>211</v>
      </c>
      <c r="K2895" t="s">
        <v>78</v>
      </c>
      <c r="L2895" t="s">
        <v>339</v>
      </c>
      <c r="M2895" t="s">
        <v>340</v>
      </c>
      <c r="N2895" t="s">
        <v>718</v>
      </c>
      <c r="O2895" t="s">
        <v>282</v>
      </c>
      <c r="P2895" t="str">
        <f>"2170715950                    "</f>
        <v xml:space="preserve">2170715950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14.75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3.6</v>
      </c>
      <c r="BJ2895">
        <v>6</v>
      </c>
      <c r="BK2895">
        <v>6</v>
      </c>
      <c r="BL2895" s="4">
        <v>91.71</v>
      </c>
      <c r="BM2895" s="4">
        <v>13.76</v>
      </c>
      <c r="BN2895" s="4">
        <v>105.47</v>
      </c>
      <c r="BO2895" s="4">
        <v>105.47</v>
      </c>
      <c r="BR2895" t="s">
        <v>212</v>
      </c>
      <c r="BS2895" s="3">
        <v>43776</v>
      </c>
      <c r="BT2895" s="5">
        <v>0.42777777777777781</v>
      </c>
      <c r="BU2895" t="s">
        <v>1132</v>
      </c>
      <c r="BV2895" t="s">
        <v>86</v>
      </c>
      <c r="BY2895">
        <v>29967.56</v>
      </c>
      <c r="CA2895" t="s">
        <v>720</v>
      </c>
      <c r="CC2895" t="s">
        <v>340</v>
      </c>
      <c r="CD2895">
        <v>157</v>
      </c>
      <c r="CE2895" t="s">
        <v>88</v>
      </c>
      <c r="CF2895" s="3">
        <v>43777</v>
      </c>
      <c r="CI2895">
        <v>0</v>
      </c>
      <c r="CJ2895">
        <v>0</v>
      </c>
      <c r="CK2895" t="s">
        <v>285</v>
      </c>
      <c r="CL2895" t="s">
        <v>89</v>
      </c>
    </row>
    <row r="2896" spans="1:90">
      <c r="A2896" t="s">
        <v>72</v>
      </c>
      <c r="B2896" t="s">
        <v>73</v>
      </c>
      <c r="C2896" t="s">
        <v>74</v>
      </c>
      <c r="E2896" t="str">
        <f>"FES1162721714"</f>
        <v>FES1162721714</v>
      </c>
      <c r="F2896" s="3">
        <v>43775</v>
      </c>
      <c r="G2896">
        <v>202005</v>
      </c>
      <c r="H2896" t="s">
        <v>75</v>
      </c>
      <c r="I2896" t="s">
        <v>76</v>
      </c>
      <c r="J2896" t="s">
        <v>211</v>
      </c>
      <c r="K2896" t="s">
        <v>78</v>
      </c>
      <c r="L2896" t="s">
        <v>280</v>
      </c>
      <c r="M2896" t="s">
        <v>102</v>
      </c>
      <c r="N2896" t="s">
        <v>2740</v>
      </c>
      <c r="O2896" t="s">
        <v>282</v>
      </c>
      <c r="P2896" t="str">
        <f>"2170715943                    "</f>
        <v xml:space="preserve">2170715943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14.75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5.6</v>
      </c>
      <c r="BJ2896">
        <v>1.3</v>
      </c>
      <c r="BK2896">
        <v>6</v>
      </c>
      <c r="BL2896" s="4">
        <v>91.71</v>
      </c>
      <c r="BM2896" s="4">
        <v>13.76</v>
      </c>
      <c r="BN2896" s="4">
        <v>105.47</v>
      </c>
      <c r="BO2896" s="4">
        <v>105.47</v>
      </c>
      <c r="BQ2896" t="s">
        <v>121</v>
      </c>
      <c r="BR2896" t="s">
        <v>212</v>
      </c>
      <c r="BS2896" s="3">
        <v>43776</v>
      </c>
      <c r="BT2896" s="5">
        <v>0.38541666666666669</v>
      </c>
      <c r="BU2896" t="s">
        <v>2917</v>
      </c>
      <c r="BV2896" t="s">
        <v>86</v>
      </c>
      <c r="BY2896">
        <v>6620.09</v>
      </c>
      <c r="CA2896" t="s">
        <v>183</v>
      </c>
      <c r="CC2896" t="s">
        <v>102</v>
      </c>
      <c r="CD2896">
        <v>200</v>
      </c>
      <c r="CE2896" t="s">
        <v>88</v>
      </c>
      <c r="CF2896" s="3">
        <v>43777</v>
      </c>
      <c r="CI2896">
        <v>0</v>
      </c>
      <c r="CJ2896">
        <v>0</v>
      </c>
      <c r="CK2896" t="s">
        <v>285</v>
      </c>
      <c r="CL2896" t="s">
        <v>89</v>
      </c>
    </row>
    <row r="2897" spans="1:90">
      <c r="A2897" t="s">
        <v>72</v>
      </c>
      <c r="B2897" t="s">
        <v>73</v>
      </c>
      <c r="C2897" t="s">
        <v>74</v>
      </c>
      <c r="E2897" t="str">
        <f>"FES1162722012"</f>
        <v>FES1162722012</v>
      </c>
      <c r="F2897" s="3">
        <v>43777</v>
      </c>
      <c r="G2897">
        <v>202005</v>
      </c>
      <c r="H2897" t="s">
        <v>75</v>
      </c>
      <c r="I2897" t="s">
        <v>76</v>
      </c>
      <c r="J2897" t="s">
        <v>211</v>
      </c>
      <c r="K2897" t="s">
        <v>78</v>
      </c>
      <c r="L2897" t="s">
        <v>280</v>
      </c>
      <c r="M2897" t="s">
        <v>102</v>
      </c>
      <c r="N2897" t="s">
        <v>707</v>
      </c>
      <c r="O2897" t="s">
        <v>282</v>
      </c>
      <c r="P2897" t="str">
        <f>"2170716210                    "</f>
        <v xml:space="preserve">2170716210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14.75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4.4000000000000004</v>
      </c>
      <c r="BJ2897">
        <v>1.2</v>
      </c>
      <c r="BK2897">
        <v>5</v>
      </c>
      <c r="BL2897" s="4">
        <v>91.71</v>
      </c>
      <c r="BM2897" s="4">
        <v>13.76</v>
      </c>
      <c r="BN2897" s="4">
        <v>105.47</v>
      </c>
      <c r="BO2897" s="4">
        <v>105.47</v>
      </c>
      <c r="BQ2897" t="s">
        <v>121</v>
      </c>
      <c r="BR2897" t="s">
        <v>212</v>
      </c>
      <c r="BS2897" s="3">
        <v>43780</v>
      </c>
      <c r="BT2897" s="5">
        <v>0.35000000000000003</v>
      </c>
      <c r="BU2897" t="s">
        <v>708</v>
      </c>
      <c r="BV2897" t="s">
        <v>86</v>
      </c>
      <c r="BY2897">
        <v>5953.54</v>
      </c>
      <c r="CA2897" t="s">
        <v>709</v>
      </c>
      <c r="CC2897" t="s">
        <v>102</v>
      </c>
      <c r="CD2897">
        <v>1</v>
      </c>
      <c r="CE2897" t="s">
        <v>88</v>
      </c>
      <c r="CF2897" s="3">
        <v>43781</v>
      </c>
      <c r="CI2897">
        <v>0</v>
      </c>
      <c r="CJ2897">
        <v>0</v>
      </c>
      <c r="CK2897" t="s">
        <v>285</v>
      </c>
      <c r="CL2897" t="s">
        <v>89</v>
      </c>
    </row>
    <row r="2898" spans="1:90">
      <c r="A2898" t="s">
        <v>72</v>
      </c>
      <c r="B2898" t="s">
        <v>73</v>
      </c>
      <c r="C2898" t="s">
        <v>74</v>
      </c>
      <c r="E2898" t="str">
        <f>"FES1162722057"</f>
        <v>FES1162722057</v>
      </c>
      <c r="F2898" s="3">
        <v>43777</v>
      </c>
      <c r="G2898">
        <v>202005</v>
      </c>
      <c r="H2898" t="s">
        <v>75</v>
      </c>
      <c r="I2898" t="s">
        <v>76</v>
      </c>
      <c r="J2898" t="s">
        <v>211</v>
      </c>
      <c r="K2898" t="s">
        <v>78</v>
      </c>
      <c r="L2898" t="s">
        <v>292</v>
      </c>
      <c r="M2898" t="s">
        <v>293</v>
      </c>
      <c r="N2898" t="s">
        <v>2313</v>
      </c>
      <c r="O2898" t="s">
        <v>282</v>
      </c>
      <c r="P2898" t="str">
        <f>"2170716254                    "</f>
        <v xml:space="preserve">2170716254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16.09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4.5</v>
      </c>
      <c r="BJ2898">
        <v>5.9</v>
      </c>
      <c r="BK2898">
        <v>6</v>
      </c>
      <c r="BL2898" s="4">
        <v>99.59</v>
      </c>
      <c r="BM2898" s="4">
        <v>14.94</v>
      </c>
      <c r="BN2898" s="4">
        <v>114.53</v>
      </c>
      <c r="BO2898" s="4">
        <v>114.53</v>
      </c>
      <c r="BQ2898" t="s">
        <v>121</v>
      </c>
      <c r="BR2898" t="s">
        <v>212</v>
      </c>
      <c r="BS2898" s="3">
        <v>43780</v>
      </c>
      <c r="BT2898" s="5">
        <v>0.33333333333333331</v>
      </c>
      <c r="BU2898" t="s">
        <v>370</v>
      </c>
      <c r="BV2898" t="s">
        <v>86</v>
      </c>
      <c r="BY2898">
        <v>29356.09</v>
      </c>
      <c r="CC2898" t="s">
        <v>293</v>
      </c>
      <c r="CD2898">
        <v>1947</v>
      </c>
      <c r="CE2898" t="s">
        <v>1216</v>
      </c>
      <c r="CF2898" s="3">
        <v>43781</v>
      </c>
      <c r="CI2898">
        <v>1</v>
      </c>
      <c r="CJ2898">
        <v>1</v>
      </c>
      <c r="CK2898" t="s">
        <v>289</v>
      </c>
      <c r="CL2898" t="s">
        <v>89</v>
      </c>
    </row>
    <row r="2899" spans="1:90">
      <c r="A2899" t="s">
        <v>72</v>
      </c>
      <c r="B2899" t="s">
        <v>73</v>
      </c>
      <c r="C2899" t="s">
        <v>74</v>
      </c>
      <c r="E2899" t="str">
        <f>"FES1162721998"</f>
        <v>FES1162721998</v>
      </c>
      <c r="F2899" s="3">
        <v>43776</v>
      </c>
      <c r="G2899">
        <v>202005</v>
      </c>
      <c r="H2899" t="s">
        <v>75</v>
      </c>
      <c r="I2899" t="s">
        <v>76</v>
      </c>
      <c r="J2899" t="s">
        <v>211</v>
      </c>
      <c r="K2899" t="s">
        <v>78</v>
      </c>
      <c r="L2899" t="s">
        <v>280</v>
      </c>
      <c r="M2899" t="s">
        <v>102</v>
      </c>
      <c r="N2899" t="s">
        <v>497</v>
      </c>
      <c r="O2899" t="s">
        <v>282</v>
      </c>
      <c r="P2899" t="str">
        <f>"2170716195                    "</f>
        <v xml:space="preserve">2170716195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14.75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10.3</v>
      </c>
      <c r="BJ2899">
        <v>8.1999999999999993</v>
      </c>
      <c r="BK2899">
        <v>11</v>
      </c>
      <c r="BL2899" s="4">
        <v>91.71</v>
      </c>
      <c r="BM2899" s="4">
        <v>13.76</v>
      </c>
      <c r="BN2899" s="4">
        <v>105.47</v>
      </c>
      <c r="BO2899" s="4">
        <v>105.47</v>
      </c>
      <c r="BQ2899" t="s">
        <v>121</v>
      </c>
      <c r="BR2899" t="s">
        <v>212</v>
      </c>
      <c r="BS2899" s="3">
        <v>43777</v>
      </c>
      <c r="BT2899" s="5">
        <v>0.40972222222222227</v>
      </c>
      <c r="BU2899" t="s">
        <v>498</v>
      </c>
      <c r="BV2899" t="s">
        <v>86</v>
      </c>
      <c r="BY2899">
        <v>41026.57</v>
      </c>
      <c r="CC2899" t="s">
        <v>102</v>
      </c>
      <c r="CD2899">
        <v>200</v>
      </c>
      <c r="CE2899" t="s">
        <v>88</v>
      </c>
      <c r="CF2899" s="3">
        <v>43780</v>
      </c>
      <c r="CI2899">
        <v>0</v>
      </c>
      <c r="CJ2899">
        <v>0</v>
      </c>
      <c r="CK2899" t="s">
        <v>285</v>
      </c>
      <c r="CL2899" t="s">
        <v>89</v>
      </c>
    </row>
    <row r="2900" spans="1:90">
      <c r="A2900" t="s">
        <v>72</v>
      </c>
      <c r="B2900" t="s">
        <v>73</v>
      </c>
      <c r="C2900" t="s">
        <v>74</v>
      </c>
      <c r="E2900" t="str">
        <f>"FES1162721995"</f>
        <v>FES1162721995</v>
      </c>
      <c r="F2900" s="3">
        <v>43776</v>
      </c>
      <c r="G2900">
        <v>202005</v>
      </c>
      <c r="H2900" t="s">
        <v>75</v>
      </c>
      <c r="I2900" t="s">
        <v>76</v>
      </c>
      <c r="J2900" t="s">
        <v>211</v>
      </c>
      <c r="K2900" t="s">
        <v>78</v>
      </c>
      <c r="L2900" t="s">
        <v>280</v>
      </c>
      <c r="M2900" t="s">
        <v>102</v>
      </c>
      <c r="N2900" t="s">
        <v>529</v>
      </c>
      <c r="O2900" t="s">
        <v>282</v>
      </c>
      <c r="P2900" t="str">
        <f>"2170712445                    "</f>
        <v xml:space="preserve">2170712445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14.75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13.9</v>
      </c>
      <c r="BJ2900">
        <v>8</v>
      </c>
      <c r="BK2900">
        <v>14</v>
      </c>
      <c r="BL2900" s="4">
        <v>91.71</v>
      </c>
      <c r="BM2900" s="4">
        <v>13.76</v>
      </c>
      <c r="BN2900" s="4">
        <v>105.47</v>
      </c>
      <c r="BO2900" s="4">
        <v>105.47</v>
      </c>
      <c r="BQ2900" t="s">
        <v>121</v>
      </c>
      <c r="BR2900" t="s">
        <v>212</v>
      </c>
      <c r="BS2900" s="3">
        <v>43780</v>
      </c>
      <c r="BT2900" s="5">
        <v>0.40277777777777773</v>
      </c>
      <c r="BU2900" t="s">
        <v>2918</v>
      </c>
      <c r="BV2900" t="s">
        <v>89</v>
      </c>
      <c r="BW2900" t="s">
        <v>319</v>
      </c>
      <c r="BX2900" t="s">
        <v>1551</v>
      </c>
      <c r="BY2900">
        <v>40180.449999999997</v>
      </c>
      <c r="CA2900" t="s">
        <v>359</v>
      </c>
      <c r="CC2900" t="s">
        <v>102</v>
      </c>
      <c r="CD2900">
        <v>186</v>
      </c>
      <c r="CE2900" t="s">
        <v>88</v>
      </c>
      <c r="CF2900" s="3">
        <v>43781</v>
      </c>
      <c r="CI2900">
        <v>0</v>
      </c>
      <c r="CJ2900">
        <v>0</v>
      </c>
      <c r="CK2900" t="s">
        <v>285</v>
      </c>
      <c r="CL2900" t="s">
        <v>89</v>
      </c>
    </row>
    <row r="2901" spans="1:90">
      <c r="A2901" t="s">
        <v>72</v>
      </c>
      <c r="B2901" t="s">
        <v>73</v>
      </c>
      <c r="C2901" t="s">
        <v>74</v>
      </c>
      <c r="E2901" t="str">
        <f>"FES1162722000"</f>
        <v>FES1162722000</v>
      </c>
      <c r="F2901" s="3">
        <v>43776</v>
      </c>
      <c r="G2901">
        <v>202005</v>
      </c>
      <c r="H2901" t="s">
        <v>75</v>
      </c>
      <c r="I2901" t="s">
        <v>76</v>
      </c>
      <c r="J2901" t="s">
        <v>211</v>
      </c>
      <c r="K2901" t="s">
        <v>78</v>
      </c>
      <c r="L2901" t="s">
        <v>280</v>
      </c>
      <c r="M2901" t="s">
        <v>102</v>
      </c>
      <c r="N2901" t="s">
        <v>103</v>
      </c>
      <c r="O2901" t="s">
        <v>282</v>
      </c>
      <c r="P2901" t="str">
        <f>"2170716198                    "</f>
        <v xml:space="preserve">2170716198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14.75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3.8</v>
      </c>
      <c r="BJ2901">
        <v>4.8</v>
      </c>
      <c r="BK2901">
        <v>5</v>
      </c>
      <c r="BL2901" s="4">
        <v>91.71</v>
      </c>
      <c r="BM2901" s="4">
        <v>13.76</v>
      </c>
      <c r="BN2901" s="4">
        <v>105.47</v>
      </c>
      <c r="BO2901" s="4">
        <v>105.47</v>
      </c>
      <c r="BQ2901" t="s">
        <v>121</v>
      </c>
      <c r="BR2901" t="s">
        <v>212</v>
      </c>
      <c r="BS2901" s="3">
        <v>43777</v>
      </c>
      <c r="BT2901" s="5">
        <v>0.54236111111111118</v>
      </c>
      <c r="BU2901" t="s">
        <v>1128</v>
      </c>
      <c r="BV2901" t="s">
        <v>86</v>
      </c>
      <c r="BY2901">
        <v>23839.200000000001</v>
      </c>
      <c r="CA2901" t="s">
        <v>105</v>
      </c>
      <c r="CC2901" t="s">
        <v>102</v>
      </c>
      <c r="CD2901">
        <v>183</v>
      </c>
      <c r="CE2901" t="s">
        <v>88</v>
      </c>
      <c r="CF2901" s="3">
        <v>43780</v>
      </c>
      <c r="CI2901">
        <v>0</v>
      </c>
      <c r="CJ2901">
        <v>0</v>
      </c>
      <c r="CK2901" t="s">
        <v>285</v>
      </c>
      <c r="CL2901" t="s">
        <v>89</v>
      </c>
    </row>
    <row r="2902" spans="1:90">
      <c r="A2902" t="s">
        <v>72</v>
      </c>
      <c r="B2902" t="s">
        <v>73</v>
      </c>
      <c r="C2902" t="s">
        <v>74</v>
      </c>
      <c r="E2902" t="str">
        <f>"FES1162721918"</f>
        <v>FES1162721918</v>
      </c>
      <c r="F2902" s="3">
        <v>43776</v>
      </c>
      <c r="G2902">
        <v>202005</v>
      </c>
      <c r="H2902" t="s">
        <v>75</v>
      </c>
      <c r="I2902" t="s">
        <v>76</v>
      </c>
      <c r="J2902" t="s">
        <v>211</v>
      </c>
      <c r="K2902" t="s">
        <v>78</v>
      </c>
      <c r="L2902" t="s">
        <v>339</v>
      </c>
      <c r="M2902" t="s">
        <v>340</v>
      </c>
      <c r="N2902" t="s">
        <v>341</v>
      </c>
      <c r="O2902" t="s">
        <v>282</v>
      </c>
      <c r="P2902" t="str">
        <f>"2170716110                    "</f>
        <v xml:space="preserve">2170716110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14.75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4.2</v>
      </c>
      <c r="BJ2902">
        <v>1</v>
      </c>
      <c r="BK2902">
        <v>5</v>
      </c>
      <c r="BL2902" s="4">
        <v>91.71</v>
      </c>
      <c r="BM2902" s="4">
        <v>13.76</v>
      </c>
      <c r="BN2902" s="4">
        <v>105.47</v>
      </c>
      <c r="BO2902" s="4">
        <v>105.47</v>
      </c>
      <c r="BQ2902" t="s">
        <v>121</v>
      </c>
      <c r="BR2902" t="s">
        <v>212</v>
      </c>
      <c r="BS2902" s="3">
        <v>43777</v>
      </c>
      <c r="BT2902" s="5">
        <v>0.38750000000000001</v>
      </c>
      <c r="BU2902" t="s">
        <v>342</v>
      </c>
      <c r="BV2902" t="s">
        <v>86</v>
      </c>
      <c r="BY2902">
        <v>4879.3900000000003</v>
      </c>
      <c r="CA2902" t="s">
        <v>343</v>
      </c>
      <c r="CC2902" t="s">
        <v>340</v>
      </c>
      <c r="CD2902">
        <v>157</v>
      </c>
      <c r="CE2902" t="s">
        <v>88</v>
      </c>
      <c r="CF2902" s="3">
        <v>43780</v>
      </c>
      <c r="CI2902">
        <v>0</v>
      </c>
      <c r="CJ2902">
        <v>0</v>
      </c>
      <c r="CK2902" t="s">
        <v>285</v>
      </c>
      <c r="CL2902" t="s">
        <v>89</v>
      </c>
    </row>
    <row r="2903" spans="1:90">
      <c r="A2903" t="s">
        <v>72</v>
      </c>
      <c r="B2903" t="s">
        <v>73</v>
      </c>
      <c r="C2903" t="s">
        <v>74</v>
      </c>
      <c r="E2903" t="str">
        <f>"FES1162721837"</f>
        <v>FES1162721837</v>
      </c>
      <c r="F2903" s="3">
        <v>43776</v>
      </c>
      <c r="G2903">
        <v>202005</v>
      </c>
      <c r="H2903" t="s">
        <v>75</v>
      </c>
      <c r="I2903" t="s">
        <v>76</v>
      </c>
      <c r="J2903" t="s">
        <v>211</v>
      </c>
      <c r="K2903" t="s">
        <v>78</v>
      </c>
      <c r="L2903" t="s">
        <v>280</v>
      </c>
      <c r="M2903" t="s">
        <v>102</v>
      </c>
      <c r="N2903" t="s">
        <v>707</v>
      </c>
      <c r="O2903" t="s">
        <v>282</v>
      </c>
      <c r="P2903" t="str">
        <f>"2170716035                    "</f>
        <v xml:space="preserve">2170716035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14.75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9</v>
      </c>
      <c r="BJ2903">
        <v>3.7</v>
      </c>
      <c r="BK2903">
        <v>9</v>
      </c>
      <c r="BL2903" s="4">
        <v>91.71</v>
      </c>
      <c r="BM2903" s="4">
        <v>13.76</v>
      </c>
      <c r="BN2903" s="4">
        <v>105.47</v>
      </c>
      <c r="BO2903" s="4">
        <v>105.47</v>
      </c>
      <c r="BQ2903" t="s">
        <v>121</v>
      </c>
      <c r="BR2903" t="s">
        <v>212</v>
      </c>
      <c r="BS2903" s="3">
        <v>43777</v>
      </c>
      <c r="BT2903" s="5">
        <v>0.36458333333333331</v>
      </c>
      <c r="BU2903" t="s">
        <v>1403</v>
      </c>
      <c r="BV2903" t="s">
        <v>86</v>
      </c>
      <c r="BY2903">
        <v>18281.080000000002</v>
      </c>
      <c r="CA2903" t="s">
        <v>709</v>
      </c>
      <c r="CC2903" t="s">
        <v>102</v>
      </c>
      <c r="CD2903">
        <v>1</v>
      </c>
      <c r="CE2903" t="s">
        <v>88</v>
      </c>
      <c r="CF2903" s="3">
        <v>43781</v>
      </c>
      <c r="CI2903">
        <v>0</v>
      </c>
      <c r="CJ2903">
        <v>0</v>
      </c>
      <c r="CK2903" t="s">
        <v>285</v>
      </c>
      <c r="CL2903" t="s">
        <v>89</v>
      </c>
    </row>
    <row r="2904" spans="1:90">
      <c r="A2904" t="s">
        <v>72</v>
      </c>
      <c r="B2904" t="s">
        <v>73</v>
      </c>
      <c r="C2904" t="s">
        <v>74</v>
      </c>
      <c r="E2904" t="str">
        <f>"FES1162721590"</f>
        <v>FES1162721590</v>
      </c>
      <c r="F2904" s="3">
        <v>43775</v>
      </c>
      <c r="G2904">
        <v>202005</v>
      </c>
      <c r="H2904" t="s">
        <v>75</v>
      </c>
      <c r="I2904" t="s">
        <v>76</v>
      </c>
      <c r="J2904" t="s">
        <v>211</v>
      </c>
      <c r="K2904" t="s">
        <v>78</v>
      </c>
      <c r="L2904" t="s">
        <v>214</v>
      </c>
      <c r="M2904" t="s">
        <v>214</v>
      </c>
      <c r="N2904" t="s">
        <v>218</v>
      </c>
      <c r="O2904" t="s">
        <v>282</v>
      </c>
      <c r="P2904" t="str">
        <f>"2170715762                    "</f>
        <v xml:space="preserve">2170715762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31.11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14.4</v>
      </c>
      <c r="BJ2904">
        <v>32.200000000000003</v>
      </c>
      <c r="BK2904">
        <v>33</v>
      </c>
      <c r="BL2904" s="4">
        <v>187.88</v>
      </c>
      <c r="BM2904" s="4">
        <v>28.18</v>
      </c>
      <c r="BN2904" s="4">
        <v>216.06</v>
      </c>
      <c r="BO2904" s="4">
        <v>216.06</v>
      </c>
      <c r="BQ2904" t="s">
        <v>121</v>
      </c>
      <c r="BR2904" t="s">
        <v>212</v>
      </c>
      <c r="BS2904" s="3">
        <v>43776</v>
      </c>
      <c r="BT2904" s="5">
        <v>0.45763888888888887</v>
      </c>
      <c r="BU2904" t="s">
        <v>2919</v>
      </c>
      <c r="BV2904" t="s">
        <v>86</v>
      </c>
      <c r="BY2904">
        <v>160861.26</v>
      </c>
      <c r="CA2904" t="s">
        <v>1643</v>
      </c>
      <c r="CC2904" t="s">
        <v>214</v>
      </c>
      <c r="CD2904">
        <v>7620</v>
      </c>
      <c r="CE2904" t="s">
        <v>88</v>
      </c>
      <c r="CF2904" s="3">
        <v>43777</v>
      </c>
      <c r="CI2904">
        <v>2</v>
      </c>
      <c r="CJ2904">
        <v>1</v>
      </c>
      <c r="CK2904" t="s">
        <v>1002</v>
      </c>
      <c r="CL2904" t="s">
        <v>89</v>
      </c>
    </row>
    <row r="2905" spans="1:90">
      <c r="A2905" t="s">
        <v>72</v>
      </c>
      <c r="B2905" t="s">
        <v>73</v>
      </c>
      <c r="C2905" t="s">
        <v>74</v>
      </c>
      <c r="E2905" t="str">
        <f>"FES1162721347"</f>
        <v>FES1162721347</v>
      </c>
      <c r="F2905" s="3">
        <v>43775</v>
      </c>
      <c r="G2905">
        <v>202005</v>
      </c>
      <c r="H2905" t="s">
        <v>75</v>
      </c>
      <c r="I2905" t="s">
        <v>76</v>
      </c>
      <c r="J2905" t="s">
        <v>211</v>
      </c>
      <c r="K2905" t="s">
        <v>78</v>
      </c>
      <c r="L2905" t="s">
        <v>681</v>
      </c>
      <c r="M2905" t="s">
        <v>682</v>
      </c>
      <c r="N2905" t="s">
        <v>1282</v>
      </c>
      <c r="O2905" t="s">
        <v>282</v>
      </c>
      <c r="P2905" t="str">
        <f>"2170715646                    "</f>
        <v xml:space="preserve">2170715646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21.61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16.600000000000001</v>
      </c>
      <c r="BJ2905">
        <v>29.9</v>
      </c>
      <c r="BK2905">
        <v>30</v>
      </c>
      <c r="BL2905" s="4">
        <v>132.02000000000001</v>
      </c>
      <c r="BM2905" s="4">
        <v>19.8</v>
      </c>
      <c r="BN2905" s="4">
        <v>151.82</v>
      </c>
      <c r="BO2905" s="4">
        <v>151.82</v>
      </c>
      <c r="BQ2905" t="s">
        <v>121</v>
      </c>
      <c r="BR2905" t="s">
        <v>212</v>
      </c>
      <c r="BS2905" s="3">
        <v>43776</v>
      </c>
      <c r="BT2905" s="5">
        <v>0.4375</v>
      </c>
      <c r="BU2905" t="s">
        <v>1283</v>
      </c>
      <c r="BV2905" t="s">
        <v>86</v>
      </c>
      <c r="BY2905">
        <v>149263.4</v>
      </c>
      <c r="CA2905" t="s">
        <v>1224</v>
      </c>
      <c r="CC2905" t="s">
        <v>682</v>
      </c>
      <c r="CD2905">
        <v>1939</v>
      </c>
      <c r="CE2905" t="s">
        <v>88</v>
      </c>
      <c r="CF2905" s="3">
        <v>43777</v>
      </c>
      <c r="CI2905">
        <v>1</v>
      </c>
      <c r="CJ2905">
        <v>1</v>
      </c>
      <c r="CK2905" t="s">
        <v>285</v>
      </c>
      <c r="CL2905" t="s">
        <v>89</v>
      </c>
    </row>
    <row r="2906" spans="1:90">
      <c r="A2906" t="s">
        <v>72</v>
      </c>
      <c r="B2906" t="s">
        <v>73</v>
      </c>
      <c r="C2906" t="s">
        <v>74</v>
      </c>
      <c r="E2906" t="str">
        <f>"FES1162720633"</f>
        <v>FES1162720633</v>
      </c>
      <c r="F2906" s="3">
        <v>43770</v>
      </c>
      <c r="G2906">
        <v>202005</v>
      </c>
      <c r="H2906" t="s">
        <v>75</v>
      </c>
      <c r="I2906" t="s">
        <v>76</v>
      </c>
      <c r="J2906" t="s">
        <v>211</v>
      </c>
      <c r="K2906" t="s">
        <v>78</v>
      </c>
      <c r="L2906" t="s">
        <v>280</v>
      </c>
      <c r="M2906" t="s">
        <v>102</v>
      </c>
      <c r="N2906" t="s">
        <v>2041</v>
      </c>
      <c r="O2906" t="s">
        <v>282</v>
      </c>
      <c r="P2906" t="str">
        <f>"2170715053                    "</f>
        <v xml:space="preserve">2170715053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15.11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9.6</v>
      </c>
      <c r="BJ2906">
        <v>14.7</v>
      </c>
      <c r="BK2906">
        <v>15</v>
      </c>
      <c r="BL2906" s="4">
        <v>92.07</v>
      </c>
      <c r="BM2906" s="4">
        <v>13.81</v>
      </c>
      <c r="BN2906" s="4">
        <v>105.88</v>
      </c>
      <c r="BO2906" s="4">
        <v>105.88</v>
      </c>
      <c r="BQ2906" t="s">
        <v>121</v>
      </c>
      <c r="BR2906" t="s">
        <v>212</v>
      </c>
      <c r="BS2906" s="3">
        <v>43773</v>
      </c>
      <c r="BT2906" s="5">
        <v>0.35416666666666669</v>
      </c>
      <c r="BU2906" t="s">
        <v>2908</v>
      </c>
      <c r="BV2906" t="s">
        <v>86</v>
      </c>
      <c r="BY2906">
        <v>73656</v>
      </c>
      <c r="CA2906" t="s">
        <v>2043</v>
      </c>
      <c r="CC2906" t="s">
        <v>102</v>
      </c>
      <c r="CD2906">
        <v>45</v>
      </c>
      <c r="CE2906" t="s">
        <v>88</v>
      </c>
      <c r="CF2906" s="3">
        <v>43774</v>
      </c>
      <c r="CI2906">
        <v>0</v>
      </c>
      <c r="CJ2906">
        <v>0</v>
      </c>
      <c r="CK2906" t="s">
        <v>285</v>
      </c>
      <c r="CL2906" t="s">
        <v>89</v>
      </c>
    </row>
    <row r="2907" spans="1:90">
      <c r="A2907" t="s">
        <v>72</v>
      </c>
      <c r="B2907" t="s">
        <v>73</v>
      </c>
      <c r="C2907" t="s">
        <v>74</v>
      </c>
      <c r="E2907" t="str">
        <f>"FES1162720884"</f>
        <v>FES1162720884</v>
      </c>
      <c r="F2907" s="3">
        <v>43773</v>
      </c>
      <c r="G2907">
        <v>202005</v>
      </c>
      <c r="H2907" t="s">
        <v>75</v>
      </c>
      <c r="I2907" t="s">
        <v>76</v>
      </c>
      <c r="J2907" t="s">
        <v>211</v>
      </c>
      <c r="K2907" t="s">
        <v>78</v>
      </c>
      <c r="L2907" t="s">
        <v>280</v>
      </c>
      <c r="M2907" t="s">
        <v>102</v>
      </c>
      <c r="N2907" t="s">
        <v>2920</v>
      </c>
      <c r="O2907" t="s">
        <v>282</v>
      </c>
      <c r="P2907" t="str">
        <f>"2170713793                    "</f>
        <v xml:space="preserve">2170713793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15.11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2.9</v>
      </c>
      <c r="BJ2907">
        <v>3.8</v>
      </c>
      <c r="BK2907">
        <v>4</v>
      </c>
      <c r="BL2907" s="4">
        <v>92.07</v>
      </c>
      <c r="BM2907" s="4">
        <v>13.81</v>
      </c>
      <c r="BN2907" s="4">
        <v>105.88</v>
      </c>
      <c r="BO2907" s="4">
        <v>105.88</v>
      </c>
      <c r="BQ2907" t="s">
        <v>121</v>
      </c>
      <c r="BR2907" t="s">
        <v>212</v>
      </c>
      <c r="BS2907" s="3">
        <v>43774</v>
      </c>
      <c r="BT2907" s="5">
        <v>0.30555555555555552</v>
      </c>
      <c r="BU2907" t="s">
        <v>2921</v>
      </c>
      <c r="BV2907" t="s">
        <v>86</v>
      </c>
      <c r="BY2907">
        <v>19053.2</v>
      </c>
      <c r="CA2907" t="s">
        <v>916</v>
      </c>
      <c r="CC2907" t="s">
        <v>102</v>
      </c>
      <c r="CD2907">
        <v>186</v>
      </c>
      <c r="CE2907" t="s">
        <v>88</v>
      </c>
      <c r="CF2907" s="3">
        <v>43777</v>
      </c>
      <c r="CI2907">
        <v>0</v>
      </c>
      <c r="CJ2907">
        <v>0</v>
      </c>
      <c r="CK2907" t="s">
        <v>285</v>
      </c>
      <c r="CL2907" t="s">
        <v>89</v>
      </c>
    </row>
    <row r="2908" spans="1:90">
      <c r="A2908" t="s">
        <v>72</v>
      </c>
      <c r="B2908" t="s">
        <v>73</v>
      </c>
      <c r="C2908" t="s">
        <v>74</v>
      </c>
      <c r="E2908" t="str">
        <f>"FES1162721798"</f>
        <v>FES1162721798</v>
      </c>
      <c r="F2908" s="3">
        <v>43776</v>
      </c>
      <c r="G2908">
        <v>202005</v>
      </c>
      <c r="H2908" t="s">
        <v>75</v>
      </c>
      <c r="I2908" t="s">
        <v>76</v>
      </c>
      <c r="J2908" t="s">
        <v>211</v>
      </c>
      <c r="K2908" t="s">
        <v>78</v>
      </c>
      <c r="L2908" t="s">
        <v>605</v>
      </c>
      <c r="M2908" t="s">
        <v>606</v>
      </c>
      <c r="N2908" t="s">
        <v>607</v>
      </c>
      <c r="O2908" t="s">
        <v>282</v>
      </c>
      <c r="P2908" t="str">
        <f>"2170715982                    "</f>
        <v xml:space="preserve">2170715982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17.86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15.4</v>
      </c>
      <c r="BJ2908">
        <v>18</v>
      </c>
      <c r="BK2908">
        <v>18</v>
      </c>
      <c r="BL2908" s="4">
        <v>109.97</v>
      </c>
      <c r="BM2908" s="4">
        <v>16.5</v>
      </c>
      <c r="BN2908" s="4">
        <v>126.47</v>
      </c>
      <c r="BO2908" s="4">
        <v>126.47</v>
      </c>
      <c r="BQ2908" t="s">
        <v>121</v>
      </c>
      <c r="BR2908" t="s">
        <v>212</v>
      </c>
      <c r="BS2908" s="3">
        <v>43780</v>
      </c>
      <c r="BT2908" s="5">
        <v>0.5</v>
      </c>
      <c r="BU2908" t="s">
        <v>2922</v>
      </c>
      <c r="BV2908" t="s">
        <v>89</v>
      </c>
      <c r="BY2908">
        <v>89899.6</v>
      </c>
      <c r="CA2908" t="s">
        <v>889</v>
      </c>
      <c r="CC2908" t="s">
        <v>606</v>
      </c>
      <c r="CD2908">
        <v>208</v>
      </c>
      <c r="CE2908" t="s">
        <v>88</v>
      </c>
      <c r="CF2908" s="3">
        <v>43781</v>
      </c>
      <c r="CI2908">
        <v>0</v>
      </c>
      <c r="CJ2908">
        <v>0</v>
      </c>
      <c r="CK2908" t="s">
        <v>289</v>
      </c>
      <c r="CL2908" t="s">
        <v>89</v>
      </c>
    </row>
    <row r="2909" spans="1:90">
      <c r="A2909" t="s">
        <v>72</v>
      </c>
      <c r="B2909" t="s">
        <v>73</v>
      </c>
      <c r="C2909" t="s">
        <v>74</v>
      </c>
      <c r="E2909" t="str">
        <f>"FES1162721662"</f>
        <v>FES1162721662</v>
      </c>
      <c r="F2909" s="3">
        <v>43776</v>
      </c>
      <c r="G2909">
        <v>202005</v>
      </c>
      <c r="H2909" t="s">
        <v>75</v>
      </c>
      <c r="I2909" t="s">
        <v>76</v>
      </c>
      <c r="J2909" t="s">
        <v>211</v>
      </c>
      <c r="K2909" t="s">
        <v>78</v>
      </c>
      <c r="L2909" t="s">
        <v>133</v>
      </c>
      <c r="M2909" t="s">
        <v>134</v>
      </c>
      <c r="N2909" t="s">
        <v>135</v>
      </c>
      <c r="O2909" t="s">
        <v>282</v>
      </c>
      <c r="P2909" t="str">
        <f>"2170715880                    "</f>
        <v xml:space="preserve">2170715880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46.16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12.3</v>
      </c>
      <c r="BJ2909">
        <v>52.6</v>
      </c>
      <c r="BK2909">
        <v>53</v>
      </c>
      <c r="BL2909" s="4">
        <v>276.33</v>
      </c>
      <c r="BM2909" s="4">
        <v>41.45</v>
      </c>
      <c r="BN2909" s="4">
        <v>317.77999999999997</v>
      </c>
      <c r="BO2909" s="4">
        <v>317.77999999999997</v>
      </c>
      <c r="BQ2909" t="s">
        <v>121</v>
      </c>
      <c r="BR2909" t="s">
        <v>212</v>
      </c>
      <c r="BS2909" s="3">
        <v>43777</v>
      </c>
      <c r="BT2909" s="5">
        <v>0.40486111111111112</v>
      </c>
      <c r="BU2909" t="s">
        <v>2923</v>
      </c>
      <c r="BV2909" t="s">
        <v>86</v>
      </c>
      <c r="BY2909">
        <v>263115.84000000003</v>
      </c>
      <c r="CA2909" t="s">
        <v>1422</v>
      </c>
      <c r="CC2909" t="s">
        <v>134</v>
      </c>
      <c r="CD2909">
        <v>5201</v>
      </c>
      <c r="CE2909" t="s">
        <v>88</v>
      </c>
      <c r="CF2909" s="3">
        <v>43780</v>
      </c>
      <c r="CI2909">
        <v>2</v>
      </c>
      <c r="CJ2909">
        <v>1</v>
      </c>
      <c r="CK2909" t="s">
        <v>994</v>
      </c>
      <c r="CL2909" t="s">
        <v>89</v>
      </c>
    </row>
    <row r="2910" spans="1:90">
      <c r="A2910" t="s">
        <v>72</v>
      </c>
      <c r="B2910" t="s">
        <v>73</v>
      </c>
      <c r="C2910" t="s">
        <v>74</v>
      </c>
      <c r="E2910" t="str">
        <f>"FES1162721743"</f>
        <v>FES1162721743</v>
      </c>
      <c r="F2910" s="3">
        <v>43776</v>
      </c>
      <c r="G2910">
        <v>202005</v>
      </c>
      <c r="H2910" t="s">
        <v>75</v>
      </c>
      <c r="I2910" t="s">
        <v>76</v>
      </c>
      <c r="J2910" t="s">
        <v>211</v>
      </c>
      <c r="K2910" t="s">
        <v>78</v>
      </c>
      <c r="L2910" t="s">
        <v>292</v>
      </c>
      <c r="M2910" t="s">
        <v>293</v>
      </c>
      <c r="N2910" t="s">
        <v>2924</v>
      </c>
      <c r="O2910" t="s">
        <v>282</v>
      </c>
      <c r="P2910" t="str">
        <f>"2170713607                    "</f>
        <v xml:space="preserve">2170713607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16.09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3.7</v>
      </c>
      <c r="BJ2910">
        <v>0.8</v>
      </c>
      <c r="BK2910">
        <v>4</v>
      </c>
      <c r="BL2910" s="4">
        <v>99.59</v>
      </c>
      <c r="BM2910" s="4">
        <v>14.94</v>
      </c>
      <c r="BN2910" s="4">
        <v>114.53</v>
      </c>
      <c r="BO2910" s="4">
        <v>114.53</v>
      </c>
      <c r="BQ2910" t="s">
        <v>121</v>
      </c>
      <c r="BR2910" t="s">
        <v>212</v>
      </c>
      <c r="BS2910" s="3">
        <v>43780</v>
      </c>
      <c r="BT2910" s="5">
        <v>0.54166666666666663</v>
      </c>
      <c r="BU2910" t="s">
        <v>370</v>
      </c>
      <c r="BV2910" t="s">
        <v>89</v>
      </c>
      <c r="BW2910" t="s">
        <v>596</v>
      </c>
      <c r="BX2910" t="s">
        <v>1538</v>
      </c>
      <c r="BY2910">
        <v>4021.92</v>
      </c>
      <c r="CC2910" t="s">
        <v>293</v>
      </c>
      <c r="CD2910">
        <v>1947</v>
      </c>
      <c r="CE2910" t="s">
        <v>88</v>
      </c>
      <c r="CF2910" s="3">
        <v>43781</v>
      </c>
      <c r="CI2910">
        <v>1</v>
      </c>
      <c r="CJ2910">
        <v>2</v>
      </c>
      <c r="CK2910" t="s">
        <v>289</v>
      </c>
      <c r="CL2910" t="s">
        <v>89</v>
      </c>
    </row>
    <row r="2911" spans="1:90">
      <c r="A2911" t="s">
        <v>72</v>
      </c>
      <c r="B2911" t="s">
        <v>73</v>
      </c>
      <c r="C2911" t="s">
        <v>74</v>
      </c>
      <c r="E2911" t="str">
        <f>"FES1162721611"</f>
        <v>FES1162721611</v>
      </c>
      <c r="F2911" s="3">
        <v>43775</v>
      </c>
      <c r="G2911">
        <v>202005</v>
      </c>
      <c r="H2911" t="s">
        <v>75</v>
      </c>
      <c r="I2911" t="s">
        <v>76</v>
      </c>
      <c r="J2911" t="s">
        <v>211</v>
      </c>
      <c r="K2911" t="s">
        <v>78</v>
      </c>
      <c r="L2911" t="s">
        <v>292</v>
      </c>
      <c r="M2911" t="s">
        <v>293</v>
      </c>
      <c r="N2911" t="s">
        <v>294</v>
      </c>
      <c r="O2911" t="s">
        <v>282</v>
      </c>
      <c r="P2911" t="str">
        <f>"2170713621                    "</f>
        <v xml:space="preserve">2170713621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16.68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9</v>
      </c>
      <c r="BJ2911">
        <v>15.3</v>
      </c>
      <c r="BK2911">
        <v>16</v>
      </c>
      <c r="BL2911" s="4">
        <v>103.05</v>
      </c>
      <c r="BM2911" s="4">
        <v>15.46</v>
      </c>
      <c r="BN2911" s="4">
        <v>118.51</v>
      </c>
      <c r="BO2911" s="4">
        <v>118.51</v>
      </c>
      <c r="BQ2911" t="s">
        <v>121</v>
      </c>
      <c r="BR2911" t="s">
        <v>212</v>
      </c>
      <c r="BS2911" s="3">
        <v>43776</v>
      </c>
      <c r="BT2911" s="5">
        <v>0.3840277777777778</v>
      </c>
      <c r="BU2911" t="s">
        <v>1259</v>
      </c>
      <c r="BV2911" t="s">
        <v>86</v>
      </c>
      <c r="BY2911">
        <v>76642.2</v>
      </c>
      <c r="CC2911" t="s">
        <v>293</v>
      </c>
      <c r="CD2911">
        <v>1947</v>
      </c>
      <c r="CE2911" t="s">
        <v>88</v>
      </c>
      <c r="CF2911" s="3">
        <v>43777</v>
      </c>
      <c r="CI2911">
        <v>1</v>
      </c>
      <c r="CJ2911">
        <v>1</v>
      </c>
      <c r="CK2911" t="s">
        <v>289</v>
      </c>
      <c r="CL2911" t="s">
        <v>89</v>
      </c>
    </row>
    <row r="2912" spans="1:90">
      <c r="A2912" t="s">
        <v>72</v>
      </c>
      <c r="B2912" t="s">
        <v>73</v>
      </c>
      <c r="C2912" t="s">
        <v>74</v>
      </c>
      <c r="E2912" t="str">
        <f>"FES1162721346"</f>
        <v>FES1162721346</v>
      </c>
      <c r="F2912" s="3">
        <v>43774</v>
      </c>
      <c r="G2912">
        <v>202005</v>
      </c>
      <c r="H2912" t="s">
        <v>75</v>
      </c>
      <c r="I2912" t="s">
        <v>76</v>
      </c>
      <c r="J2912" t="s">
        <v>211</v>
      </c>
      <c r="K2912" t="s">
        <v>78</v>
      </c>
      <c r="L2912" t="s">
        <v>681</v>
      </c>
      <c r="M2912" t="s">
        <v>682</v>
      </c>
      <c r="N2912" t="s">
        <v>1282</v>
      </c>
      <c r="O2912" t="s">
        <v>282</v>
      </c>
      <c r="P2912" t="str">
        <f>"2170715645                    "</f>
        <v xml:space="preserve">2170715645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16.52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17.600000000000001</v>
      </c>
      <c r="BJ2912">
        <v>16.7</v>
      </c>
      <c r="BK2912">
        <v>18</v>
      </c>
      <c r="BL2912" s="4">
        <v>100.17</v>
      </c>
      <c r="BM2912" s="4">
        <v>15.03</v>
      </c>
      <c r="BN2912" s="4">
        <v>115.2</v>
      </c>
      <c r="BO2912" s="4">
        <v>115.2</v>
      </c>
      <c r="BQ2912" t="s">
        <v>121</v>
      </c>
      <c r="BR2912" t="s">
        <v>212</v>
      </c>
      <c r="BS2912" s="3">
        <v>43775</v>
      </c>
      <c r="BT2912" s="5">
        <v>0.32569444444444445</v>
      </c>
      <c r="BU2912" t="s">
        <v>2925</v>
      </c>
      <c r="BV2912" t="s">
        <v>86</v>
      </c>
      <c r="BY2912">
        <v>83518.42</v>
      </c>
      <c r="CA2912" t="s">
        <v>751</v>
      </c>
      <c r="CC2912" t="s">
        <v>682</v>
      </c>
      <c r="CD2912">
        <v>1939</v>
      </c>
      <c r="CE2912" t="s">
        <v>88</v>
      </c>
      <c r="CF2912" s="3">
        <v>43776</v>
      </c>
      <c r="CI2912">
        <v>1</v>
      </c>
      <c r="CJ2912">
        <v>1</v>
      </c>
      <c r="CK2912" t="s">
        <v>285</v>
      </c>
      <c r="CL2912" t="s">
        <v>89</v>
      </c>
    </row>
    <row r="2913" spans="1:90">
      <c r="A2913" t="s">
        <v>72</v>
      </c>
      <c r="B2913" t="s">
        <v>73</v>
      </c>
      <c r="C2913" t="s">
        <v>74</v>
      </c>
      <c r="E2913" t="str">
        <f>"FES1162720936"</f>
        <v>FES1162720936</v>
      </c>
      <c r="F2913" s="3">
        <v>43773</v>
      </c>
      <c r="G2913">
        <v>202005</v>
      </c>
      <c r="H2913" t="s">
        <v>75</v>
      </c>
      <c r="I2913" t="s">
        <v>76</v>
      </c>
      <c r="J2913" t="s">
        <v>211</v>
      </c>
      <c r="K2913" t="s">
        <v>78</v>
      </c>
      <c r="L2913" t="s">
        <v>280</v>
      </c>
      <c r="M2913" t="s">
        <v>102</v>
      </c>
      <c r="N2913" t="s">
        <v>410</v>
      </c>
      <c r="O2913" t="s">
        <v>282</v>
      </c>
      <c r="P2913" t="str">
        <f>"2170714816                    "</f>
        <v xml:space="preserve">2170714816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16.98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11.9</v>
      </c>
      <c r="BJ2913">
        <v>18.7</v>
      </c>
      <c r="BK2913">
        <v>19</v>
      </c>
      <c r="BL2913" s="4">
        <v>102.86</v>
      </c>
      <c r="BM2913" s="4">
        <v>15.43</v>
      </c>
      <c r="BN2913" s="4">
        <v>118.29</v>
      </c>
      <c r="BO2913" s="4">
        <v>118.29</v>
      </c>
      <c r="BQ2913" t="s">
        <v>121</v>
      </c>
      <c r="BR2913" t="s">
        <v>212</v>
      </c>
      <c r="BS2913" s="3">
        <v>43774</v>
      </c>
      <c r="BT2913" s="5">
        <v>0.32291666666666669</v>
      </c>
      <c r="BU2913" t="s">
        <v>411</v>
      </c>
      <c r="BV2913" t="s">
        <v>86</v>
      </c>
      <c r="BY2913">
        <v>93694.65</v>
      </c>
      <c r="CA2913" t="s">
        <v>359</v>
      </c>
      <c r="CC2913" t="s">
        <v>102</v>
      </c>
      <c r="CD2913">
        <v>184</v>
      </c>
      <c r="CE2913" t="s">
        <v>88</v>
      </c>
      <c r="CF2913" s="3">
        <v>43775</v>
      </c>
      <c r="CI2913">
        <v>0</v>
      </c>
      <c r="CJ2913">
        <v>0</v>
      </c>
      <c r="CK2913" t="s">
        <v>285</v>
      </c>
      <c r="CL2913" t="s">
        <v>89</v>
      </c>
    </row>
    <row r="2914" spans="1:90">
      <c r="A2914" t="s">
        <v>72</v>
      </c>
      <c r="B2914" t="s">
        <v>73</v>
      </c>
      <c r="C2914" t="s">
        <v>74</v>
      </c>
      <c r="E2914" t="str">
        <f>"FES1162722170"</f>
        <v>FES1162722170</v>
      </c>
      <c r="F2914" s="3">
        <v>43780</v>
      </c>
      <c r="G2914">
        <v>202005</v>
      </c>
      <c r="H2914" t="s">
        <v>75</v>
      </c>
      <c r="I2914" t="s">
        <v>76</v>
      </c>
      <c r="J2914" t="s">
        <v>211</v>
      </c>
      <c r="K2914" t="s">
        <v>78</v>
      </c>
      <c r="L2914" t="s">
        <v>280</v>
      </c>
      <c r="M2914" t="s">
        <v>102</v>
      </c>
      <c r="N2914" t="s">
        <v>707</v>
      </c>
      <c r="O2914" t="s">
        <v>282</v>
      </c>
      <c r="P2914" t="str">
        <f>"2170714035                    "</f>
        <v xml:space="preserve">2170714035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16.12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13.9</v>
      </c>
      <c r="BJ2914">
        <v>17.100000000000001</v>
      </c>
      <c r="BK2914">
        <v>18</v>
      </c>
      <c r="BL2914" s="4">
        <v>99.77</v>
      </c>
      <c r="BM2914" s="4">
        <v>14.97</v>
      </c>
      <c r="BN2914" s="4">
        <v>114.74</v>
      </c>
      <c r="BO2914" s="4">
        <v>114.74</v>
      </c>
      <c r="BQ2914" t="s">
        <v>121</v>
      </c>
      <c r="BR2914" t="s">
        <v>212</v>
      </c>
      <c r="BS2914" s="3">
        <v>43781</v>
      </c>
      <c r="BT2914" s="5">
        <v>0.33680555555555558</v>
      </c>
      <c r="BU2914" t="s">
        <v>2905</v>
      </c>
      <c r="BV2914" t="s">
        <v>86</v>
      </c>
      <c r="BY2914">
        <v>85553.01</v>
      </c>
      <c r="CA2914" t="s">
        <v>709</v>
      </c>
      <c r="CC2914" t="s">
        <v>102</v>
      </c>
      <c r="CD2914">
        <v>1</v>
      </c>
      <c r="CE2914" t="s">
        <v>88</v>
      </c>
      <c r="CF2914" s="3">
        <v>43782</v>
      </c>
      <c r="CI2914">
        <v>0</v>
      </c>
      <c r="CJ2914">
        <v>0</v>
      </c>
      <c r="CK2914" t="s">
        <v>285</v>
      </c>
      <c r="CL2914" t="s">
        <v>89</v>
      </c>
    </row>
    <row r="2915" spans="1:90">
      <c r="A2915" t="s">
        <v>72</v>
      </c>
      <c r="B2915" t="s">
        <v>73</v>
      </c>
      <c r="C2915" t="s">
        <v>74</v>
      </c>
      <c r="E2915" t="str">
        <f>"FES1162721152"</f>
        <v>FES1162721152</v>
      </c>
      <c r="F2915" s="3">
        <v>43773</v>
      </c>
      <c r="G2915">
        <v>202005</v>
      </c>
      <c r="H2915" t="s">
        <v>75</v>
      </c>
      <c r="I2915" t="s">
        <v>76</v>
      </c>
      <c r="J2915" t="s">
        <v>211</v>
      </c>
      <c r="K2915" t="s">
        <v>78</v>
      </c>
      <c r="L2915" t="s">
        <v>214</v>
      </c>
      <c r="M2915" t="s">
        <v>214</v>
      </c>
      <c r="N2915" t="s">
        <v>2926</v>
      </c>
      <c r="O2915" t="s">
        <v>282</v>
      </c>
      <c r="P2915" t="str">
        <f>"2170715247                    "</f>
        <v xml:space="preserve">2170715247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18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0.9</v>
      </c>
      <c r="BJ2915">
        <v>2.6</v>
      </c>
      <c r="BK2915">
        <v>3</v>
      </c>
      <c r="BL2915" s="4">
        <v>108.71</v>
      </c>
      <c r="BM2915" s="4">
        <v>16.309999999999999</v>
      </c>
      <c r="BN2915" s="4">
        <v>125.02</v>
      </c>
      <c r="BO2915" s="4">
        <v>125.02</v>
      </c>
      <c r="BQ2915" t="s">
        <v>121</v>
      </c>
      <c r="BR2915" t="s">
        <v>212</v>
      </c>
      <c r="BS2915" s="3">
        <v>43777</v>
      </c>
      <c r="BT2915" s="5">
        <v>0.40763888888888888</v>
      </c>
      <c r="BU2915" t="s">
        <v>382</v>
      </c>
      <c r="BV2915" t="s">
        <v>89</v>
      </c>
      <c r="BW2915" t="s">
        <v>319</v>
      </c>
      <c r="BX2915" t="s">
        <v>320</v>
      </c>
      <c r="BY2915">
        <v>13024.44</v>
      </c>
      <c r="CA2915" t="s">
        <v>773</v>
      </c>
      <c r="CC2915" t="s">
        <v>214</v>
      </c>
      <c r="CD2915">
        <v>7646</v>
      </c>
      <c r="CE2915" t="s">
        <v>147</v>
      </c>
      <c r="CF2915" s="3">
        <v>43780</v>
      </c>
      <c r="CI2915">
        <v>2</v>
      </c>
      <c r="CJ2915">
        <v>4</v>
      </c>
      <c r="CK2915" t="s">
        <v>1002</v>
      </c>
      <c r="CL2915" t="s">
        <v>89</v>
      </c>
    </row>
    <row r="2916" spans="1:90">
      <c r="A2916" t="s">
        <v>72</v>
      </c>
      <c r="B2916" t="s">
        <v>73</v>
      </c>
      <c r="C2916" t="s">
        <v>74</v>
      </c>
      <c r="E2916" t="str">
        <f>"FES1162721579"</f>
        <v>FES1162721579</v>
      </c>
      <c r="F2916" s="3">
        <v>43775</v>
      </c>
      <c r="G2916">
        <v>202005</v>
      </c>
      <c r="H2916" t="s">
        <v>75</v>
      </c>
      <c r="I2916" t="s">
        <v>76</v>
      </c>
      <c r="J2916" t="s">
        <v>211</v>
      </c>
      <c r="K2916" t="s">
        <v>78</v>
      </c>
      <c r="L2916" t="s">
        <v>280</v>
      </c>
      <c r="M2916" t="s">
        <v>102</v>
      </c>
      <c r="N2916" t="s">
        <v>181</v>
      </c>
      <c r="O2916" t="s">
        <v>282</v>
      </c>
      <c r="P2916" t="str">
        <f>"2170715751                    "</f>
        <v xml:space="preserve">2170715751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15.67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2</v>
      </c>
      <c r="BI2916">
        <v>16.899999999999999</v>
      </c>
      <c r="BJ2916">
        <v>15.8</v>
      </c>
      <c r="BK2916">
        <v>17</v>
      </c>
      <c r="BL2916" s="4">
        <v>97.09</v>
      </c>
      <c r="BM2916" s="4">
        <v>14.56</v>
      </c>
      <c r="BN2916" s="4">
        <v>111.65</v>
      </c>
      <c r="BO2916" s="4">
        <v>111.65</v>
      </c>
      <c r="BQ2916" t="s">
        <v>121</v>
      </c>
      <c r="BR2916" t="s">
        <v>212</v>
      </c>
      <c r="BS2916" s="3">
        <v>43776</v>
      </c>
      <c r="BT2916" s="5">
        <v>0.45555555555555555</v>
      </c>
      <c r="BU2916" t="s">
        <v>2202</v>
      </c>
      <c r="BV2916" t="s">
        <v>86</v>
      </c>
      <c r="BY2916">
        <v>79087.100000000006</v>
      </c>
      <c r="CA2916" t="s">
        <v>475</v>
      </c>
      <c r="CC2916" t="s">
        <v>102</v>
      </c>
      <c r="CD2916">
        <v>200</v>
      </c>
      <c r="CE2916" t="s">
        <v>88</v>
      </c>
      <c r="CF2916" s="3">
        <v>43777</v>
      </c>
      <c r="CI2916">
        <v>0</v>
      </c>
      <c r="CJ2916">
        <v>0</v>
      </c>
      <c r="CK2916" t="s">
        <v>285</v>
      </c>
      <c r="CL2916" t="s">
        <v>89</v>
      </c>
    </row>
    <row r="2917" spans="1:90">
      <c r="A2917" t="s">
        <v>72</v>
      </c>
      <c r="B2917" t="s">
        <v>73</v>
      </c>
      <c r="C2917" t="s">
        <v>74</v>
      </c>
      <c r="E2917" t="str">
        <f>"FES1162724808"</f>
        <v>FES1162724808</v>
      </c>
      <c r="F2917" s="3">
        <v>43794</v>
      </c>
      <c r="G2917">
        <v>202005</v>
      </c>
      <c r="H2917" t="s">
        <v>75</v>
      </c>
      <c r="I2917" t="s">
        <v>76</v>
      </c>
      <c r="J2917" t="s">
        <v>77</v>
      </c>
      <c r="K2917" t="s">
        <v>78</v>
      </c>
      <c r="L2917" t="s">
        <v>90</v>
      </c>
      <c r="M2917" t="s">
        <v>91</v>
      </c>
      <c r="N2917" t="s">
        <v>401</v>
      </c>
      <c r="O2917" t="s">
        <v>82</v>
      </c>
      <c r="P2917" t="str">
        <f>"2170716572                    "</f>
        <v xml:space="preserve">2170716572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8.58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 s="4">
        <v>50.45</v>
      </c>
      <c r="BM2917" s="4">
        <v>7.57</v>
      </c>
      <c r="BN2917" s="4">
        <v>58.02</v>
      </c>
      <c r="BO2917" s="4">
        <v>58.02</v>
      </c>
      <c r="BQ2917" t="s">
        <v>109</v>
      </c>
      <c r="BR2917" t="s">
        <v>84</v>
      </c>
      <c r="BS2917" s="3">
        <v>43795</v>
      </c>
      <c r="BT2917" s="5">
        <v>0.34652777777777777</v>
      </c>
      <c r="BU2917" t="s">
        <v>402</v>
      </c>
      <c r="BV2917" t="s">
        <v>86</v>
      </c>
      <c r="BY2917">
        <v>1200</v>
      </c>
      <c r="CA2917" t="s">
        <v>221</v>
      </c>
      <c r="CC2917" t="s">
        <v>91</v>
      </c>
      <c r="CD2917">
        <v>7441</v>
      </c>
      <c r="CE2917" t="s">
        <v>147</v>
      </c>
      <c r="CF2917" s="3">
        <v>43796</v>
      </c>
      <c r="CI2917">
        <v>1</v>
      </c>
      <c r="CJ2917">
        <v>1</v>
      </c>
      <c r="CK2917">
        <v>21</v>
      </c>
      <c r="CL2917" t="s">
        <v>89</v>
      </c>
    </row>
    <row r="2918" spans="1:90">
      <c r="A2918" t="s">
        <v>72</v>
      </c>
      <c r="B2918" t="s">
        <v>73</v>
      </c>
      <c r="C2918" t="s">
        <v>74</v>
      </c>
      <c r="E2918" t="str">
        <f>"FES1162724884"</f>
        <v>FES1162724884</v>
      </c>
      <c r="F2918" s="3">
        <v>43794</v>
      </c>
      <c r="G2918">
        <v>202005</v>
      </c>
      <c r="H2918" t="s">
        <v>75</v>
      </c>
      <c r="I2918" t="s">
        <v>76</v>
      </c>
      <c r="J2918" t="s">
        <v>77</v>
      </c>
      <c r="K2918" t="s">
        <v>78</v>
      </c>
      <c r="L2918" t="s">
        <v>214</v>
      </c>
      <c r="M2918" t="s">
        <v>214</v>
      </c>
      <c r="N2918" t="s">
        <v>1523</v>
      </c>
      <c r="O2918" t="s">
        <v>82</v>
      </c>
      <c r="P2918" t="str">
        <f>"2170718290                    "</f>
        <v xml:space="preserve">2170718290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16.63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 s="4">
        <v>97.75</v>
      </c>
      <c r="BM2918" s="4">
        <v>14.66</v>
      </c>
      <c r="BN2918" s="4">
        <v>112.41</v>
      </c>
      <c r="BO2918" s="4">
        <v>112.41</v>
      </c>
      <c r="BR2918" t="s">
        <v>84</v>
      </c>
      <c r="BS2918" s="3">
        <v>43795</v>
      </c>
      <c r="BT2918" s="5">
        <v>0.4604166666666667</v>
      </c>
      <c r="BU2918" t="s">
        <v>706</v>
      </c>
      <c r="BV2918" t="s">
        <v>86</v>
      </c>
      <c r="BY2918">
        <v>1200</v>
      </c>
      <c r="CA2918" t="s">
        <v>217</v>
      </c>
      <c r="CC2918" t="s">
        <v>214</v>
      </c>
      <c r="CD2918">
        <v>7646</v>
      </c>
      <c r="CE2918" t="s">
        <v>147</v>
      </c>
      <c r="CF2918" s="3">
        <v>43796</v>
      </c>
      <c r="CI2918">
        <v>1</v>
      </c>
      <c r="CJ2918">
        <v>1</v>
      </c>
      <c r="CK2918">
        <v>23</v>
      </c>
      <c r="CL2918" t="s">
        <v>89</v>
      </c>
    </row>
    <row r="2919" spans="1:90">
      <c r="A2919" t="s">
        <v>72</v>
      </c>
      <c r="B2919" t="s">
        <v>73</v>
      </c>
      <c r="C2919" t="s">
        <v>74</v>
      </c>
      <c r="E2919" t="str">
        <f>"FES1162724890"</f>
        <v>FES1162724890</v>
      </c>
      <c r="F2919" s="3">
        <v>43794</v>
      </c>
      <c r="G2919">
        <v>202005</v>
      </c>
      <c r="H2919" t="s">
        <v>75</v>
      </c>
      <c r="I2919" t="s">
        <v>76</v>
      </c>
      <c r="J2919" t="s">
        <v>77</v>
      </c>
      <c r="K2919" t="s">
        <v>78</v>
      </c>
      <c r="L2919" t="s">
        <v>214</v>
      </c>
      <c r="M2919" t="s">
        <v>214</v>
      </c>
      <c r="N2919" t="s">
        <v>1523</v>
      </c>
      <c r="O2919" t="s">
        <v>82</v>
      </c>
      <c r="P2919" t="str">
        <f>"2170718369                    "</f>
        <v xml:space="preserve">2170718369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16.63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 s="4">
        <v>97.75</v>
      </c>
      <c r="BM2919" s="4">
        <v>14.66</v>
      </c>
      <c r="BN2919" s="4">
        <v>112.41</v>
      </c>
      <c r="BO2919" s="4">
        <v>112.41</v>
      </c>
      <c r="BR2919" t="s">
        <v>84</v>
      </c>
      <c r="BS2919" s="3">
        <v>43795</v>
      </c>
      <c r="BT2919" s="5">
        <v>0.4604166666666667</v>
      </c>
      <c r="BU2919" t="s">
        <v>706</v>
      </c>
      <c r="BV2919" t="s">
        <v>86</v>
      </c>
      <c r="BY2919">
        <v>1200</v>
      </c>
      <c r="CA2919" t="s">
        <v>217</v>
      </c>
      <c r="CC2919" t="s">
        <v>214</v>
      </c>
      <c r="CD2919">
        <v>7646</v>
      </c>
      <c r="CE2919" t="s">
        <v>147</v>
      </c>
      <c r="CF2919" s="3">
        <v>43796</v>
      </c>
      <c r="CI2919">
        <v>1</v>
      </c>
      <c r="CJ2919">
        <v>1</v>
      </c>
      <c r="CK2919">
        <v>23</v>
      </c>
      <c r="CL2919" t="s">
        <v>89</v>
      </c>
    </row>
    <row r="2920" spans="1:90">
      <c r="A2920" t="s">
        <v>72</v>
      </c>
      <c r="B2920" t="s">
        <v>73</v>
      </c>
      <c r="C2920" t="s">
        <v>74</v>
      </c>
      <c r="E2920" t="str">
        <f>"FES1162724837"</f>
        <v>FES1162724837</v>
      </c>
      <c r="F2920" s="3">
        <v>43794</v>
      </c>
      <c r="G2920">
        <v>202005</v>
      </c>
      <c r="H2920" t="s">
        <v>75</v>
      </c>
      <c r="I2920" t="s">
        <v>76</v>
      </c>
      <c r="J2920" t="s">
        <v>77</v>
      </c>
      <c r="K2920" t="s">
        <v>78</v>
      </c>
      <c r="L2920" t="s">
        <v>184</v>
      </c>
      <c r="M2920" t="s">
        <v>185</v>
      </c>
      <c r="N2920" t="s">
        <v>1845</v>
      </c>
      <c r="O2920" t="s">
        <v>82</v>
      </c>
      <c r="P2920" t="str">
        <f>"2170716793                    "</f>
        <v xml:space="preserve">2170716793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6.71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 s="4">
        <v>39.42</v>
      </c>
      <c r="BM2920" s="4">
        <v>5.91</v>
      </c>
      <c r="BN2920" s="4">
        <v>45.33</v>
      </c>
      <c r="BO2920" s="4">
        <v>45.33</v>
      </c>
      <c r="BQ2920" t="s">
        <v>142</v>
      </c>
      <c r="BR2920" t="s">
        <v>84</v>
      </c>
      <c r="BS2920" s="3">
        <v>43795</v>
      </c>
      <c r="BT2920" s="5">
        <v>0.26805555555555555</v>
      </c>
      <c r="BU2920" t="s">
        <v>2927</v>
      </c>
      <c r="BV2920" t="s">
        <v>86</v>
      </c>
      <c r="BY2920">
        <v>1200</v>
      </c>
      <c r="CA2920" t="s">
        <v>1336</v>
      </c>
      <c r="CC2920" t="s">
        <v>185</v>
      </c>
      <c r="CD2920">
        <v>1501</v>
      </c>
      <c r="CE2920" t="s">
        <v>147</v>
      </c>
      <c r="CF2920" s="3">
        <v>43796</v>
      </c>
      <c r="CI2920">
        <v>1</v>
      </c>
      <c r="CJ2920">
        <v>1</v>
      </c>
      <c r="CK2920">
        <v>22</v>
      </c>
      <c r="CL2920" t="s">
        <v>89</v>
      </c>
    </row>
    <row r="2921" spans="1:90">
      <c r="A2921" t="s">
        <v>72</v>
      </c>
      <c r="B2921" t="s">
        <v>73</v>
      </c>
      <c r="C2921" t="s">
        <v>74</v>
      </c>
      <c r="E2921" t="str">
        <f>"FES1162726032"</f>
        <v>FES1162726032</v>
      </c>
      <c r="F2921" s="3">
        <v>43798</v>
      </c>
      <c r="G2921">
        <v>202005</v>
      </c>
      <c r="H2921" t="s">
        <v>75</v>
      </c>
      <c r="I2921" t="s">
        <v>76</v>
      </c>
      <c r="J2921" t="s">
        <v>77</v>
      </c>
      <c r="K2921" t="s">
        <v>78</v>
      </c>
      <c r="L2921" t="s">
        <v>75</v>
      </c>
      <c r="M2921" t="s">
        <v>76</v>
      </c>
      <c r="N2921" t="s">
        <v>2928</v>
      </c>
      <c r="O2921" t="s">
        <v>82</v>
      </c>
      <c r="P2921" t="str">
        <f>"2170719487                    "</f>
        <v xml:space="preserve">2170719487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7.51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1.2</v>
      </c>
      <c r="BJ2921">
        <v>2.5</v>
      </c>
      <c r="BK2921">
        <v>2.5</v>
      </c>
      <c r="BL2921" s="4">
        <v>44.14</v>
      </c>
      <c r="BM2921" s="4">
        <v>6.62</v>
      </c>
      <c r="BN2921" s="4">
        <v>50.76</v>
      </c>
      <c r="BO2921" s="4">
        <v>50.76</v>
      </c>
      <c r="BR2921" t="s">
        <v>84</v>
      </c>
      <c r="BS2921" t="s">
        <v>201</v>
      </c>
      <c r="BY2921">
        <v>12473.28</v>
      </c>
      <c r="CC2921" t="s">
        <v>76</v>
      </c>
      <c r="CD2921">
        <v>1600</v>
      </c>
      <c r="CE2921" t="s">
        <v>1598</v>
      </c>
      <c r="CI2921">
        <v>1</v>
      </c>
      <c r="CJ2921" t="s">
        <v>201</v>
      </c>
      <c r="CK2921">
        <v>22</v>
      </c>
      <c r="CL2921" t="s">
        <v>89</v>
      </c>
    </row>
    <row r="2922" spans="1:90">
      <c r="A2922" t="s">
        <v>72</v>
      </c>
      <c r="B2922" t="s">
        <v>73</v>
      </c>
      <c r="C2922" t="s">
        <v>74</v>
      </c>
      <c r="E2922" t="str">
        <f>"RFES1162723927"</f>
        <v>RFES1162723927</v>
      </c>
      <c r="F2922" s="3">
        <v>43794</v>
      </c>
      <c r="G2922">
        <v>202005</v>
      </c>
      <c r="H2922" t="s">
        <v>691</v>
      </c>
      <c r="I2922" t="s">
        <v>692</v>
      </c>
      <c r="J2922" t="s">
        <v>816</v>
      </c>
      <c r="K2922" t="s">
        <v>78</v>
      </c>
      <c r="L2922" t="s">
        <v>75</v>
      </c>
      <c r="M2922" t="s">
        <v>76</v>
      </c>
      <c r="N2922" t="s">
        <v>77</v>
      </c>
      <c r="O2922" t="s">
        <v>82</v>
      </c>
      <c r="P2922" t="str">
        <f>"2170717374                    "</f>
        <v xml:space="preserve">2170717374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6.71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 s="4">
        <v>39.42</v>
      </c>
      <c r="BM2922" s="4">
        <v>5.91</v>
      </c>
      <c r="BN2922" s="4">
        <v>45.33</v>
      </c>
      <c r="BO2922" s="4">
        <v>45.33</v>
      </c>
      <c r="BQ2922" t="s">
        <v>84</v>
      </c>
      <c r="BR2922" t="s">
        <v>817</v>
      </c>
      <c r="BS2922" s="3">
        <v>43795</v>
      </c>
      <c r="BT2922" s="5">
        <v>0.42430555555555555</v>
      </c>
      <c r="BU2922" t="s">
        <v>2929</v>
      </c>
      <c r="BV2922" t="s">
        <v>86</v>
      </c>
      <c r="BY2922">
        <v>1200</v>
      </c>
      <c r="CA2922" t="s">
        <v>2334</v>
      </c>
      <c r="CC2922" t="s">
        <v>76</v>
      </c>
      <c r="CD2922">
        <v>1601</v>
      </c>
      <c r="CE2922" t="s">
        <v>147</v>
      </c>
      <c r="CF2922" s="3">
        <v>43796</v>
      </c>
      <c r="CI2922">
        <v>1</v>
      </c>
      <c r="CJ2922">
        <v>1</v>
      </c>
      <c r="CK2922">
        <v>22</v>
      </c>
      <c r="CL2922" t="s">
        <v>89</v>
      </c>
    </row>
    <row r="2923" spans="1:90">
      <c r="A2923" t="s">
        <v>72</v>
      </c>
      <c r="B2923" t="s">
        <v>73</v>
      </c>
      <c r="C2923" t="s">
        <v>74</v>
      </c>
      <c r="E2923" t="str">
        <f>"FES1162724972"</f>
        <v>FES1162724972</v>
      </c>
      <c r="F2923" s="3">
        <v>43794</v>
      </c>
      <c r="G2923">
        <v>202005</v>
      </c>
      <c r="H2923" t="s">
        <v>75</v>
      </c>
      <c r="I2923" t="s">
        <v>76</v>
      </c>
      <c r="J2923" t="s">
        <v>77</v>
      </c>
      <c r="K2923" t="s">
        <v>78</v>
      </c>
      <c r="L2923" t="s">
        <v>112</v>
      </c>
      <c r="M2923" t="s">
        <v>113</v>
      </c>
      <c r="N2923" t="s">
        <v>160</v>
      </c>
      <c r="O2923" t="s">
        <v>82</v>
      </c>
      <c r="P2923" t="str">
        <f>"2170718677                    "</f>
        <v xml:space="preserve">2170718677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8.58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 s="4">
        <v>50.45</v>
      </c>
      <c r="BM2923" s="4">
        <v>7.57</v>
      </c>
      <c r="BN2923" s="4">
        <v>58.02</v>
      </c>
      <c r="BO2923" s="4">
        <v>58.02</v>
      </c>
      <c r="BQ2923" t="s">
        <v>161</v>
      </c>
      <c r="BR2923" t="s">
        <v>84</v>
      </c>
      <c r="BS2923" s="3">
        <v>43795</v>
      </c>
      <c r="BT2923" s="5">
        <v>0.38263888888888892</v>
      </c>
      <c r="BU2923" t="s">
        <v>162</v>
      </c>
      <c r="BV2923" t="s">
        <v>86</v>
      </c>
      <c r="BY2923">
        <v>1200</v>
      </c>
      <c r="CA2923" t="s">
        <v>163</v>
      </c>
      <c r="CC2923" t="s">
        <v>113</v>
      </c>
      <c r="CD2923">
        <v>4000</v>
      </c>
      <c r="CE2923" t="s">
        <v>147</v>
      </c>
      <c r="CF2923" s="3">
        <v>43796</v>
      </c>
      <c r="CI2923">
        <v>1</v>
      </c>
      <c r="CJ2923">
        <v>1</v>
      </c>
      <c r="CK2923">
        <v>21</v>
      </c>
      <c r="CL2923" t="s">
        <v>89</v>
      </c>
    </row>
    <row r="2924" spans="1:90">
      <c r="A2924" t="s">
        <v>72</v>
      </c>
      <c r="B2924" t="s">
        <v>73</v>
      </c>
      <c r="C2924" t="s">
        <v>74</v>
      </c>
      <c r="E2924" t="str">
        <f>"FES1162724895"</f>
        <v>FES1162724895</v>
      </c>
      <c r="F2924" s="3">
        <v>43794</v>
      </c>
      <c r="G2924">
        <v>202005</v>
      </c>
      <c r="H2924" t="s">
        <v>75</v>
      </c>
      <c r="I2924" t="s">
        <v>76</v>
      </c>
      <c r="J2924" t="s">
        <v>77</v>
      </c>
      <c r="K2924" t="s">
        <v>78</v>
      </c>
      <c r="L2924" t="s">
        <v>482</v>
      </c>
      <c r="M2924" t="s">
        <v>483</v>
      </c>
      <c r="N2924" t="s">
        <v>1301</v>
      </c>
      <c r="O2924" t="s">
        <v>82</v>
      </c>
      <c r="P2924" t="str">
        <f>"2170718564                    "</f>
        <v xml:space="preserve">2170718564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6.71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 s="4">
        <v>39.42</v>
      </c>
      <c r="BM2924" s="4">
        <v>5.91</v>
      </c>
      <c r="BN2924" s="4">
        <v>45.33</v>
      </c>
      <c r="BO2924" s="4">
        <v>45.33</v>
      </c>
      <c r="BQ2924" t="s">
        <v>1302</v>
      </c>
      <c r="BR2924" t="s">
        <v>84</v>
      </c>
      <c r="BS2924" s="3">
        <v>43795</v>
      </c>
      <c r="BT2924" s="5">
        <v>0.37222222222222223</v>
      </c>
      <c r="BU2924" t="s">
        <v>1459</v>
      </c>
      <c r="BV2924" t="s">
        <v>86</v>
      </c>
      <c r="BY2924">
        <v>1200</v>
      </c>
      <c r="CA2924" t="s">
        <v>1336</v>
      </c>
      <c r="CC2924" t="s">
        <v>483</v>
      </c>
      <c r="CD2924">
        <v>1459</v>
      </c>
      <c r="CE2924" t="s">
        <v>147</v>
      </c>
      <c r="CF2924" s="3">
        <v>43796</v>
      </c>
      <c r="CI2924">
        <v>1</v>
      </c>
      <c r="CJ2924">
        <v>1</v>
      </c>
      <c r="CK2924">
        <v>22</v>
      </c>
      <c r="CL2924" t="s">
        <v>89</v>
      </c>
    </row>
    <row r="2925" spans="1:90">
      <c r="A2925" t="s">
        <v>72</v>
      </c>
      <c r="B2925" t="s">
        <v>73</v>
      </c>
      <c r="C2925" t="s">
        <v>74</v>
      </c>
      <c r="E2925" t="str">
        <f>"FES1162724901"</f>
        <v>FES1162724901</v>
      </c>
      <c r="F2925" s="3">
        <v>43794</v>
      </c>
      <c r="G2925">
        <v>202005</v>
      </c>
      <c r="H2925" t="s">
        <v>75</v>
      </c>
      <c r="I2925" t="s">
        <v>76</v>
      </c>
      <c r="J2925" t="s">
        <v>77</v>
      </c>
      <c r="K2925" t="s">
        <v>78</v>
      </c>
      <c r="L2925" t="s">
        <v>90</v>
      </c>
      <c r="M2925" t="s">
        <v>91</v>
      </c>
      <c r="N2925" t="s">
        <v>2930</v>
      </c>
      <c r="O2925" t="s">
        <v>82</v>
      </c>
      <c r="P2925" t="str">
        <f>"2170718581                    "</f>
        <v xml:space="preserve">2170718581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25.74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6</v>
      </c>
      <c r="BJ2925">
        <v>5.8</v>
      </c>
      <c r="BK2925">
        <v>6</v>
      </c>
      <c r="BL2925" s="4">
        <v>151.29</v>
      </c>
      <c r="BM2925" s="4">
        <v>22.69</v>
      </c>
      <c r="BN2925" s="4">
        <v>173.98</v>
      </c>
      <c r="BO2925" s="4">
        <v>173.98</v>
      </c>
      <c r="BQ2925" t="s">
        <v>121</v>
      </c>
      <c r="BR2925" t="s">
        <v>84</v>
      </c>
      <c r="BS2925" s="3">
        <v>43795</v>
      </c>
      <c r="BT2925" s="5">
        <v>0.53194444444444444</v>
      </c>
      <c r="BU2925" t="s">
        <v>2931</v>
      </c>
      <c r="BV2925" t="s">
        <v>89</v>
      </c>
      <c r="BW2925" t="s">
        <v>1691</v>
      </c>
      <c r="BX2925" t="s">
        <v>591</v>
      </c>
      <c r="BY2925">
        <v>29240.84</v>
      </c>
      <c r="CA2925" t="s">
        <v>504</v>
      </c>
      <c r="CC2925" t="s">
        <v>91</v>
      </c>
      <c r="CD2925">
        <v>8000</v>
      </c>
      <c r="CE2925" t="s">
        <v>1598</v>
      </c>
      <c r="CF2925" s="3">
        <v>43796</v>
      </c>
      <c r="CI2925">
        <v>1</v>
      </c>
      <c r="CJ2925">
        <v>1</v>
      </c>
      <c r="CK2925">
        <v>21</v>
      </c>
      <c r="CL2925" t="s">
        <v>89</v>
      </c>
    </row>
    <row r="2926" spans="1:90">
      <c r="A2926" t="s">
        <v>72</v>
      </c>
      <c r="B2926" t="s">
        <v>73</v>
      </c>
      <c r="C2926" t="s">
        <v>74</v>
      </c>
      <c r="E2926" t="str">
        <f>"FES1162724927"</f>
        <v>FES1162724927</v>
      </c>
      <c r="F2926" s="3">
        <v>43794</v>
      </c>
      <c r="G2926">
        <v>202005</v>
      </c>
      <c r="H2926" t="s">
        <v>75</v>
      </c>
      <c r="I2926" t="s">
        <v>76</v>
      </c>
      <c r="J2926" t="s">
        <v>77</v>
      </c>
      <c r="K2926" t="s">
        <v>78</v>
      </c>
      <c r="L2926" t="s">
        <v>214</v>
      </c>
      <c r="M2926" t="s">
        <v>214</v>
      </c>
      <c r="N2926" t="s">
        <v>215</v>
      </c>
      <c r="O2926" t="s">
        <v>82</v>
      </c>
      <c r="P2926" t="str">
        <f>"2170718600                    "</f>
        <v xml:space="preserve">2170718600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24.14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1.9</v>
      </c>
      <c r="BJ2926">
        <v>3</v>
      </c>
      <c r="BK2926">
        <v>3</v>
      </c>
      <c r="BL2926" s="4">
        <v>141.9</v>
      </c>
      <c r="BM2926" s="4">
        <v>21.29</v>
      </c>
      <c r="BN2926" s="4">
        <v>163.19</v>
      </c>
      <c r="BO2926" s="4">
        <v>163.19</v>
      </c>
      <c r="BQ2926" t="s">
        <v>109</v>
      </c>
      <c r="BR2926" t="s">
        <v>84</v>
      </c>
      <c r="BS2926" s="3">
        <v>43795</v>
      </c>
      <c r="BT2926" s="5">
        <v>0.44722222222222219</v>
      </c>
      <c r="BU2926" t="s">
        <v>216</v>
      </c>
      <c r="BV2926" t="s">
        <v>86</v>
      </c>
      <c r="BY2926">
        <v>14991.91</v>
      </c>
      <c r="CA2926" t="s">
        <v>217</v>
      </c>
      <c r="CC2926" t="s">
        <v>214</v>
      </c>
      <c r="CD2926">
        <v>7646</v>
      </c>
      <c r="CE2926" t="s">
        <v>88</v>
      </c>
      <c r="CF2926" s="3">
        <v>43796</v>
      </c>
      <c r="CI2926">
        <v>1</v>
      </c>
      <c r="CJ2926">
        <v>1</v>
      </c>
      <c r="CK2926">
        <v>23</v>
      </c>
      <c r="CL2926" t="s">
        <v>89</v>
      </c>
    </row>
    <row r="2927" spans="1:90">
      <c r="A2927" t="s">
        <v>72</v>
      </c>
      <c r="B2927" t="s">
        <v>73</v>
      </c>
      <c r="C2927" t="s">
        <v>74</v>
      </c>
      <c r="E2927" t="str">
        <f>"FES1162724816"</f>
        <v>FES1162724816</v>
      </c>
      <c r="F2927" s="3">
        <v>43794</v>
      </c>
      <c r="G2927">
        <v>202005</v>
      </c>
      <c r="H2927" t="s">
        <v>75</v>
      </c>
      <c r="I2927" t="s">
        <v>76</v>
      </c>
      <c r="J2927" t="s">
        <v>77</v>
      </c>
      <c r="K2927" t="s">
        <v>78</v>
      </c>
      <c r="L2927" t="s">
        <v>202</v>
      </c>
      <c r="M2927" t="s">
        <v>203</v>
      </c>
      <c r="N2927" t="s">
        <v>204</v>
      </c>
      <c r="O2927" t="s">
        <v>82</v>
      </c>
      <c r="P2927" t="str">
        <f>"2170716627                    "</f>
        <v xml:space="preserve">2170716627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6.71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 s="4">
        <v>39.42</v>
      </c>
      <c r="BM2927" s="4">
        <v>5.91</v>
      </c>
      <c r="BN2927" s="4">
        <v>45.33</v>
      </c>
      <c r="BO2927" s="4">
        <v>45.33</v>
      </c>
      <c r="BQ2927" t="s">
        <v>2679</v>
      </c>
      <c r="BR2927" t="s">
        <v>84</v>
      </c>
      <c r="BS2927" s="3">
        <v>43795</v>
      </c>
      <c r="BT2927" s="5">
        <v>0.3659722222222222</v>
      </c>
      <c r="BU2927" t="s">
        <v>1211</v>
      </c>
      <c r="BV2927" t="s">
        <v>86</v>
      </c>
      <c r="BY2927">
        <v>1200</v>
      </c>
      <c r="CC2927" t="s">
        <v>203</v>
      </c>
      <c r="CD2927">
        <v>1422</v>
      </c>
      <c r="CE2927" t="s">
        <v>147</v>
      </c>
      <c r="CF2927" s="3">
        <v>43796</v>
      </c>
      <c r="CI2927">
        <v>1</v>
      </c>
      <c r="CJ2927">
        <v>1</v>
      </c>
      <c r="CK2927">
        <v>22</v>
      </c>
      <c r="CL2927" t="s">
        <v>89</v>
      </c>
    </row>
    <row r="2928" spans="1:90">
      <c r="A2928" t="s">
        <v>72</v>
      </c>
      <c r="B2928" t="s">
        <v>73</v>
      </c>
      <c r="C2928" t="s">
        <v>74</v>
      </c>
      <c r="E2928" t="str">
        <f>"FES1162724869"</f>
        <v>FES1162724869</v>
      </c>
      <c r="F2928" s="3">
        <v>43794</v>
      </c>
      <c r="G2928">
        <v>202005</v>
      </c>
      <c r="H2928" t="s">
        <v>75</v>
      </c>
      <c r="I2928" t="s">
        <v>76</v>
      </c>
      <c r="J2928" t="s">
        <v>77</v>
      </c>
      <c r="K2928" t="s">
        <v>78</v>
      </c>
      <c r="L2928" t="s">
        <v>192</v>
      </c>
      <c r="M2928" t="s">
        <v>193</v>
      </c>
      <c r="N2928" t="s">
        <v>558</v>
      </c>
      <c r="O2928" t="s">
        <v>82</v>
      </c>
      <c r="P2928" t="str">
        <f>"2170717846                    "</f>
        <v xml:space="preserve">2170717846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16.63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 s="4">
        <v>97.75</v>
      </c>
      <c r="BM2928" s="4">
        <v>14.66</v>
      </c>
      <c r="BN2928" s="4">
        <v>112.41</v>
      </c>
      <c r="BO2928" s="4">
        <v>112.41</v>
      </c>
      <c r="BQ2928" t="s">
        <v>121</v>
      </c>
      <c r="BR2928" t="s">
        <v>84</v>
      </c>
      <c r="BS2928" s="3">
        <v>43795</v>
      </c>
      <c r="BT2928" s="5">
        <v>0.52708333333333335</v>
      </c>
      <c r="BU2928" t="s">
        <v>1842</v>
      </c>
      <c r="BV2928" t="s">
        <v>86</v>
      </c>
      <c r="BY2928">
        <v>1200</v>
      </c>
      <c r="CA2928" t="s">
        <v>1364</v>
      </c>
      <c r="CC2928" t="s">
        <v>193</v>
      </c>
      <c r="CD2928">
        <v>7130</v>
      </c>
      <c r="CE2928" t="s">
        <v>147</v>
      </c>
      <c r="CF2928" s="3">
        <v>43796</v>
      </c>
      <c r="CI2928">
        <v>1</v>
      </c>
      <c r="CJ2928">
        <v>1</v>
      </c>
      <c r="CK2928">
        <v>23</v>
      </c>
      <c r="CL2928" t="s">
        <v>89</v>
      </c>
    </row>
    <row r="2929" spans="1:90">
      <c r="A2929" t="s">
        <v>72</v>
      </c>
      <c r="B2929" t="s">
        <v>73</v>
      </c>
      <c r="C2929" t="s">
        <v>74</v>
      </c>
      <c r="E2929" t="str">
        <f>"FES1162724843"</f>
        <v>FES1162724843</v>
      </c>
      <c r="F2929" s="3">
        <v>43794</v>
      </c>
      <c r="G2929">
        <v>202005</v>
      </c>
      <c r="H2929" t="s">
        <v>75</v>
      </c>
      <c r="I2929" t="s">
        <v>76</v>
      </c>
      <c r="J2929" t="s">
        <v>77</v>
      </c>
      <c r="K2929" t="s">
        <v>78</v>
      </c>
      <c r="L2929" t="s">
        <v>75</v>
      </c>
      <c r="M2929" t="s">
        <v>76</v>
      </c>
      <c r="N2929" t="s">
        <v>466</v>
      </c>
      <c r="O2929" t="s">
        <v>82</v>
      </c>
      <c r="P2929" t="str">
        <f>"2170716847                    "</f>
        <v xml:space="preserve">2170716847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6.71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1.3</v>
      </c>
      <c r="BJ2929">
        <v>1</v>
      </c>
      <c r="BK2929">
        <v>1.5</v>
      </c>
      <c r="BL2929" s="4">
        <v>39.42</v>
      </c>
      <c r="BM2929" s="4">
        <v>5.91</v>
      </c>
      <c r="BN2929" s="4">
        <v>45.33</v>
      </c>
      <c r="BO2929" s="4">
        <v>45.33</v>
      </c>
      <c r="BQ2929" t="s">
        <v>109</v>
      </c>
      <c r="BR2929" t="s">
        <v>84</v>
      </c>
      <c r="BS2929" s="3">
        <v>43795</v>
      </c>
      <c r="BT2929" s="5">
        <v>0.33680555555555558</v>
      </c>
      <c r="BU2929" t="s">
        <v>2932</v>
      </c>
      <c r="BV2929" t="s">
        <v>86</v>
      </c>
      <c r="BY2929">
        <v>4927.8900000000003</v>
      </c>
      <c r="CA2929" t="s">
        <v>1067</v>
      </c>
      <c r="CC2929" t="s">
        <v>76</v>
      </c>
      <c r="CD2929">
        <v>1609</v>
      </c>
      <c r="CE2929" t="s">
        <v>88</v>
      </c>
      <c r="CF2929" s="3">
        <v>43796</v>
      </c>
      <c r="CI2929">
        <v>1</v>
      </c>
      <c r="CJ2929">
        <v>1</v>
      </c>
      <c r="CK2929">
        <v>22</v>
      </c>
      <c r="CL2929" t="s">
        <v>89</v>
      </c>
    </row>
    <row r="2930" spans="1:90">
      <c r="A2930" t="s">
        <v>72</v>
      </c>
      <c r="B2930" t="s">
        <v>73</v>
      </c>
      <c r="C2930" t="s">
        <v>74</v>
      </c>
      <c r="E2930" t="str">
        <f>"FES1162724910"</f>
        <v>FES1162724910</v>
      </c>
      <c r="F2930" s="3">
        <v>43794</v>
      </c>
      <c r="G2930">
        <v>202005</v>
      </c>
      <c r="H2930" t="s">
        <v>75</v>
      </c>
      <c r="I2930" t="s">
        <v>76</v>
      </c>
      <c r="J2930" t="s">
        <v>77</v>
      </c>
      <c r="K2930" t="s">
        <v>78</v>
      </c>
      <c r="L2930" t="s">
        <v>90</v>
      </c>
      <c r="M2930" t="s">
        <v>91</v>
      </c>
      <c r="N2930" t="s">
        <v>2887</v>
      </c>
      <c r="O2930" t="s">
        <v>82</v>
      </c>
      <c r="P2930" t="str">
        <f>"2170718592                    "</f>
        <v xml:space="preserve">2170718592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8.58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 s="4">
        <v>50.45</v>
      </c>
      <c r="BM2930" s="4">
        <v>7.57</v>
      </c>
      <c r="BN2930" s="4">
        <v>58.02</v>
      </c>
      <c r="BO2930" s="4">
        <v>58.02</v>
      </c>
      <c r="BQ2930" t="s">
        <v>142</v>
      </c>
      <c r="BR2930" t="s">
        <v>84</v>
      </c>
      <c r="BS2930" s="3">
        <v>43795</v>
      </c>
      <c r="BT2930" s="5">
        <v>0.37222222222222223</v>
      </c>
      <c r="BU2930" t="s">
        <v>2888</v>
      </c>
      <c r="BV2930" t="s">
        <v>86</v>
      </c>
      <c r="BY2930">
        <v>1200</v>
      </c>
      <c r="CA2930" t="s">
        <v>515</v>
      </c>
      <c r="CC2930" t="s">
        <v>91</v>
      </c>
      <c r="CD2930">
        <v>7493</v>
      </c>
      <c r="CE2930" t="s">
        <v>147</v>
      </c>
      <c r="CF2930" s="3">
        <v>43796</v>
      </c>
      <c r="CI2930">
        <v>1</v>
      </c>
      <c r="CJ2930">
        <v>1</v>
      </c>
      <c r="CK2930">
        <v>21</v>
      </c>
      <c r="CL2930" t="s">
        <v>89</v>
      </c>
    </row>
    <row r="2931" spans="1:90">
      <c r="A2931" t="s">
        <v>72</v>
      </c>
      <c r="B2931" t="s">
        <v>73</v>
      </c>
      <c r="C2931" t="s">
        <v>74</v>
      </c>
      <c r="E2931" t="str">
        <f>"FES1162724831"</f>
        <v>FES1162724831</v>
      </c>
      <c r="F2931" s="3">
        <v>43794</v>
      </c>
      <c r="G2931">
        <v>202005</v>
      </c>
      <c r="H2931" t="s">
        <v>75</v>
      </c>
      <c r="I2931" t="s">
        <v>76</v>
      </c>
      <c r="J2931" t="s">
        <v>77</v>
      </c>
      <c r="K2931" t="s">
        <v>78</v>
      </c>
      <c r="L2931" t="s">
        <v>112</v>
      </c>
      <c r="M2931" t="s">
        <v>113</v>
      </c>
      <c r="N2931" t="s">
        <v>2425</v>
      </c>
      <c r="O2931" t="s">
        <v>82</v>
      </c>
      <c r="P2931" t="str">
        <f>"2170716476                    "</f>
        <v xml:space="preserve">2170716476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12.87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2.7</v>
      </c>
      <c r="BJ2931">
        <v>1.5</v>
      </c>
      <c r="BK2931">
        <v>3</v>
      </c>
      <c r="BL2931" s="4">
        <v>75.66</v>
      </c>
      <c r="BM2931" s="4">
        <v>11.35</v>
      </c>
      <c r="BN2931" s="4">
        <v>87.01</v>
      </c>
      <c r="BO2931" s="4">
        <v>87.01</v>
      </c>
      <c r="BQ2931" t="s">
        <v>121</v>
      </c>
      <c r="BR2931" t="s">
        <v>84</v>
      </c>
      <c r="BS2931" s="3">
        <v>43795</v>
      </c>
      <c r="BT2931" s="5">
        <v>0.35902777777777778</v>
      </c>
      <c r="BU2931" t="s">
        <v>2426</v>
      </c>
      <c r="BV2931" t="s">
        <v>86</v>
      </c>
      <c r="BY2931">
        <v>7635.26</v>
      </c>
      <c r="CA2931" t="s">
        <v>2212</v>
      </c>
      <c r="CC2931" t="s">
        <v>113</v>
      </c>
      <c r="CD2931">
        <v>4001</v>
      </c>
      <c r="CE2931" t="s">
        <v>88</v>
      </c>
      <c r="CF2931" s="3">
        <v>43797</v>
      </c>
      <c r="CI2931">
        <v>1</v>
      </c>
      <c r="CJ2931">
        <v>1</v>
      </c>
      <c r="CK2931">
        <v>21</v>
      </c>
      <c r="CL2931" t="s">
        <v>89</v>
      </c>
    </row>
    <row r="2932" spans="1:90">
      <c r="A2932" t="s">
        <v>72</v>
      </c>
      <c r="B2932" t="s">
        <v>73</v>
      </c>
      <c r="C2932" t="s">
        <v>74</v>
      </c>
      <c r="E2932" t="str">
        <f>"FES1162724812"</f>
        <v>FES1162724812</v>
      </c>
      <c r="F2932" s="3">
        <v>43794</v>
      </c>
      <c r="G2932">
        <v>202005</v>
      </c>
      <c r="H2932" t="s">
        <v>75</v>
      </c>
      <c r="I2932" t="s">
        <v>76</v>
      </c>
      <c r="J2932" t="s">
        <v>77</v>
      </c>
      <c r="K2932" t="s">
        <v>78</v>
      </c>
      <c r="L2932" t="s">
        <v>292</v>
      </c>
      <c r="M2932" t="s">
        <v>293</v>
      </c>
      <c r="N2932" t="s">
        <v>294</v>
      </c>
      <c r="O2932" t="s">
        <v>82</v>
      </c>
      <c r="P2932" t="str">
        <f>"2170716607                    "</f>
        <v xml:space="preserve">2170716607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16.63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1.8</v>
      </c>
      <c r="BJ2932">
        <v>0.7</v>
      </c>
      <c r="BK2932">
        <v>2</v>
      </c>
      <c r="BL2932" s="4">
        <v>97.75</v>
      </c>
      <c r="BM2932" s="4">
        <v>14.66</v>
      </c>
      <c r="BN2932" s="4">
        <v>112.41</v>
      </c>
      <c r="BO2932" s="4">
        <v>112.41</v>
      </c>
      <c r="BQ2932" t="s">
        <v>121</v>
      </c>
      <c r="BR2932" t="s">
        <v>84</v>
      </c>
      <c r="BS2932" s="3">
        <v>43795</v>
      </c>
      <c r="BT2932" s="5">
        <v>0.33333333333333331</v>
      </c>
      <c r="BU2932" t="s">
        <v>2933</v>
      </c>
      <c r="BV2932" t="s">
        <v>86</v>
      </c>
      <c r="BY2932">
        <v>3477.97</v>
      </c>
      <c r="CA2932" t="s">
        <v>123</v>
      </c>
      <c r="CC2932" t="s">
        <v>293</v>
      </c>
      <c r="CD2932">
        <v>1947</v>
      </c>
      <c r="CE2932" t="s">
        <v>88</v>
      </c>
      <c r="CF2932" s="3">
        <v>43796</v>
      </c>
      <c r="CI2932">
        <v>1</v>
      </c>
      <c r="CJ2932">
        <v>1</v>
      </c>
      <c r="CK2932">
        <v>23</v>
      </c>
      <c r="CL2932" t="s">
        <v>89</v>
      </c>
    </row>
    <row r="2933" spans="1:90">
      <c r="A2933" t="s">
        <v>72</v>
      </c>
      <c r="B2933" t="s">
        <v>73</v>
      </c>
      <c r="C2933" t="s">
        <v>74</v>
      </c>
      <c r="E2933" t="str">
        <f>"FES1162724855"</f>
        <v>FES1162724855</v>
      </c>
      <c r="F2933" s="3">
        <v>43794</v>
      </c>
      <c r="G2933">
        <v>202005</v>
      </c>
      <c r="H2933" t="s">
        <v>75</v>
      </c>
      <c r="I2933" t="s">
        <v>76</v>
      </c>
      <c r="J2933" t="s">
        <v>77</v>
      </c>
      <c r="K2933" t="s">
        <v>78</v>
      </c>
      <c r="L2933" t="s">
        <v>176</v>
      </c>
      <c r="M2933" t="s">
        <v>177</v>
      </c>
      <c r="N2933" t="s">
        <v>2692</v>
      </c>
      <c r="O2933" t="s">
        <v>82</v>
      </c>
      <c r="P2933" t="str">
        <f>"21707168986                   "</f>
        <v xml:space="preserve">21707168986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8.58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0.6</v>
      </c>
      <c r="BJ2933">
        <v>0.9</v>
      </c>
      <c r="BK2933">
        <v>1</v>
      </c>
      <c r="BL2933" s="4">
        <v>50.45</v>
      </c>
      <c r="BM2933" s="4">
        <v>7.57</v>
      </c>
      <c r="BN2933" s="4">
        <v>58.02</v>
      </c>
      <c r="BO2933" s="4">
        <v>58.02</v>
      </c>
      <c r="BQ2933" t="s">
        <v>109</v>
      </c>
      <c r="BR2933" t="s">
        <v>84</v>
      </c>
      <c r="BS2933" s="3">
        <v>43795</v>
      </c>
      <c r="BT2933" s="5">
        <v>0.35416666666666669</v>
      </c>
      <c r="BU2933" t="s">
        <v>2934</v>
      </c>
      <c r="BV2933" t="s">
        <v>86</v>
      </c>
      <c r="BY2933">
        <v>4283.13</v>
      </c>
      <c r="CA2933" t="s">
        <v>180</v>
      </c>
      <c r="CC2933" t="s">
        <v>177</v>
      </c>
      <c r="CD2933">
        <v>3610</v>
      </c>
      <c r="CE2933" t="s">
        <v>88</v>
      </c>
      <c r="CF2933" s="3">
        <v>43796</v>
      </c>
      <c r="CI2933">
        <v>1</v>
      </c>
      <c r="CJ2933">
        <v>1</v>
      </c>
      <c r="CK2933">
        <v>21</v>
      </c>
      <c r="CL2933" t="s">
        <v>89</v>
      </c>
    </row>
    <row r="2934" spans="1:90">
      <c r="A2934" t="s">
        <v>72</v>
      </c>
      <c r="B2934" t="s">
        <v>73</v>
      </c>
      <c r="C2934" t="s">
        <v>74</v>
      </c>
      <c r="E2934" t="str">
        <f>"FES1162724842"</f>
        <v>FES1162724842</v>
      </c>
      <c r="F2934" s="3">
        <v>43794</v>
      </c>
      <c r="G2934">
        <v>202005</v>
      </c>
      <c r="H2934" t="s">
        <v>75</v>
      </c>
      <c r="I2934" t="s">
        <v>76</v>
      </c>
      <c r="J2934" t="s">
        <v>77</v>
      </c>
      <c r="K2934" t="s">
        <v>78</v>
      </c>
      <c r="L2934" t="s">
        <v>202</v>
      </c>
      <c r="M2934" t="s">
        <v>203</v>
      </c>
      <c r="N2934" t="s">
        <v>521</v>
      </c>
      <c r="O2934" t="s">
        <v>82</v>
      </c>
      <c r="P2934" t="str">
        <f>"2170716841                    "</f>
        <v xml:space="preserve">2170716841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6.71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 s="4">
        <v>39.42</v>
      </c>
      <c r="BM2934" s="4">
        <v>5.91</v>
      </c>
      <c r="BN2934" s="4">
        <v>45.33</v>
      </c>
      <c r="BO2934" s="4">
        <v>45.33</v>
      </c>
      <c r="BQ2934" t="s">
        <v>109</v>
      </c>
      <c r="BR2934" t="s">
        <v>84</v>
      </c>
      <c r="BS2934" s="3">
        <v>43795</v>
      </c>
      <c r="BT2934" s="5">
        <v>0.40972222222222227</v>
      </c>
      <c r="BU2934" t="s">
        <v>2315</v>
      </c>
      <c r="BV2934" t="s">
        <v>86</v>
      </c>
      <c r="BY2934">
        <v>1200</v>
      </c>
      <c r="CC2934" t="s">
        <v>203</v>
      </c>
      <c r="CD2934">
        <v>1428</v>
      </c>
      <c r="CE2934" t="s">
        <v>147</v>
      </c>
      <c r="CF2934" s="3">
        <v>43796</v>
      </c>
      <c r="CI2934">
        <v>1</v>
      </c>
      <c r="CJ2934">
        <v>1</v>
      </c>
      <c r="CK2934">
        <v>22</v>
      </c>
      <c r="CL2934" t="s">
        <v>89</v>
      </c>
    </row>
    <row r="2935" spans="1:90">
      <c r="A2935" t="s">
        <v>72</v>
      </c>
      <c r="B2935" t="s">
        <v>73</v>
      </c>
      <c r="C2935" t="s">
        <v>74</v>
      </c>
      <c r="E2935" t="str">
        <f>"FES1162724838"</f>
        <v>FES1162724838</v>
      </c>
      <c r="F2935" s="3">
        <v>43794</v>
      </c>
      <c r="G2935">
        <v>202005</v>
      </c>
      <c r="H2935" t="s">
        <v>75</v>
      </c>
      <c r="I2935" t="s">
        <v>76</v>
      </c>
      <c r="J2935" t="s">
        <v>77</v>
      </c>
      <c r="K2935" t="s">
        <v>78</v>
      </c>
      <c r="L2935" t="s">
        <v>184</v>
      </c>
      <c r="M2935" t="s">
        <v>185</v>
      </c>
      <c r="N2935" t="s">
        <v>186</v>
      </c>
      <c r="O2935" t="s">
        <v>82</v>
      </c>
      <c r="P2935" t="str">
        <f>"2170716797                    "</f>
        <v xml:space="preserve">2170716797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11.53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5</v>
      </c>
      <c r="BJ2935">
        <v>1.7</v>
      </c>
      <c r="BK2935">
        <v>5</v>
      </c>
      <c r="BL2935" s="4">
        <v>67.760000000000005</v>
      </c>
      <c r="BM2935" s="4">
        <v>10.16</v>
      </c>
      <c r="BN2935" s="4">
        <v>77.92</v>
      </c>
      <c r="BO2935" s="4">
        <v>77.92</v>
      </c>
      <c r="BQ2935" t="s">
        <v>187</v>
      </c>
      <c r="BR2935" t="s">
        <v>84</v>
      </c>
      <c r="BS2935" s="3">
        <v>43795</v>
      </c>
      <c r="BT2935" s="5">
        <v>0.3611111111111111</v>
      </c>
      <c r="BU2935" t="s">
        <v>2935</v>
      </c>
      <c r="BV2935" t="s">
        <v>86</v>
      </c>
      <c r="BY2935">
        <v>8435.15</v>
      </c>
      <c r="CA2935" t="s">
        <v>849</v>
      </c>
      <c r="CC2935" t="s">
        <v>185</v>
      </c>
      <c r="CD2935">
        <v>1501</v>
      </c>
      <c r="CE2935" t="s">
        <v>88</v>
      </c>
      <c r="CF2935" s="3">
        <v>43796</v>
      </c>
      <c r="CI2935">
        <v>1</v>
      </c>
      <c r="CJ2935">
        <v>1</v>
      </c>
      <c r="CK2935">
        <v>22</v>
      </c>
      <c r="CL2935" t="s">
        <v>89</v>
      </c>
    </row>
    <row r="2936" spans="1:90">
      <c r="A2936" t="s">
        <v>72</v>
      </c>
      <c r="B2936" t="s">
        <v>73</v>
      </c>
      <c r="C2936" t="s">
        <v>74</v>
      </c>
      <c r="E2936" t="str">
        <f>"FES1162724948"</f>
        <v>FES1162724948</v>
      </c>
      <c r="F2936" s="3">
        <v>43794</v>
      </c>
      <c r="G2936">
        <v>202005</v>
      </c>
      <c r="H2936" t="s">
        <v>75</v>
      </c>
      <c r="I2936" t="s">
        <v>76</v>
      </c>
      <c r="J2936" t="s">
        <v>77</v>
      </c>
      <c r="K2936" t="s">
        <v>78</v>
      </c>
      <c r="L2936" t="s">
        <v>482</v>
      </c>
      <c r="M2936" t="s">
        <v>483</v>
      </c>
      <c r="N2936" t="s">
        <v>594</v>
      </c>
      <c r="O2936" t="s">
        <v>82</v>
      </c>
      <c r="P2936" t="str">
        <f>"2170718636                    "</f>
        <v xml:space="preserve">2170718636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9.1199999999999992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2.5</v>
      </c>
      <c r="BJ2936">
        <v>3.2</v>
      </c>
      <c r="BK2936">
        <v>3.5</v>
      </c>
      <c r="BL2936" s="4">
        <v>53.59</v>
      </c>
      <c r="BM2936" s="4">
        <v>8.0399999999999991</v>
      </c>
      <c r="BN2936" s="4">
        <v>61.63</v>
      </c>
      <c r="BO2936" s="4">
        <v>61.63</v>
      </c>
      <c r="BQ2936" t="s">
        <v>109</v>
      </c>
      <c r="BR2936" t="s">
        <v>84</v>
      </c>
      <c r="BS2936" s="3">
        <v>43795</v>
      </c>
      <c r="BT2936" s="5">
        <v>0.38541666666666669</v>
      </c>
      <c r="BU2936" t="s">
        <v>1526</v>
      </c>
      <c r="BV2936" t="s">
        <v>86</v>
      </c>
      <c r="BY2936">
        <v>16062.98</v>
      </c>
      <c r="CC2936" t="s">
        <v>483</v>
      </c>
      <c r="CD2936">
        <v>1459</v>
      </c>
      <c r="CE2936" t="s">
        <v>88</v>
      </c>
      <c r="CF2936" s="3">
        <v>43796</v>
      </c>
      <c r="CI2936">
        <v>1</v>
      </c>
      <c r="CJ2936">
        <v>1</v>
      </c>
      <c r="CK2936">
        <v>22</v>
      </c>
      <c r="CL2936" t="s">
        <v>89</v>
      </c>
    </row>
    <row r="2937" spans="1:90">
      <c r="A2937" t="s">
        <v>72</v>
      </c>
      <c r="B2937" t="s">
        <v>73</v>
      </c>
      <c r="C2937" t="s">
        <v>74</v>
      </c>
      <c r="E2937" t="str">
        <f>"FES1162724925"</f>
        <v>FES1162724925</v>
      </c>
      <c r="F2937" s="3">
        <v>43794</v>
      </c>
      <c r="G2937">
        <v>202005</v>
      </c>
      <c r="H2937" t="s">
        <v>75</v>
      </c>
      <c r="I2937" t="s">
        <v>76</v>
      </c>
      <c r="J2937" t="s">
        <v>77</v>
      </c>
      <c r="K2937" t="s">
        <v>78</v>
      </c>
      <c r="L2937" t="s">
        <v>292</v>
      </c>
      <c r="M2937" t="s">
        <v>293</v>
      </c>
      <c r="N2937" t="s">
        <v>2924</v>
      </c>
      <c r="O2937" t="s">
        <v>82</v>
      </c>
      <c r="P2937" t="str">
        <f>"2170718566                    "</f>
        <v xml:space="preserve">2170718566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20.39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2.2000000000000002</v>
      </c>
      <c r="BJ2937">
        <v>1.3</v>
      </c>
      <c r="BK2937">
        <v>2.5</v>
      </c>
      <c r="BL2937" s="4">
        <v>119.83</v>
      </c>
      <c r="BM2937" s="4">
        <v>17.97</v>
      </c>
      <c r="BN2937" s="4">
        <v>137.80000000000001</v>
      </c>
      <c r="BO2937" s="4">
        <v>137.80000000000001</v>
      </c>
      <c r="BQ2937" t="s">
        <v>109</v>
      </c>
      <c r="BR2937" t="s">
        <v>84</v>
      </c>
      <c r="BS2937" s="3">
        <v>43796</v>
      </c>
      <c r="BT2937" s="5">
        <v>0.33333333333333331</v>
      </c>
      <c r="BU2937" t="s">
        <v>2936</v>
      </c>
      <c r="BV2937" t="s">
        <v>89</v>
      </c>
      <c r="BW2937" t="s">
        <v>319</v>
      </c>
      <c r="BX2937" t="s">
        <v>1538</v>
      </c>
      <c r="BY2937">
        <v>6543.26</v>
      </c>
      <c r="CA2937" t="s">
        <v>123</v>
      </c>
      <c r="CC2937" t="s">
        <v>293</v>
      </c>
      <c r="CD2937">
        <v>1947</v>
      </c>
      <c r="CE2937" t="s">
        <v>88</v>
      </c>
      <c r="CF2937" s="3">
        <v>43797</v>
      </c>
      <c r="CI2937">
        <v>1</v>
      </c>
      <c r="CJ2937">
        <v>2</v>
      </c>
      <c r="CK2937">
        <v>23</v>
      </c>
      <c r="CL2937" t="s">
        <v>89</v>
      </c>
    </row>
    <row r="2938" spans="1:90">
      <c r="A2938" t="s">
        <v>72</v>
      </c>
      <c r="B2938" t="s">
        <v>73</v>
      </c>
      <c r="C2938" t="s">
        <v>74</v>
      </c>
      <c r="E2938" t="str">
        <f>"FES1162724902"</f>
        <v>FES1162724902</v>
      </c>
      <c r="F2938" s="3">
        <v>43794</v>
      </c>
      <c r="G2938">
        <v>202005</v>
      </c>
      <c r="H2938" t="s">
        <v>75</v>
      </c>
      <c r="I2938" t="s">
        <v>76</v>
      </c>
      <c r="J2938" t="s">
        <v>77</v>
      </c>
      <c r="K2938" t="s">
        <v>78</v>
      </c>
      <c r="L2938" t="s">
        <v>214</v>
      </c>
      <c r="M2938" t="s">
        <v>214</v>
      </c>
      <c r="N2938" t="s">
        <v>314</v>
      </c>
      <c r="O2938" t="s">
        <v>82</v>
      </c>
      <c r="P2938" t="str">
        <f>"2170718582                    "</f>
        <v xml:space="preserve">2170718582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27.9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3.1</v>
      </c>
      <c r="BJ2938">
        <v>3.4</v>
      </c>
      <c r="BK2938">
        <v>3.5</v>
      </c>
      <c r="BL2938" s="4">
        <v>163.98</v>
      </c>
      <c r="BM2938" s="4">
        <v>24.6</v>
      </c>
      <c r="BN2938" s="4">
        <v>188.58</v>
      </c>
      <c r="BO2938" s="4">
        <v>188.58</v>
      </c>
      <c r="BQ2938" t="s">
        <v>109</v>
      </c>
      <c r="BR2938" t="s">
        <v>84</v>
      </c>
      <c r="BS2938" s="3">
        <v>43795</v>
      </c>
      <c r="BT2938" s="5">
        <v>0.4548611111111111</v>
      </c>
      <c r="BU2938" t="s">
        <v>2826</v>
      </c>
      <c r="BV2938" t="s">
        <v>86</v>
      </c>
      <c r="BY2938">
        <v>17231.48</v>
      </c>
      <c r="CA2938" t="s">
        <v>217</v>
      </c>
      <c r="CC2938" t="s">
        <v>214</v>
      </c>
      <c r="CD2938">
        <v>7646</v>
      </c>
      <c r="CE2938" t="s">
        <v>88</v>
      </c>
      <c r="CF2938" s="3">
        <v>43796</v>
      </c>
      <c r="CI2938">
        <v>1</v>
      </c>
      <c r="CJ2938">
        <v>1</v>
      </c>
      <c r="CK2938">
        <v>23</v>
      </c>
      <c r="CL2938" t="s">
        <v>89</v>
      </c>
    </row>
    <row r="2939" spans="1:90">
      <c r="A2939" t="s">
        <v>72</v>
      </c>
      <c r="B2939" t="s">
        <v>73</v>
      </c>
      <c r="C2939" t="s">
        <v>74</v>
      </c>
      <c r="E2939" t="str">
        <f>"FES1162726028"</f>
        <v>FES1162726028</v>
      </c>
      <c r="F2939" s="3">
        <v>43798</v>
      </c>
      <c r="G2939">
        <v>202005</v>
      </c>
      <c r="H2939" t="s">
        <v>75</v>
      </c>
      <c r="I2939" t="s">
        <v>76</v>
      </c>
      <c r="J2939" t="s">
        <v>77</v>
      </c>
      <c r="K2939" t="s">
        <v>78</v>
      </c>
      <c r="L2939" t="s">
        <v>106</v>
      </c>
      <c r="M2939" t="s">
        <v>107</v>
      </c>
      <c r="N2939" t="s">
        <v>2413</v>
      </c>
      <c r="O2939" t="s">
        <v>82</v>
      </c>
      <c r="P2939" t="str">
        <f>"2170717880                    "</f>
        <v xml:space="preserve">2170717880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8.58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 s="4">
        <v>50.45</v>
      </c>
      <c r="BM2939" s="4">
        <v>7.57</v>
      </c>
      <c r="BN2939" s="4">
        <v>58.02</v>
      </c>
      <c r="BO2939" s="4">
        <v>58.02</v>
      </c>
      <c r="BQ2939" t="s">
        <v>109</v>
      </c>
      <c r="BR2939" t="s">
        <v>84</v>
      </c>
      <c r="BS2939" t="s">
        <v>201</v>
      </c>
      <c r="BY2939">
        <v>1200</v>
      </c>
      <c r="CC2939" t="s">
        <v>107</v>
      </c>
      <c r="CD2939">
        <v>6001</v>
      </c>
      <c r="CE2939" t="s">
        <v>147</v>
      </c>
      <c r="CI2939">
        <v>1</v>
      </c>
      <c r="CJ2939" t="s">
        <v>201</v>
      </c>
      <c r="CK2939">
        <v>21</v>
      </c>
      <c r="CL2939" t="s">
        <v>89</v>
      </c>
    </row>
    <row r="2940" spans="1:90">
      <c r="A2940" t="s">
        <v>72</v>
      </c>
      <c r="B2940" t="s">
        <v>73</v>
      </c>
      <c r="C2940" t="s">
        <v>74</v>
      </c>
      <c r="E2940" t="str">
        <f>"FES1162725728"</f>
        <v>FES1162725728</v>
      </c>
      <c r="F2940" s="3">
        <v>43798</v>
      </c>
      <c r="G2940">
        <v>202005</v>
      </c>
      <c r="H2940" t="s">
        <v>75</v>
      </c>
      <c r="I2940" t="s">
        <v>76</v>
      </c>
      <c r="J2940" t="s">
        <v>77</v>
      </c>
      <c r="K2940" t="s">
        <v>78</v>
      </c>
      <c r="L2940" t="s">
        <v>101</v>
      </c>
      <c r="M2940" t="s">
        <v>102</v>
      </c>
      <c r="N2940" t="s">
        <v>208</v>
      </c>
      <c r="O2940" t="s">
        <v>82</v>
      </c>
      <c r="P2940" t="str">
        <f>"2170717156                    "</f>
        <v xml:space="preserve">2170717156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8.58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2</v>
      </c>
      <c r="BJ2940">
        <v>1.2</v>
      </c>
      <c r="BK2940">
        <v>2</v>
      </c>
      <c r="BL2940" s="4">
        <v>50.45</v>
      </c>
      <c r="BM2940" s="4">
        <v>7.57</v>
      </c>
      <c r="BN2940" s="4">
        <v>58.02</v>
      </c>
      <c r="BO2940" s="4">
        <v>58.02</v>
      </c>
      <c r="BQ2940" t="s">
        <v>209</v>
      </c>
      <c r="BR2940" t="s">
        <v>84</v>
      </c>
      <c r="BS2940" t="s">
        <v>201</v>
      </c>
      <c r="BY2940">
        <v>6005.76</v>
      </c>
      <c r="CC2940" t="s">
        <v>102</v>
      </c>
      <c r="CD2940">
        <v>200</v>
      </c>
      <c r="CE2940" t="s">
        <v>147</v>
      </c>
      <c r="CI2940">
        <v>1</v>
      </c>
      <c r="CJ2940" t="s">
        <v>201</v>
      </c>
      <c r="CK2940">
        <v>21</v>
      </c>
      <c r="CL2940" t="s">
        <v>89</v>
      </c>
    </row>
    <row r="2941" spans="1:90">
      <c r="A2941" t="s">
        <v>72</v>
      </c>
      <c r="B2941" t="s">
        <v>73</v>
      </c>
      <c r="C2941" t="s">
        <v>74</v>
      </c>
      <c r="E2941" t="str">
        <f>"FES1162724797"</f>
        <v>FES1162724797</v>
      </c>
      <c r="F2941" s="3">
        <v>43794</v>
      </c>
      <c r="G2941">
        <v>202005</v>
      </c>
      <c r="H2941" t="s">
        <v>75</v>
      </c>
      <c r="I2941" t="s">
        <v>76</v>
      </c>
      <c r="J2941" t="s">
        <v>77</v>
      </c>
      <c r="K2941" t="s">
        <v>78</v>
      </c>
      <c r="L2941" t="s">
        <v>124</v>
      </c>
      <c r="M2941" t="s">
        <v>125</v>
      </c>
      <c r="N2941" t="s">
        <v>1603</v>
      </c>
      <c r="O2941" t="s">
        <v>82</v>
      </c>
      <c r="P2941" t="str">
        <f>"2170714681                    "</f>
        <v xml:space="preserve">2170714681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10.72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2.2999999999999998</v>
      </c>
      <c r="BJ2941">
        <v>4.5</v>
      </c>
      <c r="BK2941">
        <v>4.5</v>
      </c>
      <c r="BL2941" s="4">
        <v>63.03</v>
      </c>
      <c r="BM2941" s="4">
        <v>9.4499999999999993</v>
      </c>
      <c r="BN2941" s="4">
        <v>72.48</v>
      </c>
      <c r="BO2941" s="4">
        <v>72.48</v>
      </c>
      <c r="BQ2941" t="s">
        <v>109</v>
      </c>
      <c r="BR2941" t="s">
        <v>84</v>
      </c>
      <c r="BS2941" s="3">
        <v>43795</v>
      </c>
      <c r="BT2941" s="5">
        <v>0.3743055555555555</v>
      </c>
      <c r="BU2941" t="s">
        <v>2937</v>
      </c>
      <c r="BV2941" t="s">
        <v>86</v>
      </c>
      <c r="BY2941">
        <v>22508.1</v>
      </c>
      <c r="CA2941" t="s">
        <v>123</v>
      </c>
      <c r="CC2941" t="s">
        <v>125</v>
      </c>
      <c r="CD2941">
        <v>1723</v>
      </c>
      <c r="CE2941" t="s">
        <v>1598</v>
      </c>
      <c r="CF2941" s="3">
        <v>43796</v>
      </c>
      <c r="CI2941">
        <v>1</v>
      </c>
      <c r="CJ2941">
        <v>1</v>
      </c>
      <c r="CK2941">
        <v>22</v>
      </c>
      <c r="CL2941" t="s">
        <v>89</v>
      </c>
    </row>
    <row r="2942" spans="1:90">
      <c r="A2942" t="s">
        <v>72</v>
      </c>
      <c r="B2942" t="s">
        <v>73</v>
      </c>
      <c r="C2942" t="s">
        <v>74</v>
      </c>
      <c r="E2942" t="str">
        <f>"FES1162724971"</f>
        <v>FES1162724971</v>
      </c>
      <c r="F2942" s="3">
        <v>43794</v>
      </c>
      <c r="G2942">
        <v>202005</v>
      </c>
      <c r="H2942" t="s">
        <v>75</v>
      </c>
      <c r="I2942" t="s">
        <v>76</v>
      </c>
      <c r="J2942" t="s">
        <v>77</v>
      </c>
      <c r="K2942" t="s">
        <v>78</v>
      </c>
      <c r="L2942" t="s">
        <v>90</v>
      </c>
      <c r="M2942" t="s">
        <v>91</v>
      </c>
      <c r="N2942" t="s">
        <v>326</v>
      </c>
      <c r="O2942" t="s">
        <v>82</v>
      </c>
      <c r="P2942" t="str">
        <f>"2170718676                    "</f>
        <v xml:space="preserve">2170718676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8.58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 s="4">
        <v>50.45</v>
      </c>
      <c r="BM2942" s="4">
        <v>7.57</v>
      </c>
      <c r="BN2942" s="4">
        <v>58.02</v>
      </c>
      <c r="BO2942" s="4">
        <v>58.02</v>
      </c>
      <c r="BQ2942" t="s">
        <v>327</v>
      </c>
      <c r="BR2942" t="s">
        <v>84</v>
      </c>
      <c r="BS2942" s="3">
        <v>43795</v>
      </c>
      <c r="BT2942" s="5">
        <v>0.40277777777777773</v>
      </c>
      <c r="BU2942" t="s">
        <v>2938</v>
      </c>
      <c r="BV2942" t="s">
        <v>86</v>
      </c>
      <c r="BY2942">
        <v>1200</v>
      </c>
      <c r="CA2942" t="s">
        <v>329</v>
      </c>
      <c r="CC2942" t="s">
        <v>91</v>
      </c>
      <c r="CD2942">
        <v>7405</v>
      </c>
      <c r="CE2942" t="s">
        <v>147</v>
      </c>
      <c r="CF2942" s="3">
        <v>43796</v>
      </c>
      <c r="CI2942">
        <v>1</v>
      </c>
      <c r="CJ2942">
        <v>1</v>
      </c>
      <c r="CK2942">
        <v>21</v>
      </c>
      <c r="CL2942" t="s">
        <v>89</v>
      </c>
    </row>
    <row r="2943" spans="1:90">
      <c r="A2943" t="s">
        <v>72</v>
      </c>
      <c r="B2943" t="s">
        <v>73</v>
      </c>
      <c r="C2943" t="s">
        <v>74</v>
      </c>
      <c r="E2943" t="str">
        <f>"FES1162724811"</f>
        <v>FES1162724811</v>
      </c>
      <c r="F2943" s="3">
        <v>43794</v>
      </c>
      <c r="G2943">
        <v>202005</v>
      </c>
      <c r="H2943" t="s">
        <v>75</v>
      </c>
      <c r="I2943" t="s">
        <v>76</v>
      </c>
      <c r="J2943" t="s">
        <v>77</v>
      </c>
      <c r="K2943" t="s">
        <v>78</v>
      </c>
      <c r="L2943" t="s">
        <v>482</v>
      </c>
      <c r="M2943" t="s">
        <v>483</v>
      </c>
      <c r="N2943" t="s">
        <v>1734</v>
      </c>
      <c r="O2943" t="s">
        <v>82</v>
      </c>
      <c r="P2943" t="str">
        <f>"2170716602                    "</f>
        <v xml:space="preserve">2170716602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6.71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0.5</v>
      </c>
      <c r="BJ2943">
        <v>0.8</v>
      </c>
      <c r="BK2943">
        <v>1</v>
      </c>
      <c r="BL2943" s="4">
        <v>39.42</v>
      </c>
      <c r="BM2943" s="4">
        <v>5.91</v>
      </c>
      <c r="BN2943" s="4">
        <v>45.33</v>
      </c>
      <c r="BO2943" s="4">
        <v>45.33</v>
      </c>
      <c r="BQ2943" t="s">
        <v>121</v>
      </c>
      <c r="BR2943" t="s">
        <v>84</v>
      </c>
      <c r="BS2943" s="3">
        <v>43795</v>
      </c>
      <c r="BT2943" s="5">
        <v>0.33333333333333331</v>
      </c>
      <c r="BU2943" t="s">
        <v>612</v>
      </c>
      <c r="BV2943" t="s">
        <v>86</v>
      </c>
      <c r="BY2943">
        <v>3977.82</v>
      </c>
      <c r="CA2943" t="s">
        <v>486</v>
      </c>
      <c r="CC2943" t="s">
        <v>483</v>
      </c>
      <c r="CD2943">
        <v>1459</v>
      </c>
      <c r="CE2943" t="s">
        <v>88</v>
      </c>
      <c r="CF2943" s="3">
        <v>43796</v>
      </c>
      <c r="CI2943">
        <v>1</v>
      </c>
      <c r="CJ2943">
        <v>1</v>
      </c>
      <c r="CK2943">
        <v>22</v>
      </c>
      <c r="CL2943" t="s">
        <v>89</v>
      </c>
    </row>
    <row r="2944" spans="1:90">
      <c r="A2944" t="s">
        <v>72</v>
      </c>
      <c r="B2944" t="s">
        <v>73</v>
      </c>
      <c r="C2944" t="s">
        <v>74</v>
      </c>
      <c r="E2944" t="str">
        <f>"FES1162724767"</f>
        <v>FES1162724767</v>
      </c>
      <c r="F2944" s="3">
        <v>43794</v>
      </c>
      <c r="G2944">
        <v>202005</v>
      </c>
      <c r="H2944" t="s">
        <v>75</v>
      </c>
      <c r="I2944" t="s">
        <v>76</v>
      </c>
      <c r="J2944" t="s">
        <v>77</v>
      </c>
      <c r="K2944" t="s">
        <v>78</v>
      </c>
      <c r="L2944" t="s">
        <v>90</v>
      </c>
      <c r="M2944" t="s">
        <v>91</v>
      </c>
      <c r="N2944" t="s">
        <v>240</v>
      </c>
      <c r="O2944" t="s">
        <v>82</v>
      </c>
      <c r="P2944" t="str">
        <f>"21707714855                   "</f>
        <v xml:space="preserve">21707714855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8.58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1.9</v>
      </c>
      <c r="BJ2944">
        <v>0.8</v>
      </c>
      <c r="BK2944">
        <v>2</v>
      </c>
      <c r="BL2944" s="4">
        <v>50.45</v>
      </c>
      <c r="BM2944" s="4">
        <v>7.57</v>
      </c>
      <c r="BN2944" s="4">
        <v>58.02</v>
      </c>
      <c r="BO2944" s="4">
        <v>58.02</v>
      </c>
      <c r="BQ2944" t="s">
        <v>2939</v>
      </c>
      <c r="BR2944" t="s">
        <v>84</v>
      </c>
      <c r="BS2944" s="3">
        <v>43795</v>
      </c>
      <c r="BT2944" s="5">
        <v>0.35138888888888892</v>
      </c>
      <c r="BU2944" t="s">
        <v>2940</v>
      </c>
      <c r="BV2944" t="s">
        <v>86</v>
      </c>
      <c r="BY2944">
        <v>4118.04</v>
      </c>
      <c r="CA2944" t="s">
        <v>323</v>
      </c>
      <c r="CC2944" t="s">
        <v>91</v>
      </c>
      <c r="CD2944">
        <v>7460</v>
      </c>
      <c r="CE2944" t="s">
        <v>1598</v>
      </c>
      <c r="CF2944" s="3">
        <v>43796</v>
      </c>
      <c r="CI2944">
        <v>1</v>
      </c>
      <c r="CJ2944">
        <v>1</v>
      </c>
      <c r="CK2944">
        <v>21</v>
      </c>
      <c r="CL2944" t="s">
        <v>89</v>
      </c>
    </row>
    <row r="2945" spans="1:90">
      <c r="A2945" t="s">
        <v>72</v>
      </c>
      <c r="B2945" t="s">
        <v>73</v>
      </c>
      <c r="C2945" t="s">
        <v>74</v>
      </c>
      <c r="E2945" t="str">
        <f>"FES116272434"</f>
        <v>FES116272434</v>
      </c>
      <c r="F2945" s="3">
        <v>43794</v>
      </c>
      <c r="G2945">
        <v>202005</v>
      </c>
      <c r="H2945" t="s">
        <v>75</v>
      </c>
      <c r="I2945" t="s">
        <v>76</v>
      </c>
      <c r="J2945" t="s">
        <v>77</v>
      </c>
      <c r="K2945" t="s">
        <v>78</v>
      </c>
      <c r="L2945" t="s">
        <v>605</v>
      </c>
      <c r="M2945" t="s">
        <v>606</v>
      </c>
      <c r="N2945" t="s">
        <v>607</v>
      </c>
      <c r="O2945" t="s">
        <v>82</v>
      </c>
      <c r="P2945" t="str">
        <f>"2170715230                    "</f>
        <v xml:space="preserve">2170715230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12.07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</v>
      </c>
      <c r="BJ2945">
        <v>0.8</v>
      </c>
      <c r="BK2945">
        <v>2</v>
      </c>
      <c r="BL2945" s="4">
        <v>70.95</v>
      </c>
      <c r="BM2945" s="4">
        <v>10.64</v>
      </c>
      <c r="BN2945" s="4">
        <v>81.59</v>
      </c>
      <c r="BO2945" s="4">
        <v>81.59</v>
      </c>
      <c r="BQ2945" t="s">
        <v>608</v>
      </c>
      <c r="BR2945" t="s">
        <v>84</v>
      </c>
      <c r="BS2945" s="3">
        <v>43795</v>
      </c>
      <c r="BT2945" s="5">
        <v>0.44722222222222219</v>
      </c>
      <c r="BU2945" t="s">
        <v>888</v>
      </c>
      <c r="BV2945" t="s">
        <v>86</v>
      </c>
      <c r="BY2945">
        <v>3751.97</v>
      </c>
      <c r="CA2945" t="s">
        <v>889</v>
      </c>
      <c r="CC2945" t="s">
        <v>606</v>
      </c>
      <c r="CD2945">
        <v>208</v>
      </c>
      <c r="CE2945" t="s">
        <v>1598</v>
      </c>
      <c r="CI2945">
        <v>1</v>
      </c>
      <c r="CJ2945">
        <v>1</v>
      </c>
      <c r="CK2945">
        <v>24</v>
      </c>
      <c r="CL2945" t="s">
        <v>89</v>
      </c>
    </row>
    <row r="2946" spans="1:90">
      <c r="A2946" t="s">
        <v>72</v>
      </c>
      <c r="B2946" t="s">
        <v>73</v>
      </c>
      <c r="C2946" t="s">
        <v>74</v>
      </c>
      <c r="E2946" t="str">
        <f>"FES1162724874"</f>
        <v>FES1162724874</v>
      </c>
      <c r="F2946" s="3">
        <v>43794</v>
      </c>
      <c r="G2946">
        <v>202005</v>
      </c>
      <c r="H2946" t="s">
        <v>75</v>
      </c>
      <c r="I2946" t="s">
        <v>76</v>
      </c>
      <c r="J2946" t="s">
        <v>77</v>
      </c>
      <c r="K2946" t="s">
        <v>78</v>
      </c>
      <c r="L2946" t="s">
        <v>118</v>
      </c>
      <c r="M2946" t="s">
        <v>119</v>
      </c>
      <c r="N2946" t="s">
        <v>439</v>
      </c>
      <c r="O2946" t="s">
        <v>82</v>
      </c>
      <c r="P2946" t="str">
        <f>"2170717935                    "</f>
        <v xml:space="preserve">2170717935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8.58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 s="4">
        <v>50.45</v>
      </c>
      <c r="BM2946" s="4">
        <v>7.57</v>
      </c>
      <c r="BN2946" s="4">
        <v>58.02</v>
      </c>
      <c r="BO2946" s="4">
        <v>58.02</v>
      </c>
      <c r="BQ2946" t="s">
        <v>121</v>
      </c>
      <c r="BR2946" t="s">
        <v>84</v>
      </c>
      <c r="BS2946" s="3">
        <v>43795</v>
      </c>
      <c r="BT2946" s="5">
        <v>0.39583333333333331</v>
      </c>
      <c r="BU2946" t="s">
        <v>1192</v>
      </c>
      <c r="BV2946" t="s">
        <v>86</v>
      </c>
      <c r="BY2946">
        <v>1200</v>
      </c>
      <c r="CA2946" t="s">
        <v>132</v>
      </c>
      <c r="CC2946" t="s">
        <v>119</v>
      </c>
      <c r="CD2946">
        <v>3201</v>
      </c>
      <c r="CE2946" t="s">
        <v>147</v>
      </c>
      <c r="CF2946" s="3">
        <v>43796</v>
      </c>
      <c r="CI2946">
        <v>1</v>
      </c>
      <c r="CJ2946">
        <v>1</v>
      </c>
      <c r="CK2946">
        <v>21</v>
      </c>
      <c r="CL2946" t="s">
        <v>89</v>
      </c>
    </row>
    <row r="2947" spans="1:90">
      <c r="A2947" t="s">
        <v>72</v>
      </c>
      <c r="B2947" t="s">
        <v>73</v>
      </c>
      <c r="C2947" t="s">
        <v>74</v>
      </c>
      <c r="E2947" t="str">
        <f>"FES1162725019"</f>
        <v>FES1162725019</v>
      </c>
      <c r="F2947" s="3">
        <v>43794</v>
      </c>
      <c r="G2947">
        <v>202005</v>
      </c>
      <c r="H2947" t="s">
        <v>75</v>
      </c>
      <c r="I2947" t="s">
        <v>76</v>
      </c>
      <c r="J2947" t="s">
        <v>77</v>
      </c>
      <c r="K2947" t="s">
        <v>78</v>
      </c>
      <c r="L2947" t="s">
        <v>118</v>
      </c>
      <c r="M2947" t="s">
        <v>119</v>
      </c>
      <c r="N2947" t="s">
        <v>439</v>
      </c>
      <c r="O2947" t="s">
        <v>82</v>
      </c>
      <c r="P2947" t="str">
        <f>"2170718750                    "</f>
        <v xml:space="preserve">2170718750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21.45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2.9</v>
      </c>
      <c r="BJ2947">
        <v>4.5999999999999996</v>
      </c>
      <c r="BK2947">
        <v>5</v>
      </c>
      <c r="BL2947" s="4">
        <v>126.08</v>
      </c>
      <c r="BM2947" s="4">
        <v>18.91</v>
      </c>
      <c r="BN2947" s="4">
        <v>144.99</v>
      </c>
      <c r="BO2947" s="4">
        <v>144.99</v>
      </c>
      <c r="BQ2947" t="s">
        <v>121</v>
      </c>
      <c r="BR2947" t="s">
        <v>84</v>
      </c>
      <c r="BS2947" s="3">
        <v>43795</v>
      </c>
      <c r="BT2947" s="5">
        <v>0.39583333333333331</v>
      </c>
      <c r="BU2947" t="s">
        <v>2488</v>
      </c>
      <c r="BV2947" t="s">
        <v>86</v>
      </c>
      <c r="BY2947">
        <v>22946.66</v>
      </c>
      <c r="CA2947" t="s">
        <v>132</v>
      </c>
      <c r="CC2947" t="s">
        <v>119</v>
      </c>
      <c r="CD2947">
        <v>3201</v>
      </c>
      <c r="CE2947" t="s">
        <v>1598</v>
      </c>
      <c r="CF2947" s="3">
        <v>43796</v>
      </c>
      <c r="CI2947">
        <v>1</v>
      </c>
      <c r="CJ2947">
        <v>1</v>
      </c>
      <c r="CK2947">
        <v>21</v>
      </c>
      <c r="CL2947" t="s">
        <v>89</v>
      </c>
    </row>
    <row r="2948" spans="1:90">
      <c r="A2948" t="s">
        <v>72</v>
      </c>
      <c r="B2948" t="s">
        <v>73</v>
      </c>
      <c r="C2948" t="s">
        <v>74</v>
      </c>
      <c r="E2948" t="str">
        <f>"FES1162724957"</f>
        <v>FES1162724957</v>
      </c>
      <c r="F2948" s="3">
        <v>43794</v>
      </c>
      <c r="G2948">
        <v>202005</v>
      </c>
      <c r="H2948" t="s">
        <v>75</v>
      </c>
      <c r="I2948" t="s">
        <v>76</v>
      </c>
      <c r="J2948" t="s">
        <v>77</v>
      </c>
      <c r="K2948" t="s">
        <v>78</v>
      </c>
      <c r="L2948" t="s">
        <v>101</v>
      </c>
      <c r="M2948" t="s">
        <v>102</v>
      </c>
      <c r="N2948" t="s">
        <v>2941</v>
      </c>
      <c r="O2948" t="s">
        <v>82</v>
      </c>
      <c r="P2948" t="str">
        <f>"2170718649                    "</f>
        <v xml:space="preserve">2170718649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8.58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 s="4">
        <v>50.45</v>
      </c>
      <c r="BM2948" s="4">
        <v>7.57</v>
      </c>
      <c r="BN2948" s="4">
        <v>58.02</v>
      </c>
      <c r="BO2948" s="4">
        <v>58.02</v>
      </c>
      <c r="BR2948" t="s">
        <v>84</v>
      </c>
      <c r="BS2948" s="3">
        <v>43795</v>
      </c>
      <c r="BT2948" s="5">
        <v>0.39583333333333331</v>
      </c>
      <c r="BU2948" t="s">
        <v>2942</v>
      </c>
      <c r="BV2948" t="s">
        <v>86</v>
      </c>
      <c r="BY2948">
        <v>1200</v>
      </c>
      <c r="CA2948" t="s">
        <v>123</v>
      </c>
      <c r="CC2948" t="s">
        <v>102</v>
      </c>
      <c r="CD2948">
        <v>181</v>
      </c>
      <c r="CE2948" t="s">
        <v>147</v>
      </c>
      <c r="CF2948" s="3">
        <v>43796</v>
      </c>
      <c r="CI2948">
        <v>1</v>
      </c>
      <c r="CJ2948">
        <v>1</v>
      </c>
      <c r="CK2948">
        <v>21</v>
      </c>
      <c r="CL2948" t="s">
        <v>89</v>
      </c>
    </row>
    <row r="2949" spans="1:90">
      <c r="A2949" t="s">
        <v>72</v>
      </c>
      <c r="B2949" t="s">
        <v>73</v>
      </c>
      <c r="C2949" t="s">
        <v>74</v>
      </c>
      <c r="E2949" t="str">
        <f>"FES1162725065"</f>
        <v>FES1162725065</v>
      </c>
      <c r="F2949" s="3">
        <v>43794</v>
      </c>
      <c r="G2949">
        <v>202005</v>
      </c>
      <c r="H2949" t="s">
        <v>75</v>
      </c>
      <c r="I2949" t="s">
        <v>76</v>
      </c>
      <c r="J2949" t="s">
        <v>77</v>
      </c>
      <c r="K2949" t="s">
        <v>78</v>
      </c>
      <c r="L2949" t="s">
        <v>112</v>
      </c>
      <c r="M2949" t="s">
        <v>113</v>
      </c>
      <c r="N2949" t="s">
        <v>160</v>
      </c>
      <c r="O2949" t="s">
        <v>82</v>
      </c>
      <c r="P2949" t="str">
        <f>"2170718800                    "</f>
        <v xml:space="preserve">2170718800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10.73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2.2000000000000002</v>
      </c>
      <c r="BJ2949">
        <v>0.9</v>
      </c>
      <c r="BK2949">
        <v>2.5</v>
      </c>
      <c r="BL2949" s="4">
        <v>63.06</v>
      </c>
      <c r="BM2949" s="4">
        <v>9.4600000000000009</v>
      </c>
      <c r="BN2949" s="4">
        <v>72.52</v>
      </c>
      <c r="BO2949" s="4">
        <v>72.52</v>
      </c>
      <c r="BQ2949" t="s">
        <v>161</v>
      </c>
      <c r="BR2949" t="s">
        <v>84</v>
      </c>
      <c r="BS2949" s="3">
        <v>43795</v>
      </c>
      <c r="BT2949" s="5">
        <v>0.38263888888888892</v>
      </c>
      <c r="BU2949" t="s">
        <v>162</v>
      </c>
      <c r="BV2949" t="s">
        <v>86</v>
      </c>
      <c r="BY2949">
        <v>4337.84</v>
      </c>
      <c r="CA2949" t="s">
        <v>163</v>
      </c>
      <c r="CC2949" t="s">
        <v>113</v>
      </c>
      <c r="CD2949">
        <v>4000</v>
      </c>
      <c r="CE2949" t="s">
        <v>88</v>
      </c>
      <c r="CF2949" s="3">
        <v>43796</v>
      </c>
      <c r="CI2949">
        <v>1</v>
      </c>
      <c r="CJ2949">
        <v>1</v>
      </c>
      <c r="CK2949">
        <v>21</v>
      </c>
      <c r="CL2949" t="s">
        <v>89</v>
      </c>
    </row>
    <row r="2950" spans="1:90">
      <c r="A2950" t="s">
        <v>72</v>
      </c>
      <c r="B2950" t="s">
        <v>73</v>
      </c>
      <c r="C2950" t="s">
        <v>74</v>
      </c>
      <c r="E2950" t="str">
        <f>"FES1162724904"</f>
        <v>FES1162724904</v>
      </c>
      <c r="F2950" s="3">
        <v>43794</v>
      </c>
      <c r="G2950">
        <v>202005</v>
      </c>
      <c r="H2950" t="s">
        <v>75</v>
      </c>
      <c r="I2950" t="s">
        <v>76</v>
      </c>
      <c r="J2950" t="s">
        <v>77</v>
      </c>
      <c r="K2950" t="s">
        <v>78</v>
      </c>
      <c r="L2950" t="s">
        <v>225</v>
      </c>
      <c r="M2950" t="s">
        <v>226</v>
      </c>
      <c r="N2950" t="s">
        <v>1006</v>
      </c>
      <c r="O2950" t="s">
        <v>82</v>
      </c>
      <c r="P2950" t="str">
        <f>"2170718585                    "</f>
        <v xml:space="preserve">2170718585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8.58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 s="4">
        <v>50.45</v>
      </c>
      <c r="BM2950" s="4">
        <v>7.57</v>
      </c>
      <c r="BN2950" s="4">
        <v>58.02</v>
      </c>
      <c r="BO2950" s="4">
        <v>58.02</v>
      </c>
      <c r="BQ2950" t="s">
        <v>121</v>
      </c>
      <c r="BR2950" t="s">
        <v>84</v>
      </c>
      <c r="BS2950" s="3">
        <v>43795</v>
      </c>
      <c r="BT2950" s="5">
        <v>0.3888888888888889</v>
      </c>
      <c r="BU2950" t="s">
        <v>2943</v>
      </c>
      <c r="BV2950" t="s">
        <v>86</v>
      </c>
      <c r="BY2950">
        <v>1200</v>
      </c>
      <c r="CA2950" t="s">
        <v>255</v>
      </c>
      <c r="CC2950" t="s">
        <v>226</v>
      </c>
      <c r="CD2950">
        <v>4026</v>
      </c>
      <c r="CE2950" t="s">
        <v>147</v>
      </c>
      <c r="CF2950" s="3">
        <v>43797</v>
      </c>
      <c r="CI2950">
        <v>1</v>
      </c>
      <c r="CJ2950">
        <v>1</v>
      </c>
      <c r="CK2950">
        <v>21</v>
      </c>
      <c r="CL2950" t="s">
        <v>89</v>
      </c>
    </row>
    <row r="2951" spans="1:90">
      <c r="A2951" t="s">
        <v>72</v>
      </c>
      <c r="B2951" t="s">
        <v>73</v>
      </c>
      <c r="C2951" t="s">
        <v>74</v>
      </c>
      <c r="E2951" t="str">
        <f>"FES1162724329"</f>
        <v>FES1162724329</v>
      </c>
      <c r="F2951" s="3">
        <v>43794</v>
      </c>
      <c r="G2951">
        <v>202005</v>
      </c>
      <c r="H2951" t="s">
        <v>75</v>
      </c>
      <c r="I2951" t="s">
        <v>76</v>
      </c>
      <c r="J2951" t="s">
        <v>77</v>
      </c>
      <c r="K2951" t="s">
        <v>78</v>
      </c>
      <c r="L2951" t="s">
        <v>101</v>
      </c>
      <c r="M2951" t="s">
        <v>102</v>
      </c>
      <c r="N2951" t="s">
        <v>1390</v>
      </c>
      <c r="O2951" t="s">
        <v>82</v>
      </c>
      <c r="P2951" t="str">
        <f>"2170713779                    "</f>
        <v xml:space="preserve">2170713779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8.58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 s="4">
        <v>50.45</v>
      </c>
      <c r="BM2951" s="4">
        <v>7.57</v>
      </c>
      <c r="BN2951" s="4">
        <v>58.02</v>
      </c>
      <c r="BO2951" s="4">
        <v>58.02</v>
      </c>
      <c r="BQ2951" t="s">
        <v>109</v>
      </c>
      <c r="BR2951" t="s">
        <v>84</v>
      </c>
      <c r="BS2951" s="3">
        <v>43795</v>
      </c>
      <c r="BT2951" s="5">
        <v>0.4375</v>
      </c>
      <c r="BU2951" t="s">
        <v>295</v>
      </c>
      <c r="BV2951" t="s">
        <v>86</v>
      </c>
      <c r="BY2951">
        <v>1200</v>
      </c>
      <c r="CC2951" t="s">
        <v>102</v>
      </c>
      <c r="CD2951">
        <v>200</v>
      </c>
      <c r="CE2951" t="s">
        <v>147</v>
      </c>
      <c r="CF2951" s="3">
        <v>43796</v>
      </c>
      <c r="CI2951">
        <v>1</v>
      </c>
      <c r="CJ2951">
        <v>1</v>
      </c>
      <c r="CK2951">
        <v>21</v>
      </c>
      <c r="CL2951" t="s">
        <v>89</v>
      </c>
    </row>
    <row r="2952" spans="1:90">
      <c r="A2952" t="s">
        <v>72</v>
      </c>
      <c r="B2952" t="s">
        <v>73</v>
      </c>
      <c r="C2952" t="s">
        <v>74</v>
      </c>
      <c r="E2952" t="str">
        <f>"FES1162724986"</f>
        <v>FES1162724986</v>
      </c>
      <c r="F2952" s="3">
        <v>43794</v>
      </c>
      <c r="G2952">
        <v>202005</v>
      </c>
      <c r="H2952" t="s">
        <v>75</v>
      </c>
      <c r="I2952" t="s">
        <v>76</v>
      </c>
      <c r="J2952" t="s">
        <v>77</v>
      </c>
      <c r="K2952" t="s">
        <v>78</v>
      </c>
      <c r="L2952" t="s">
        <v>75</v>
      </c>
      <c r="M2952" t="s">
        <v>76</v>
      </c>
      <c r="N2952" t="s">
        <v>366</v>
      </c>
      <c r="O2952" t="s">
        <v>82</v>
      </c>
      <c r="P2952" t="str">
        <f>"2170718700                    "</f>
        <v xml:space="preserve">2170718700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8.31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2.9</v>
      </c>
      <c r="BJ2952">
        <v>1.1000000000000001</v>
      </c>
      <c r="BK2952">
        <v>3</v>
      </c>
      <c r="BL2952" s="4">
        <v>48.86</v>
      </c>
      <c r="BM2952" s="4">
        <v>7.33</v>
      </c>
      <c r="BN2952" s="4">
        <v>56.19</v>
      </c>
      <c r="BO2952" s="4">
        <v>56.19</v>
      </c>
      <c r="BR2952" t="s">
        <v>84</v>
      </c>
      <c r="BS2952" s="3">
        <v>43795</v>
      </c>
      <c r="BT2952" s="5">
        <v>0.41666666666666669</v>
      </c>
      <c r="BU2952" t="s">
        <v>2944</v>
      </c>
      <c r="BV2952" t="s">
        <v>86</v>
      </c>
      <c r="BY2952">
        <v>5486.1</v>
      </c>
      <c r="CA2952" t="s">
        <v>368</v>
      </c>
      <c r="CC2952" t="s">
        <v>76</v>
      </c>
      <c r="CD2952">
        <v>1624</v>
      </c>
      <c r="CE2952" t="s">
        <v>1598</v>
      </c>
      <c r="CF2952" s="3">
        <v>43796</v>
      </c>
      <c r="CI2952">
        <v>1</v>
      </c>
      <c r="CJ2952">
        <v>1</v>
      </c>
      <c r="CK2952">
        <v>22</v>
      </c>
      <c r="CL2952" t="s">
        <v>89</v>
      </c>
    </row>
    <row r="2953" spans="1:90">
      <c r="A2953" t="s">
        <v>72</v>
      </c>
      <c r="B2953" t="s">
        <v>73</v>
      </c>
      <c r="C2953" t="s">
        <v>74</v>
      </c>
      <c r="E2953" t="str">
        <f>"FES1162724992"</f>
        <v>FES1162724992</v>
      </c>
      <c r="F2953" s="3">
        <v>43794</v>
      </c>
      <c r="G2953">
        <v>202005</v>
      </c>
      <c r="H2953" t="s">
        <v>75</v>
      </c>
      <c r="I2953" t="s">
        <v>76</v>
      </c>
      <c r="J2953" t="s">
        <v>77</v>
      </c>
      <c r="K2953" t="s">
        <v>78</v>
      </c>
      <c r="L2953" t="s">
        <v>90</v>
      </c>
      <c r="M2953" t="s">
        <v>91</v>
      </c>
      <c r="N2953" t="s">
        <v>527</v>
      </c>
      <c r="O2953" t="s">
        <v>82</v>
      </c>
      <c r="P2953" t="str">
        <f>"2170718711                    "</f>
        <v xml:space="preserve">2170718711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8.58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 s="4">
        <v>50.45</v>
      </c>
      <c r="BM2953" s="4">
        <v>7.57</v>
      </c>
      <c r="BN2953" s="4">
        <v>58.02</v>
      </c>
      <c r="BO2953" s="4">
        <v>58.02</v>
      </c>
      <c r="BQ2953" t="s">
        <v>109</v>
      </c>
      <c r="BR2953" t="s">
        <v>84</v>
      </c>
      <c r="BS2953" s="3">
        <v>43795</v>
      </c>
      <c r="BT2953" s="5">
        <v>0.32847222222222222</v>
      </c>
      <c r="BU2953" t="s">
        <v>2780</v>
      </c>
      <c r="BV2953" t="s">
        <v>86</v>
      </c>
      <c r="BY2953">
        <v>1200</v>
      </c>
      <c r="CA2953" t="s">
        <v>221</v>
      </c>
      <c r="CC2953" t="s">
        <v>91</v>
      </c>
      <c r="CD2953">
        <v>7405</v>
      </c>
      <c r="CE2953" t="s">
        <v>147</v>
      </c>
      <c r="CF2953" s="3">
        <v>43796</v>
      </c>
      <c r="CI2953">
        <v>1</v>
      </c>
      <c r="CJ2953">
        <v>1</v>
      </c>
      <c r="CK2953">
        <v>21</v>
      </c>
      <c r="CL2953" t="s">
        <v>89</v>
      </c>
    </row>
    <row r="2954" spans="1:90">
      <c r="A2954" t="s">
        <v>72</v>
      </c>
      <c r="B2954" t="s">
        <v>73</v>
      </c>
      <c r="C2954" t="s">
        <v>74</v>
      </c>
      <c r="E2954" t="str">
        <f>"FES1162724819"</f>
        <v>FES1162724819</v>
      </c>
      <c r="F2954" s="3">
        <v>43794</v>
      </c>
      <c r="G2954">
        <v>202005</v>
      </c>
      <c r="H2954" t="s">
        <v>75</v>
      </c>
      <c r="I2954" t="s">
        <v>76</v>
      </c>
      <c r="J2954" t="s">
        <v>77</v>
      </c>
      <c r="K2954" t="s">
        <v>78</v>
      </c>
      <c r="L2954" t="s">
        <v>90</v>
      </c>
      <c r="M2954" t="s">
        <v>91</v>
      </c>
      <c r="N2954" t="s">
        <v>1481</v>
      </c>
      <c r="O2954" t="s">
        <v>82</v>
      </c>
      <c r="P2954" t="str">
        <f>"2170716653                    "</f>
        <v xml:space="preserve">2170716653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34.31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7.6</v>
      </c>
      <c r="BJ2954">
        <v>2.2000000000000002</v>
      </c>
      <c r="BK2954">
        <v>8</v>
      </c>
      <c r="BL2954" s="4">
        <v>201.7</v>
      </c>
      <c r="BM2954" s="4">
        <v>30.26</v>
      </c>
      <c r="BN2954" s="4">
        <v>231.96</v>
      </c>
      <c r="BO2954" s="4">
        <v>231.96</v>
      </c>
      <c r="BQ2954" t="s">
        <v>246</v>
      </c>
      <c r="BR2954" t="s">
        <v>84</v>
      </c>
      <c r="BS2954" s="3">
        <v>43795</v>
      </c>
      <c r="BT2954" s="5">
        <v>0.37013888888888885</v>
      </c>
      <c r="BU2954" t="s">
        <v>1482</v>
      </c>
      <c r="BV2954" t="s">
        <v>86</v>
      </c>
      <c r="BY2954">
        <v>10907.3</v>
      </c>
      <c r="CA2954" t="s">
        <v>1238</v>
      </c>
      <c r="CC2954" t="s">
        <v>91</v>
      </c>
      <c r="CD2954">
        <v>7441</v>
      </c>
      <c r="CE2954" t="s">
        <v>88</v>
      </c>
      <c r="CF2954" s="3">
        <v>43796</v>
      </c>
      <c r="CI2954">
        <v>1</v>
      </c>
      <c r="CJ2954">
        <v>1</v>
      </c>
      <c r="CK2954">
        <v>21</v>
      </c>
      <c r="CL2954" t="s">
        <v>89</v>
      </c>
    </row>
    <row r="2955" spans="1:90">
      <c r="A2955" t="s">
        <v>72</v>
      </c>
      <c r="B2955" t="s">
        <v>73</v>
      </c>
      <c r="C2955" t="s">
        <v>74</v>
      </c>
      <c r="E2955" t="str">
        <f>"FES1162724985"</f>
        <v>FES1162724985</v>
      </c>
      <c r="F2955" s="3">
        <v>43794</v>
      </c>
      <c r="G2955">
        <v>202005</v>
      </c>
      <c r="H2955" t="s">
        <v>75</v>
      </c>
      <c r="I2955" t="s">
        <v>76</v>
      </c>
      <c r="J2955" t="s">
        <v>77</v>
      </c>
      <c r="K2955" t="s">
        <v>78</v>
      </c>
      <c r="L2955" t="s">
        <v>133</v>
      </c>
      <c r="M2955" t="s">
        <v>134</v>
      </c>
      <c r="N2955" t="s">
        <v>310</v>
      </c>
      <c r="O2955" t="s">
        <v>82</v>
      </c>
      <c r="P2955" t="str">
        <f>"2170718697                    "</f>
        <v xml:space="preserve">2170718697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8.58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 s="4">
        <v>50.45</v>
      </c>
      <c r="BM2955" s="4">
        <v>7.57</v>
      </c>
      <c r="BN2955" s="4">
        <v>58.02</v>
      </c>
      <c r="BO2955" s="4">
        <v>58.02</v>
      </c>
      <c r="BQ2955" t="s">
        <v>121</v>
      </c>
      <c r="BR2955" t="s">
        <v>84</v>
      </c>
      <c r="BS2955" s="3">
        <v>43795</v>
      </c>
      <c r="BT2955" s="5">
        <v>0.41666666666666669</v>
      </c>
      <c r="BU2955" t="s">
        <v>911</v>
      </c>
      <c r="BV2955" t="s">
        <v>86</v>
      </c>
      <c r="BY2955">
        <v>1200</v>
      </c>
      <c r="CA2955" t="s">
        <v>912</v>
      </c>
      <c r="CC2955" t="s">
        <v>134</v>
      </c>
      <c r="CD2955">
        <v>5201</v>
      </c>
      <c r="CE2955" t="s">
        <v>147</v>
      </c>
      <c r="CF2955" s="3">
        <v>43797</v>
      </c>
      <c r="CI2955">
        <v>1</v>
      </c>
      <c r="CJ2955">
        <v>1</v>
      </c>
      <c r="CK2955">
        <v>21</v>
      </c>
      <c r="CL2955" t="s">
        <v>89</v>
      </c>
    </row>
    <row r="2956" spans="1:90">
      <c r="A2956" t="s">
        <v>72</v>
      </c>
      <c r="B2956" t="s">
        <v>73</v>
      </c>
      <c r="C2956" t="s">
        <v>74</v>
      </c>
      <c r="E2956" t="str">
        <f>"FES1162724777"</f>
        <v>FES1162724777</v>
      </c>
      <c r="F2956" s="3">
        <v>43794</v>
      </c>
      <c r="G2956">
        <v>202005</v>
      </c>
      <c r="H2956" t="s">
        <v>75</v>
      </c>
      <c r="I2956" t="s">
        <v>76</v>
      </c>
      <c r="J2956" t="s">
        <v>77</v>
      </c>
      <c r="K2956" t="s">
        <v>78</v>
      </c>
      <c r="L2956" t="s">
        <v>101</v>
      </c>
      <c r="M2956" t="s">
        <v>102</v>
      </c>
      <c r="N2956" t="s">
        <v>2435</v>
      </c>
      <c r="O2956" t="s">
        <v>82</v>
      </c>
      <c r="P2956" t="str">
        <f>"2170715612                    "</f>
        <v xml:space="preserve">2170715612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8.58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 s="4">
        <v>50.45</v>
      </c>
      <c r="BM2956" s="4">
        <v>7.57</v>
      </c>
      <c r="BN2956" s="4">
        <v>58.02</v>
      </c>
      <c r="BO2956" s="4">
        <v>58.02</v>
      </c>
      <c r="BQ2956" t="s">
        <v>2945</v>
      </c>
      <c r="BR2956" t="s">
        <v>84</v>
      </c>
      <c r="BS2956" s="3">
        <v>43795</v>
      </c>
      <c r="BT2956" s="5">
        <v>0.38541666666666669</v>
      </c>
      <c r="BU2956" t="s">
        <v>1868</v>
      </c>
      <c r="BV2956" t="s">
        <v>86</v>
      </c>
      <c r="BY2956">
        <v>1200</v>
      </c>
      <c r="CA2956" t="s">
        <v>2946</v>
      </c>
      <c r="CC2956" t="s">
        <v>102</v>
      </c>
      <c r="CD2956">
        <v>183</v>
      </c>
      <c r="CE2956" t="s">
        <v>147</v>
      </c>
      <c r="CF2956" s="3">
        <v>43796</v>
      </c>
      <c r="CI2956">
        <v>1</v>
      </c>
      <c r="CJ2956">
        <v>1</v>
      </c>
      <c r="CK2956">
        <v>21</v>
      </c>
      <c r="CL2956" t="s">
        <v>89</v>
      </c>
    </row>
    <row r="2957" spans="1:90">
      <c r="A2957" t="s">
        <v>72</v>
      </c>
      <c r="B2957" t="s">
        <v>73</v>
      </c>
      <c r="C2957" t="s">
        <v>74</v>
      </c>
      <c r="E2957" t="str">
        <f>"FES1162725037"</f>
        <v>FES1162725037</v>
      </c>
      <c r="F2957" s="3">
        <v>43794</v>
      </c>
      <c r="G2957">
        <v>202005</v>
      </c>
      <c r="H2957" t="s">
        <v>75</v>
      </c>
      <c r="I2957" t="s">
        <v>76</v>
      </c>
      <c r="J2957" t="s">
        <v>77</v>
      </c>
      <c r="K2957" t="s">
        <v>78</v>
      </c>
      <c r="L2957" t="s">
        <v>79</v>
      </c>
      <c r="M2957" t="s">
        <v>80</v>
      </c>
      <c r="N2957" t="s">
        <v>1447</v>
      </c>
      <c r="O2957" t="s">
        <v>82</v>
      </c>
      <c r="P2957" t="str">
        <f>"2170718773                    "</f>
        <v xml:space="preserve">2170718773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8.58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 s="4">
        <v>50.45</v>
      </c>
      <c r="BM2957" s="4">
        <v>7.57</v>
      </c>
      <c r="BN2957" s="4">
        <v>58.02</v>
      </c>
      <c r="BO2957" s="4">
        <v>58.02</v>
      </c>
      <c r="BQ2957" t="s">
        <v>109</v>
      </c>
      <c r="BR2957" t="s">
        <v>84</v>
      </c>
      <c r="BS2957" s="3">
        <v>43795</v>
      </c>
      <c r="BT2957" s="5">
        <v>0.38055555555555554</v>
      </c>
      <c r="BU2957" t="s">
        <v>85</v>
      </c>
      <c r="BV2957" t="s">
        <v>86</v>
      </c>
      <c r="BY2957">
        <v>1200</v>
      </c>
      <c r="CA2957" t="s">
        <v>87</v>
      </c>
      <c r="CC2957" t="s">
        <v>80</v>
      </c>
      <c r="CD2957">
        <v>6230</v>
      </c>
      <c r="CE2957" t="s">
        <v>147</v>
      </c>
      <c r="CF2957" s="3">
        <v>43796</v>
      </c>
      <c r="CI2957">
        <v>1</v>
      </c>
      <c r="CJ2957">
        <v>1</v>
      </c>
      <c r="CK2957">
        <v>21</v>
      </c>
      <c r="CL2957" t="s">
        <v>89</v>
      </c>
    </row>
    <row r="2958" spans="1:90">
      <c r="A2958" t="s">
        <v>72</v>
      </c>
      <c r="B2958" t="s">
        <v>73</v>
      </c>
      <c r="C2958" t="s">
        <v>74</v>
      </c>
      <c r="E2958" t="str">
        <f>"FES11627244897"</f>
        <v>FES11627244897</v>
      </c>
      <c r="F2958" s="3">
        <v>43794</v>
      </c>
      <c r="G2958">
        <v>202005</v>
      </c>
      <c r="H2958" t="s">
        <v>75</v>
      </c>
      <c r="I2958" t="s">
        <v>76</v>
      </c>
      <c r="J2958" t="s">
        <v>77</v>
      </c>
      <c r="K2958" t="s">
        <v>78</v>
      </c>
      <c r="L2958" t="s">
        <v>1327</v>
      </c>
      <c r="M2958" t="s">
        <v>1328</v>
      </c>
      <c r="N2958" t="s">
        <v>1329</v>
      </c>
      <c r="O2958" t="s">
        <v>82</v>
      </c>
      <c r="P2958" t="str">
        <f>"217071856                     "</f>
        <v xml:space="preserve">217071856 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16.63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1.5</v>
      </c>
      <c r="BJ2958">
        <v>1</v>
      </c>
      <c r="BK2958">
        <v>1.5</v>
      </c>
      <c r="BL2958" s="4">
        <v>97.75</v>
      </c>
      <c r="BM2958" s="4">
        <v>14.66</v>
      </c>
      <c r="BN2958" s="4">
        <v>112.41</v>
      </c>
      <c r="BO2958" s="4">
        <v>112.41</v>
      </c>
      <c r="BQ2958" t="s">
        <v>109</v>
      </c>
      <c r="BR2958" t="s">
        <v>84</v>
      </c>
      <c r="BS2958" s="3">
        <v>43795</v>
      </c>
      <c r="BT2958" s="5">
        <v>0.39583333333333331</v>
      </c>
      <c r="BU2958" t="s">
        <v>378</v>
      </c>
      <c r="BV2958" t="s">
        <v>86</v>
      </c>
      <c r="BY2958">
        <v>4838.92</v>
      </c>
      <c r="CA2958" t="s">
        <v>1330</v>
      </c>
      <c r="CC2958" t="s">
        <v>1328</v>
      </c>
      <c r="CD2958">
        <v>9700</v>
      </c>
      <c r="CE2958" t="s">
        <v>1598</v>
      </c>
      <c r="CI2958">
        <v>1</v>
      </c>
      <c r="CJ2958">
        <v>1</v>
      </c>
      <c r="CK2958">
        <v>23</v>
      </c>
      <c r="CL2958" t="s">
        <v>89</v>
      </c>
    </row>
    <row r="2959" spans="1:90">
      <c r="A2959" t="s">
        <v>72</v>
      </c>
      <c r="B2959" t="s">
        <v>73</v>
      </c>
      <c r="C2959" t="s">
        <v>74</v>
      </c>
      <c r="E2959" t="str">
        <f>"FES1162725018"</f>
        <v>FES1162725018</v>
      </c>
      <c r="F2959" s="3">
        <v>43794</v>
      </c>
      <c r="G2959">
        <v>202005</v>
      </c>
      <c r="H2959" t="s">
        <v>75</v>
      </c>
      <c r="I2959" t="s">
        <v>76</v>
      </c>
      <c r="J2959" t="s">
        <v>77</v>
      </c>
      <c r="K2959" t="s">
        <v>78</v>
      </c>
      <c r="L2959" t="s">
        <v>106</v>
      </c>
      <c r="M2959" t="s">
        <v>107</v>
      </c>
      <c r="N2959" t="s">
        <v>771</v>
      </c>
      <c r="O2959" t="s">
        <v>82</v>
      </c>
      <c r="P2959" t="str">
        <f>"2170718749                    "</f>
        <v xml:space="preserve">2170718749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8.58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 s="4">
        <v>50.45</v>
      </c>
      <c r="BM2959" s="4">
        <v>7.57</v>
      </c>
      <c r="BN2959" s="4">
        <v>58.02</v>
      </c>
      <c r="BO2959" s="4">
        <v>58.02</v>
      </c>
      <c r="BQ2959" t="s">
        <v>109</v>
      </c>
      <c r="BR2959" t="s">
        <v>84</v>
      </c>
      <c r="BS2959" s="3">
        <v>43795</v>
      </c>
      <c r="BT2959" s="5">
        <v>0.42499999999999999</v>
      </c>
      <c r="BU2959" t="s">
        <v>1816</v>
      </c>
      <c r="BV2959" t="s">
        <v>86</v>
      </c>
      <c r="BY2959">
        <v>1200</v>
      </c>
      <c r="CA2959" t="s">
        <v>773</v>
      </c>
      <c r="CC2959" t="s">
        <v>107</v>
      </c>
      <c r="CD2959">
        <v>6012</v>
      </c>
      <c r="CE2959" t="s">
        <v>147</v>
      </c>
      <c r="CF2959" s="3">
        <v>43796</v>
      </c>
      <c r="CI2959">
        <v>1</v>
      </c>
      <c r="CJ2959">
        <v>1</v>
      </c>
      <c r="CK2959">
        <v>21</v>
      </c>
      <c r="CL2959" t="s">
        <v>89</v>
      </c>
    </row>
    <row r="2960" spans="1:90">
      <c r="A2960" t="s">
        <v>72</v>
      </c>
      <c r="B2960" t="s">
        <v>73</v>
      </c>
      <c r="C2960" t="s">
        <v>74</v>
      </c>
      <c r="E2960" t="str">
        <f>"FES1162724471"</f>
        <v>FES1162724471</v>
      </c>
      <c r="F2960" s="3">
        <v>43794</v>
      </c>
      <c r="G2960">
        <v>202005</v>
      </c>
      <c r="H2960" t="s">
        <v>75</v>
      </c>
      <c r="I2960" t="s">
        <v>76</v>
      </c>
      <c r="J2960" t="s">
        <v>77</v>
      </c>
      <c r="K2960" t="s">
        <v>78</v>
      </c>
      <c r="L2960" t="s">
        <v>75</v>
      </c>
      <c r="M2960" t="s">
        <v>76</v>
      </c>
      <c r="N2960" t="s">
        <v>466</v>
      </c>
      <c r="O2960" t="s">
        <v>82</v>
      </c>
      <c r="P2960" t="str">
        <f>"2170718234                    "</f>
        <v xml:space="preserve">2170718234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6.71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1.1000000000000001</v>
      </c>
      <c r="BJ2960">
        <v>0.8</v>
      </c>
      <c r="BK2960">
        <v>1.5</v>
      </c>
      <c r="BL2960" s="4">
        <v>39.42</v>
      </c>
      <c r="BM2960" s="4">
        <v>5.91</v>
      </c>
      <c r="BN2960" s="4">
        <v>45.33</v>
      </c>
      <c r="BO2960" s="4">
        <v>45.33</v>
      </c>
      <c r="BQ2960" t="s">
        <v>109</v>
      </c>
      <c r="BR2960" t="s">
        <v>84</v>
      </c>
      <c r="BS2960" s="3">
        <v>43795</v>
      </c>
      <c r="BT2960" s="5">
        <v>0.33680555555555558</v>
      </c>
      <c r="BU2960" t="s">
        <v>2932</v>
      </c>
      <c r="BV2960" t="s">
        <v>86</v>
      </c>
      <c r="BY2960">
        <v>3807.09</v>
      </c>
      <c r="CA2960" t="s">
        <v>1067</v>
      </c>
      <c r="CC2960" t="s">
        <v>76</v>
      </c>
      <c r="CD2960">
        <v>1609</v>
      </c>
      <c r="CE2960" t="s">
        <v>1598</v>
      </c>
      <c r="CF2960" s="3">
        <v>43796</v>
      </c>
      <c r="CI2960">
        <v>1</v>
      </c>
      <c r="CJ2960">
        <v>1</v>
      </c>
      <c r="CK2960">
        <v>22</v>
      </c>
      <c r="CL2960" t="s">
        <v>89</v>
      </c>
    </row>
    <row r="2961" spans="1:90">
      <c r="A2961" t="s">
        <v>72</v>
      </c>
      <c r="B2961" t="s">
        <v>73</v>
      </c>
      <c r="C2961" t="s">
        <v>74</v>
      </c>
      <c r="E2961" t="str">
        <f>"FES1162724979"</f>
        <v>FES1162724979</v>
      </c>
      <c r="F2961" s="3">
        <v>43794</v>
      </c>
      <c r="G2961">
        <v>202005</v>
      </c>
      <c r="H2961" t="s">
        <v>75</v>
      </c>
      <c r="I2961" t="s">
        <v>76</v>
      </c>
      <c r="J2961" t="s">
        <v>77</v>
      </c>
      <c r="K2961" t="s">
        <v>78</v>
      </c>
      <c r="L2961" t="s">
        <v>106</v>
      </c>
      <c r="M2961" t="s">
        <v>107</v>
      </c>
      <c r="N2961" t="s">
        <v>1448</v>
      </c>
      <c r="O2961" t="s">
        <v>82</v>
      </c>
      <c r="P2961" t="str">
        <f>"2170717649                    "</f>
        <v xml:space="preserve">2170717649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36.46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2.8</v>
      </c>
      <c r="BJ2961">
        <v>8.5</v>
      </c>
      <c r="BK2961">
        <v>8.5</v>
      </c>
      <c r="BL2961" s="4">
        <v>214.31</v>
      </c>
      <c r="BM2961" s="4">
        <v>32.15</v>
      </c>
      <c r="BN2961" s="4">
        <v>246.46</v>
      </c>
      <c r="BO2961" s="4">
        <v>246.46</v>
      </c>
      <c r="BQ2961" t="s">
        <v>121</v>
      </c>
      <c r="BR2961" t="s">
        <v>84</v>
      </c>
      <c r="BS2961" s="3">
        <v>43795</v>
      </c>
      <c r="BT2961" s="5">
        <v>0.38611111111111113</v>
      </c>
      <c r="BU2961" t="s">
        <v>2947</v>
      </c>
      <c r="BV2961" t="s">
        <v>86</v>
      </c>
      <c r="BY2961">
        <v>42426.29</v>
      </c>
      <c r="CA2961" t="s">
        <v>244</v>
      </c>
      <c r="CC2961" t="s">
        <v>107</v>
      </c>
      <c r="CD2961">
        <v>6045</v>
      </c>
      <c r="CE2961" t="s">
        <v>88</v>
      </c>
      <c r="CF2961" s="3">
        <v>43796</v>
      </c>
      <c r="CI2961">
        <v>1</v>
      </c>
      <c r="CJ2961">
        <v>1</v>
      </c>
      <c r="CK2961">
        <v>21</v>
      </c>
      <c r="CL2961" t="s">
        <v>89</v>
      </c>
    </row>
    <row r="2962" spans="1:90">
      <c r="A2962" t="s">
        <v>72</v>
      </c>
      <c r="B2962" t="s">
        <v>73</v>
      </c>
      <c r="C2962" t="s">
        <v>74</v>
      </c>
      <c r="E2962" t="str">
        <f>"FES1162724591"</f>
        <v>FES1162724591</v>
      </c>
      <c r="F2962" s="3">
        <v>43794</v>
      </c>
      <c r="G2962">
        <v>202005</v>
      </c>
      <c r="H2962" t="s">
        <v>75</v>
      </c>
      <c r="I2962" t="s">
        <v>76</v>
      </c>
      <c r="J2962" t="s">
        <v>77</v>
      </c>
      <c r="K2962" t="s">
        <v>78</v>
      </c>
      <c r="L2962" t="s">
        <v>691</v>
      </c>
      <c r="M2962" t="s">
        <v>692</v>
      </c>
      <c r="N2962" t="s">
        <v>2948</v>
      </c>
      <c r="O2962" t="s">
        <v>82</v>
      </c>
      <c r="P2962" t="str">
        <f>"2170718270                    "</f>
        <v xml:space="preserve">2170718270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12.33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3.4</v>
      </c>
      <c r="BJ2962">
        <v>5.3</v>
      </c>
      <c r="BK2962">
        <v>5.5</v>
      </c>
      <c r="BL2962" s="4">
        <v>72.48</v>
      </c>
      <c r="BM2962" s="4">
        <v>10.87</v>
      </c>
      <c r="BN2962" s="4">
        <v>83.35</v>
      </c>
      <c r="BO2962" s="4">
        <v>83.35</v>
      </c>
      <c r="BQ2962" t="s">
        <v>121</v>
      </c>
      <c r="BR2962" t="s">
        <v>84</v>
      </c>
      <c r="BS2962" s="3">
        <v>43795</v>
      </c>
      <c r="BT2962" s="5">
        <v>0.41666666666666669</v>
      </c>
      <c r="BU2962" t="s">
        <v>2949</v>
      </c>
      <c r="BV2962" t="s">
        <v>86</v>
      </c>
      <c r="BY2962">
        <v>26641.200000000001</v>
      </c>
      <c r="CC2962" t="s">
        <v>692</v>
      </c>
      <c r="CD2962">
        <v>1510</v>
      </c>
      <c r="CE2962" t="s">
        <v>1598</v>
      </c>
      <c r="CF2962" s="3">
        <v>43796</v>
      </c>
      <c r="CI2962">
        <v>1</v>
      </c>
      <c r="CJ2962">
        <v>1</v>
      </c>
      <c r="CK2962">
        <v>22</v>
      </c>
      <c r="CL2962" t="s">
        <v>89</v>
      </c>
    </row>
    <row r="2963" spans="1:90">
      <c r="A2963" t="s">
        <v>72</v>
      </c>
      <c r="B2963" t="s">
        <v>73</v>
      </c>
      <c r="C2963" t="s">
        <v>74</v>
      </c>
      <c r="E2963" t="str">
        <f>"FES1162724487"</f>
        <v>FES1162724487</v>
      </c>
      <c r="F2963" s="3">
        <v>43794</v>
      </c>
      <c r="G2963">
        <v>202005</v>
      </c>
      <c r="H2963" t="s">
        <v>75</v>
      </c>
      <c r="I2963" t="s">
        <v>76</v>
      </c>
      <c r="J2963" t="s">
        <v>77</v>
      </c>
      <c r="K2963" t="s">
        <v>78</v>
      </c>
      <c r="L2963" t="s">
        <v>482</v>
      </c>
      <c r="M2963" t="s">
        <v>483</v>
      </c>
      <c r="N2963" t="s">
        <v>1734</v>
      </c>
      <c r="O2963" t="s">
        <v>82</v>
      </c>
      <c r="P2963" t="str">
        <f>"2170718257                    "</f>
        <v xml:space="preserve">2170718257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6.71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 s="4">
        <v>39.42</v>
      </c>
      <c r="BM2963" s="4">
        <v>5.91</v>
      </c>
      <c r="BN2963" s="4">
        <v>45.33</v>
      </c>
      <c r="BO2963" s="4">
        <v>45.33</v>
      </c>
      <c r="BQ2963" t="s">
        <v>121</v>
      </c>
      <c r="BR2963" t="s">
        <v>84</v>
      </c>
      <c r="BS2963" s="3">
        <v>43795</v>
      </c>
      <c r="BT2963" s="5">
        <v>0.33333333333333331</v>
      </c>
      <c r="BU2963" t="s">
        <v>612</v>
      </c>
      <c r="BV2963" t="s">
        <v>86</v>
      </c>
      <c r="BY2963">
        <v>1200</v>
      </c>
      <c r="CA2963" t="s">
        <v>486</v>
      </c>
      <c r="CC2963" t="s">
        <v>483</v>
      </c>
      <c r="CD2963">
        <v>1459</v>
      </c>
      <c r="CE2963" t="s">
        <v>147</v>
      </c>
      <c r="CF2963" s="3">
        <v>43796</v>
      </c>
      <c r="CI2963">
        <v>1</v>
      </c>
      <c r="CJ2963">
        <v>1</v>
      </c>
      <c r="CK2963">
        <v>22</v>
      </c>
      <c r="CL2963" t="s">
        <v>89</v>
      </c>
    </row>
    <row r="2964" spans="1:90">
      <c r="A2964" t="s">
        <v>72</v>
      </c>
      <c r="B2964" t="s">
        <v>73</v>
      </c>
      <c r="C2964" t="s">
        <v>74</v>
      </c>
      <c r="E2964" t="str">
        <f>"FES1162724868"</f>
        <v>FES1162724868</v>
      </c>
      <c r="F2964" s="3">
        <v>43794</v>
      </c>
      <c r="G2964">
        <v>202005</v>
      </c>
      <c r="H2964" t="s">
        <v>75</v>
      </c>
      <c r="I2964" t="s">
        <v>76</v>
      </c>
      <c r="J2964" t="s">
        <v>77</v>
      </c>
      <c r="K2964" t="s">
        <v>78</v>
      </c>
      <c r="L2964" t="s">
        <v>90</v>
      </c>
      <c r="M2964" t="s">
        <v>91</v>
      </c>
      <c r="N2964" t="s">
        <v>401</v>
      </c>
      <c r="O2964" t="s">
        <v>82</v>
      </c>
      <c r="P2964" t="str">
        <f>"2170717815                    "</f>
        <v xml:space="preserve">2170717815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10.73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2.4</v>
      </c>
      <c r="BJ2964">
        <v>1.6</v>
      </c>
      <c r="BK2964">
        <v>2.5</v>
      </c>
      <c r="BL2964" s="4">
        <v>63.06</v>
      </c>
      <c r="BM2964" s="4">
        <v>9.4600000000000009</v>
      </c>
      <c r="BN2964" s="4">
        <v>72.52</v>
      </c>
      <c r="BO2964" s="4">
        <v>72.52</v>
      </c>
      <c r="BQ2964" t="s">
        <v>109</v>
      </c>
      <c r="BR2964" t="s">
        <v>84</v>
      </c>
      <c r="BS2964" s="3">
        <v>43795</v>
      </c>
      <c r="BT2964" s="5">
        <v>0.34583333333333338</v>
      </c>
      <c r="BU2964" t="s">
        <v>402</v>
      </c>
      <c r="BV2964" t="s">
        <v>86</v>
      </c>
      <c r="BY2964">
        <v>7878.26</v>
      </c>
      <c r="CA2964" t="s">
        <v>221</v>
      </c>
      <c r="CC2964" t="s">
        <v>91</v>
      </c>
      <c r="CD2964">
        <v>7441</v>
      </c>
      <c r="CE2964" t="s">
        <v>88</v>
      </c>
      <c r="CF2964" s="3">
        <v>43796</v>
      </c>
      <c r="CI2964">
        <v>1</v>
      </c>
      <c r="CJ2964">
        <v>1</v>
      </c>
      <c r="CK2964">
        <v>21</v>
      </c>
      <c r="CL2964" t="s">
        <v>89</v>
      </c>
    </row>
    <row r="2965" spans="1:90">
      <c r="A2965" t="s">
        <v>72</v>
      </c>
      <c r="B2965" t="s">
        <v>73</v>
      </c>
      <c r="C2965" t="s">
        <v>74</v>
      </c>
      <c r="E2965" t="str">
        <f>"FES1162724899"</f>
        <v>FES1162724899</v>
      </c>
      <c r="F2965" s="3">
        <v>43794</v>
      </c>
      <c r="G2965">
        <v>202005</v>
      </c>
      <c r="H2965" t="s">
        <v>75</v>
      </c>
      <c r="I2965" t="s">
        <v>76</v>
      </c>
      <c r="J2965" t="s">
        <v>77</v>
      </c>
      <c r="K2965" t="s">
        <v>78</v>
      </c>
      <c r="L2965" t="s">
        <v>101</v>
      </c>
      <c r="M2965" t="s">
        <v>102</v>
      </c>
      <c r="N2965" t="s">
        <v>768</v>
      </c>
      <c r="O2965" t="s">
        <v>82</v>
      </c>
      <c r="P2965" t="str">
        <f>"2170718579                    "</f>
        <v xml:space="preserve">2170718579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8.58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 s="4">
        <v>50.45</v>
      </c>
      <c r="BM2965" s="4">
        <v>7.57</v>
      </c>
      <c r="BN2965" s="4">
        <v>58.02</v>
      </c>
      <c r="BO2965" s="4">
        <v>58.02</v>
      </c>
      <c r="BQ2965" t="s">
        <v>769</v>
      </c>
      <c r="BR2965" t="s">
        <v>84</v>
      </c>
      <c r="BS2965" s="3">
        <v>43795</v>
      </c>
      <c r="BT2965" s="5">
        <v>0.3756944444444445</v>
      </c>
      <c r="BU2965" t="s">
        <v>2950</v>
      </c>
      <c r="BV2965" t="s">
        <v>86</v>
      </c>
      <c r="BY2965">
        <v>1200</v>
      </c>
      <c r="CA2965" t="s">
        <v>2946</v>
      </c>
      <c r="CC2965" t="s">
        <v>102</v>
      </c>
      <c r="CD2965">
        <v>117</v>
      </c>
      <c r="CE2965" t="s">
        <v>147</v>
      </c>
      <c r="CF2965" s="3">
        <v>43796</v>
      </c>
      <c r="CI2965">
        <v>1</v>
      </c>
      <c r="CJ2965">
        <v>1</v>
      </c>
      <c r="CK2965">
        <v>21</v>
      </c>
      <c r="CL2965" t="s">
        <v>89</v>
      </c>
    </row>
    <row r="2966" spans="1:90">
      <c r="A2966" t="s">
        <v>72</v>
      </c>
      <c r="B2966" t="s">
        <v>73</v>
      </c>
      <c r="C2966" t="s">
        <v>74</v>
      </c>
      <c r="E2966" t="str">
        <f>"FES1162724778"</f>
        <v>FES1162724778</v>
      </c>
      <c r="F2966" s="3">
        <v>43794</v>
      </c>
      <c r="G2966">
        <v>202005</v>
      </c>
      <c r="H2966" t="s">
        <v>75</v>
      </c>
      <c r="I2966" t="s">
        <v>76</v>
      </c>
      <c r="J2966" t="s">
        <v>77</v>
      </c>
      <c r="K2966" t="s">
        <v>78</v>
      </c>
      <c r="L2966" t="s">
        <v>112</v>
      </c>
      <c r="M2966" t="s">
        <v>113</v>
      </c>
      <c r="N2966" t="s">
        <v>160</v>
      </c>
      <c r="O2966" t="s">
        <v>82</v>
      </c>
      <c r="P2966" t="str">
        <f>"2170715643                    "</f>
        <v xml:space="preserve">2170715643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8.58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1.5</v>
      </c>
      <c r="BJ2966">
        <v>1.4</v>
      </c>
      <c r="BK2966">
        <v>1.5</v>
      </c>
      <c r="BL2966" s="4">
        <v>50.45</v>
      </c>
      <c r="BM2966" s="4">
        <v>7.57</v>
      </c>
      <c r="BN2966" s="4">
        <v>58.02</v>
      </c>
      <c r="BO2966" s="4">
        <v>58.02</v>
      </c>
      <c r="BQ2966" t="s">
        <v>161</v>
      </c>
      <c r="BR2966" t="s">
        <v>84</v>
      </c>
      <c r="BS2966" s="3">
        <v>43795</v>
      </c>
      <c r="BT2966" s="5">
        <v>0.38263888888888892</v>
      </c>
      <c r="BU2966" t="s">
        <v>162</v>
      </c>
      <c r="BV2966" t="s">
        <v>86</v>
      </c>
      <c r="BY2966">
        <v>7016.02</v>
      </c>
      <c r="CA2966" t="s">
        <v>163</v>
      </c>
      <c r="CC2966" t="s">
        <v>113</v>
      </c>
      <c r="CD2966">
        <v>4000</v>
      </c>
      <c r="CE2966" t="s">
        <v>88</v>
      </c>
      <c r="CF2966" s="3">
        <v>43796</v>
      </c>
      <c r="CI2966">
        <v>1</v>
      </c>
      <c r="CJ2966">
        <v>1</v>
      </c>
      <c r="CK2966">
        <v>21</v>
      </c>
      <c r="CL2966" t="s">
        <v>89</v>
      </c>
    </row>
    <row r="2967" spans="1:90">
      <c r="A2967" t="s">
        <v>72</v>
      </c>
      <c r="B2967" t="s">
        <v>73</v>
      </c>
      <c r="C2967" t="s">
        <v>74</v>
      </c>
      <c r="E2967" t="str">
        <f>"FES112724942"</f>
        <v>FES112724942</v>
      </c>
      <c r="F2967" s="3">
        <v>43794</v>
      </c>
      <c r="G2967">
        <v>202005</v>
      </c>
      <c r="H2967" t="s">
        <v>75</v>
      </c>
      <c r="I2967" t="s">
        <v>76</v>
      </c>
      <c r="J2967" t="s">
        <v>77</v>
      </c>
      <c r="K2967" t="s">
        <v>78</v>
      </c>
      <c r="L2967" t="s">
        <v>118</v>
      </c>
      <c r="M2967" t="s">
        <v>119</v>
      </c>
      <c r="N2967" t="s">
        <v>248</v>
      </c>
      <c r="O2967" t="s">
        <v>82</v>
      </c>
      <c r="P2967" t="str">
        <f>"2170718625                    "</f>
        <v xml:space="preserve">2170718625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15.02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3.1</v>
      </c>
      <c r="BJ2967">
        <v>1.4</v>
      </c>
      <c r="BK2967">
        <v>3.5</v>
      </c>
      <c r="BL2967" s="4">
        <v>88.27</v>
      </c>
      <c r="BM2967" s="4">
        <v>13.24</v>
      </c>
      <c r="BN2967" s="4">
        <v>101.51</v>
      </c>
      <c r="BO2967" s="4">
        <v>101.51</v>
      </c>
      <c r="BQ2967" t="s">
        <v>121</v>
      </c>
      <c r="BR2967" t="s">
        <v>84</v>
      </c>
      <c r="BS2967" s="3">
        <v>43795</v>
      </c>
      <c r="BT2967" s="5">
        <v>0.37152777777777773</v>
      </c>
      <c r="BU2967" t="s">
        <v>2951</v>
      </c>
      <c r="BV2967" t="s">
        <v>86</v>
      </c>
      <c r="BY2967">
        <v>7219.17</v>
      </c>
      <c r="CA2967" t="s">
        <v>123</v>
      </c>
      <c r="CC2967" t="s">
        <v>119</v>
      </c>
      <c r="CD2967">
        <v>3212</v>
      </c>
      <c r="CE2967" t="s">
        <v>88</v>
      </c>
      <c r="CI2967">
        <v>1</v>
      </c>
      <c r="CJ2967">
        <v>1</v>
      </c>
      <c r="CK2967">
        <v>21</v>
      </c>
      <c r="CL2967" t="s">
        <v>89</v>
      </c>
    </row>
    <row r="2968" spans="1:90">
      <c r="A2968" t="s">
        <v>72</v>
      </c>
      <c r="B2968" t="s">
        <v>73</v>
      </c>
      <c r="C2968" t="s">
        <v>74</v>
      </c>
      <c r="E2968" t="str">
        <f>"FES1162725015"</f>
        <v>FES1162725015</v>
      </c>
      <c r="F2968" s="3">
        <v>43794</v>
      </c>
      <c r="G2968">
        <v>202005</v>
      </c>
      <c r="H2968" t="s">
        <v>75</v>
      </c>
      <c r="I2968" t="s">
        <v>76</v>
      </c>
      <c r="J2968" t="s">
        <v>77</v>
      </c>
      <c r="K2968" t="s">
        <v>78</v>
      </c>
      <c r="L2968" t="s">
        <v>112</v>
      </c>
      <c r="M2968" t="s">
        <v>113</v>
      </c>
      <c r="N2968" t="s">
        <v>1445</v>
      </c>
      <c r="O2968" t="s">
        <v>82</v>
      </c>
      <c r="P2968" t="str">
        <f>"2170717334                    "</f>
        <v xml:space="preserve">2170717334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19.3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2.9</v>
      </c>
      <c r="BJ2968">
        <v>4.0999999999999996</v>
      </c>
      <c r="BK2968">
        <v>4.5</v>
      </c>
      <c r="BL2968" s="4">
        <v>113.47</v>
      </c>
      <c r="BM2968" s="4">
        <v>17.02</v>
      </c>
      <c r="BN2968" s="4">
        <v>130.49</v>
      </c>
      <c r="BO2968" s="4">
        <v>130.49</v>
      </c>
      <c r="BR2968" t="s">
        <v>84</v>
      </c>
      <c r="BS2968" s="3">
        <v>43795</v>
      </c>
      <c r="BT2968" s="5">
        <v>0.4069444444444445</v>
      </c>
      <c r="BU2968" t="s">
        <v>2952</v>
      </c>
      <c r="BV2968" t="s">
        <v>86</v>
      </c>
      <c r="BY2968">
        <v>20323.2</v>
      </c>
      <c r="CA2968" t="s">
        <v>255</v>
      </c>
      <c r="CC2968" t="s">
        <v>113</v>
      </c>
      <c r="CD2968">
        <v>4156</v>
      </c>
      <c r="CE2968" t="s">
        <v>1598</v>
      </c>
      <c r="CF2968" s="3">
        <v>43796</v>
      </c>
      <c r="CI2968">
        <v>1</v>
      </c>
      <c r="CJ2968">
        <v>1</v>
      </c>
      <c r="CK2968">
        <v>21</v>
      </c>
      <c r="CL2968" t="s">
        <v>89</v>
      </c>
    </row>
    <row r="2969" spans="1:90">
      <c r="A2969" t="s">
        <v>72</v>
      </c>
      <c r="B2969" t="s">
        <v>73</v>
      </c>
      <c r="C2969" t="s">
        <v>74</v>
      </c>
      <c r="E2969" t="str">
        <f>"FES1162724839"</f>
        <v>FES1162724839</v>
      </c>
      <c r="F2969" s="3">
        <v>43794</v>
      </c>
      <c r="G2969">
        <v>202005</v>
      </c>
      <c r="H2969" t="s">
        <v>75</v>
      </c>
      <c r="I2969" t="s">
        <v>76</v>
      </c>
      <c r="J2969" t="s">
        <v>77</v>
      </c>
      <c r="K2969" t="s">
        <v>78</v>
      </c>
      <c r="L2969" t="s">
        <v>106</v>
      </c>
      <c r="M2969" t="s">
        <v>107</v>
      </c>
      <c r="N2969" t="s">
        <v>242</v>
      </c>
      <c r="O2969" t="s">
        <v>82</v>
      </c>
      <c r="P2969" t="str">
        <f>"2170716818                    "</f>
        <v xml:space="preserve">2170716818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15.02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3.1</v>
      </c>
      <c r="BJ2969">
        <v>3</v>
      </c>
      <c r="BK2969">
        <v>3.5</v>
      </c>
      <c r="BL2969" s="4">
        <v>88.27</v>
      </c>
      <c r="BM2969" s="4">
        <v>13.24</v>
      </c>
      <c r="BN2969" s="4">
        <v>101.51</v>
      </c>
      <c r="BO2969" s="4">
        <v>101.51</v>
      </c>
      <c r="BQ2969" t="s">
        <v>109</v>
      </c>
      <c r="BR2969" t="s">
        <v>84</v>
      </c>
      <c r="BS2969" s="3">
        <v>43795</v>
      </c>
      <c r="BT2969" s="5">
        <v>0.42708333333333331</v>
      </c>
      <c r="BU2969" t="s">
        <v>243</v>
      </c>
      <c r="BV2969" t="s">
        <v>86</v>
      </c>
      <c r="BY2969">
        <v>14951.63</v>
      </c>
      <c r="CA2969" t="s">
        <v>244</v>
      </c>
      <c r="CC2969" t="s">
        <v>107</v>
      </c>
      <c r="CD2969">
        <v>6001</v>
      </c>
      <c r="CE2969" t="s">
        <v>88</v>
      </c>
      <c r="CF2969" s="3">
        <v>43796</v>
      </c>
      <c r="CI2969">
        <v>1</v>
      </c>
      <c r="CJ2969">
        <v>1</v>
      </c>
      <c r="CK2969">
        <v>21</v>
      </c>
      <c r="CL2969" t="s">
        <v>89</v>
      </c>
    </row>
    <row r="2970" spans="1:90">
      <c r="A2970" t="s">
        <v>72</v>
      </c>
      <c r="B2970" t="s">
        <v>73</v>
      </c>
      <c r="C2970" t="s">
        <v>74</v>
      </c>
      <c r="E2970" t="str">
        <f>"FES1162724875"</f>
        <v>FES1162724875</v>
      </c>
      <c r="F2970" s="3">
        <v>43794</v>
      </c>
      <c r="G2970">
        <v>202005</v>
      </c>
      <c r="H2970" t="s">
        <v>75</v>
      </c>
      <c r="I2970" t="s">
        <v>76</v>
      </c>
      <c r="J2970" t="s">
        <v>77</v>
      </c>
      <c r="K2970" t="s">
        <v>78</v>
      </c>
      <c r="L2970" t="s">
        <v>101</v>
      </c>
      <c r="M2970" t="s">
        <v>102</v>
      </c>
      <c r="N2970" t="s">
        <v>879</v>
      </c>
      <c r="O2970" t="s">
        <v>82</v>
      </c>
      <c r="P2970" t="str">
        <f>"217071941                     "</f>
        <v xml:space="preserve">217071941 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8.58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0.7</v>
      </c>
      <c r="BJ2970">
        <v>1.3</v>
      </c>
      <c r="BK2970">
        <v>1.5</v>
      </c>
      <c r="BL2970" s="4">
        <v>50.45</v>
      </c>
      <c r="BM2970" s="4">
        <v>7.57</v>
      </c>
      <c r="BN2970" s="4">
        <v>58.02</v>
      </c>
      <c r="BO2970" s="4">
        <v>58.02</v>
      </c>
      <c r="BQ2970" t="s">
        <v>142</v>
      </c>
      <c r="BR2970" t="s">
        <v>84</v>
      </c>
      <c r="BS2970" s="3">
        <v>43795</v>
      </c>
      <c r="BT2970" s="5">
        <v>0.38194444444444442</v>
      </c>
      <c r="BU2970" t="s">
        <v>2953</v>
      </c>
      <c r="BV2970" t="s">
        <v>86</v>
      </c>
      <c r="BY2970">
        <v>6578.59</v>
      </c>
      <c r="CC2970" t="s">
        <v>102</v>
      </c>
      <c r="CD2970">
        <v>200</v>
      </c>
      <c r="CE2970" t="s">
        <v>88</v>
      </c>
      <c r="CF2970" s="3">
        <v>43796</v>
      </c>
      <c r="CI2970">
        <v>1</v>
      </c>
      <c r="CJ2970">
        <v>1</v>
      </c>
      <c r="CK2970">
        <v>21</v>
      </c>
      <c r="CL2970" t="s">
        <v>89</v>
      </c>
    </row>
    <row r="2971" spans="1:90">
      <c r="A2971" t="s">
        <v>72</v>
      </c>
      <c r="B2971" t="s">
        <v>73</v>
      </c>
      <c r="C2971" t="s">
        <v>74</v>
      </c>
      <c r="E2971" t="str">
        <f>"FES1162725045"</f>
        <v>FES1162725045</v>
      </c>
      <c r="F2971" s="3">
        <v>43794</v>
      </c>
      <c r="G2971">
        <v>202005</v>
      </c>
      <c r="H2971" t="s">
        <v>75</v>
      </c>
      <c r="I2971" t="s">
        <v>76</v>
      </c>
      <c r="J2971" t="s">
        <v>77</v>
      </c>
      <c r="K2971" t="s">
        <v>78</v>
      </c>
      <c r="L2971" t="s">
        <v>90</v>
      </c>
      <c r="M2971" t="s">
        <v>91</v>
      </c>
      <c r="N2971" t="s">
        <v>393</v>
      </c>
      <c r="O2971" t="s">
        <v>82</v>
      </c>
      <c r="P2971" t="str">
        <f>"2170718789                    "</f>
        <v xml:space="preserve">2170718789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72.91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6.1</v>
      </c>
      <c r="BJ2971">
        <v>16.7</v>
      </c>
      <c r="BK2971">
        <v>17</v>
      </c>
      <c r="BL2971" s="4">
        <v>428.58</v>
      </c>
      <c r="BM2971" s="4">
        <v>64.290000000000006</v>
      </c>
      <c r="BN2971" s="4">
        <v>492.87</v>
      </c>
      <c r="BO2971" s="4">
        <v>492.87</v>
      </c>
      <c r="BQ2971" t="s">
        <v>1630</v>
      </c>
      <c r="BR2971" t="s">
        <v>84</v>
      </c>
      <c r="BS2971" s="3">
        <v>43795</v>
      </c>
      <c r="BT2971" s="5">
        <v>0.30763888888888891</v>
      </c>
      <c r="BU2971" t="s">
        <v>2360</v>
      </c>
      <c r="BV2971" t="s">
        <v>86</v>
      </c>
      <c r="BY2971">
        <v>83589.7</v>
      </c>
      <c r="CA2971" t="s">
        <v>221</v>
      </c>
      <c r="CC2971" t="s">
        <v>91</v>
      </c>
      <c r="CD2971">
        <v>7405</v>
      </c>
      <c r="CE2971" t="s">
        <v>88</v>
      </c>
      <c r="CF2971" s="3">
        <v>43796</v>
      </c>
      <c r="CI2971">
        <v>1</v>
      </c>
      <c r="CJ2971">
        <v>1</v>
      </c>
      <c r="CK2971">
        <v>21</v>
      </c>
      <c r="CL2971" t="s">
        <v>89</v>
      </c>
    </row>
    <row r="2972" spans="1:90">
      <c r="A2972" t="s">
        <v>72</v>
      </c>
      <c r="B2972" t="s">
        <v>73</v>
      </c>
      <c r="C2972" t="s">
        <v>74</v>
      </c>
      <c r="E2972" t="str">
        <f>"FES1162725043"</f>
        <v>FES1162725043</v>
      </c>
      <c r="F2972" s="3">
        <v>43794</v>
      </c>
      <c r="G2972">
        <v>202005</v>
      </c>
      <c r="H2972" t="s">
        <v>75</v>
      </c>
      <c r="I2972" t="s">
        <v>76</v>
      </c>
      <c r="J2972" t="s">
        <v>77</v>
      </c>
      <c r="K2972" t="s">
        <v>78</v>
      </c>
      <c r="L2972" t="s">
        <v>106</v>
      </c>
      <c r="M2972" t="s">
        <v>107</v>
      </c>
      <c r="N2972" t="s">
        <v>128</v>
      </c>
      <c r="O2972" t="s">
        <v>82</v>
      </c>
      <c r="P2972" t="str">
        <f>"2170718784                    "</f>
        <v xml:space="preserve">2170718784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8.58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 s="4">
        <v>50.45</v>
      </c>
      <c r="BM2972" s="4">
        <v>7.57</v>
      </c>
      <c r="BN2972" s="4">
        <v>58.02</v>
      </c>
      <c r="BO2972" s="4">
        <v>58.02</v>
      </c>
      <c r="BQ2972" t="s">
        <v>121</v>
      </c>
      <c r="BR2972" t="s">
        <v>84</v>
      </c>
      <c r="BS2972" s="3">
        <v>43795</v>
      </c>
      <c r="BT2972" s="5">
        <v>0.32847222222222222</v>
      </c>
      <c r="BU2972" t="s">
        <v>2954</v>
      </c>
      <c r="BV2972" t="s">
        <v>86</v>
      </c>
      <c r="BY2972">
        <v>1200</v>
      </c>
      <c r="CA2972" t="s">
        <v>87</v>
      </c>
      <c r="CC2972" t="s">
        <v>107</v>
      </c>
      <c r="CD2972">
        <v>6001</v>
      </c>
      <c r="CE2972" t="s">
        <v>147</v>
      </c>
      <c r="CF2972" s="3">
        <v>43796</v>
      </c>
      <c r="CI2972">
        <v>1</v>
      </c>
      <c r="CJ2972">
        <v>1</v>
      </c>
      <c r="CK2972">
        <v>21</v>
      </c>
      <c r="CL2972" t="s">
        <v>89</v>
      </c>
    </row>
    <row r="2973" spans="1:90">
      <c r="A2973" t="s">
        <v>72</v>
      </c>
      <c r="B2973" t="s">
        <v>73</v>
      </c>
      <c r="C2973" t="s">
        <v>74</v>
      </c>
      <c r="E2973" t="str">
        <f>"FES1162724983"</f>
        <v>FES1162724983</v>
      </c>
      <c r="F2973" s="3">
        <v>43794</v>
      </c>
      <c r="G2973">
        <v>202005</v>
      </c>
      <c r="H2973" t="s">
        <v>75</v>
      </c>
      <c r="I2973" t="s">
        <v>76</v>
      </c>
      <c r="J2973" t="s">
        <v>77</v>
      </c>
      <c r="K2973" t="s">
        <v>78</v>
      </c>
      <c r="L2973" t="s">
        <v>124</v>
      </c>
      <c r="M2973" t="s">
        <v>125</v>
      </c>
      <c r="N2973" t="s">
        <v>2955</v>
      </c>
      <c r="O2973" t="s">
        <v>82</v>
      </c>
      <c r="P2973" t="str">
        <f>"2170718473                    "</f>
        <v xml:space="preserve">2170718473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6.71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 s="4">
        <v>39.42</v>
      </c>
      <c r="BM2973" s="4">
        <v>5.91</v>
      </c>
      <c r="BN2973" s="4">
        <v>45.33</v>
      </c>
      <c r="BO2973" s="4">
        <v>45.33</v>
      </c>
      <c r="BQ2973" t="s">
        <v>109</v>
      </c>
      <c r="BR2973" t="s">
        <v>84</v>
      </c>
      <c r="BS2973" s="3">
        <v>43795</v>
      </c>
      <c r="BT2973" s="5">
        <v>0.38472222222222219</v>
      </c>
      <c r="BU2973" t="s">
        <v>2956</v>
      </c>
      <c r="BV2973" t="s">
        <v>86</v>
      </c>
      <c r="BY2973">
        <v>1200</v>
      </c>
      <c r="CC2973" t="s">
        <v>125</v>
      </c>
      <c r="CD2973">
        <v>2011</v>
      </c>
      <c r="CE2973" t="s">
        <v>147</v>
      </c>
      <c r="CF2973" s="3">
        <v>43796</v>
      </c>
      <c r="CI2973">
        <v>1</v>
      </c>
      <c r="CJ2973">
        <v>1</v>
      </c>
      <c r="CK2973">
        <v>22</v>
      </c>
      <c r="CL2973" t="s">
        <v>89</v>
      </c>
    </row>
    <row r="2974" spans="1:90">
      <c r="A2974" t="s">
        <v>72</v>
      </c>
      <c r="B2974" t="s">
        <v>73</v>
      </c>
      <c r="C2974" t="s">
        <v>74</v>
      </c>
      <c r="E2974" t="str">
        <f>"FES1162724903"</f>
        <v>FES1162724903</v>
      </c>
      <c r="F2974" s="3">
        <v>43794</v>
      </c>
      <c r="G2974">
        <v>202005</v>
      </c>
      <c r="H2974" t="s">
        <v>75</v>
      </c>
      <c r="I2974" t="s">
        <v>76</v>
      </c>
      <c r="J2974" t="s">
        <v>77</v>
      </c>
      <c r="K2974" t="s">
        <v>78</v>
      </c>
      <c r="L2974" t="s">
        <v>176</v>
      </c>
      <c r="M2974" t="s">
        <v>177</v>
      </c>
      <c r="N2974" t="s">
        <v>598</v>
      </c>
      <c r="O2974" t="s">
        <v>82</v>
      </c>
      <c r="P2974" t="str">
        <f>"2170718584                    "</f>
        <v xml:space="preserve">2170718584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8.58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1.7</v>
      </c>
      <c r="BJ2974">
        <v>0.8</v>
      </c>
      <c r="BK2974">
        <v>2</v>
      </c>
      <c r="BL2974" s="4">
        <v>50.45</v>
      </c>
      <c r="BM2974" s="4">
        <v>7.57</v>
      </c>
      <c r="BN2974" s="4">
        <v>58.02</v>
      </c>
      <c r="BO2974" s="4">
        <v>58.02</v>
      </c>
      <c r="BQ2974" t="s">
        <v>121</v>
      </c>
      <c r="BR2974" t="s">
        <v>84</v>
      </c>
      <c r="BS2974" s="3">
        <v>43795</v>
      </c>
      <c r="BT2974" s="5">
        <v>0.40625</v>
      </c>
      <c r="BU2974" t="s">
        <v>599</v>
      </c>
      <c r="BV2974" t="s">
        <v>86</v>
      </c>
      <c r="BY2974">
        <v>4204.37</v>
      </c>
      <c r="CA2974" t="s">
        <v>224</v>
      </c>
      <c r="CC2974" t="s">
        <v>177</v>
      </c>
      <c r="CD2974">
        <v>3610</v>
      </c>
      <c r="CE2974" t="s">
        <v>88</v>
      </c>
      <c r="CF2974" s="3">
        <v>43796</v>
      </c>
      <c r="CI2974">
        <v>1</v>
      </c>
      <c r="CJ2974">
        <v>1</v>
      </c>
      <c r="CK2974">
        <v>21</v>
      </c>
      <c r="CL2974" t="s">
        <v>89</v>
      </c>
    </row>
    <row r="2975" spans="1:90">
      <c r="A2975" t="s">
        <v>72</v>
      </c>
      <c r="B2975" t="s">
        <v>73</v>
      </c>
      <c r="C2975" t="s">
        <v>74</v>
      </c>
      <c r="E2975" t="str">
        <f>"FES1162724772"</f>
        <v>FES1162724772</v>
      </c>
      <c r="F2975" s="3">
        <v>43794</v>
      </c>
      <c r="G2975">
        <v>202005</v>
      </c>
      <c r="H2975" t="s">
        <v>75</v>
      </c>
      <c r="I2975" t="s">
        <v>76</v>
      </c>
      <c r="J2975" t="s">
        <v>77</v>
      </c>
      <c r="K2975" t="s">
        <v>78</v>
      </c>
      <c r="L2975" t="s">
        <v>202</v>
      </c>
      <c r="M2975" t="s">
        <v>203</v>
      </c>
      <c r="N2975" t="s">
        <v>204</v>
      </c>
      <c r="O2975" t="s">
        <v>82</v>
      </c>
      <c r="P2975" t="str">
        <f>"2170714104                    "</f>
        <v xml:space="preserve">2170714104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17.149999999999999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8.4</v>
      </c>
      <c r="BJ2975">
        <v>3</v>
      </c>
      <c r="BK2975">
        <v>8.5</v>
      </c>
      <c r="BL2975" s="4">
        <v>100.82</v>
      </c>
      <c r="BM2975" s="4">
        <v>15.12</v>
      </c>
      <c r="BN2975" s="4">
        <v>115.94</v>
      </c>
      <c r="BO2975" s="4">
        <v>115.94</v>
      </c>
      <c r="BQ2975" t="s">
        <v>1074</v>
      </c>
      <c r="BR2975" t="s">
        <v>84</v>
      </c>
      <c r="BS2975" s="3">
        <v>43795</v>
      </c>
      <c r="BT2975" s="5">
        <v>0.3756944444444445</v>
      </c>
      <c r="BU2975" t="s">
        <v>2957</v>
      </c>
      <c r="BV2975" t="s">
        <v>86</v>
      </c>
      <c r="BY2975">
        <v>15215.2</v>
      </c>
      <c r="CC2975" t="s">
        <v>203</v>
      </c>
      <c r="CD2975">
        <v>1422</v>
      </c>
      <c r="CE2975" t="s">
        <v>88</v>
      </c>
      <c r="CF2975" s="3">
        <v>43796</v>
      </c>
      <c r="CI2975">
        <v>1</v>
      </c>
      <c r="CJ2975">
        <v>1</v>
      </c>
      <c r="CK2975">
        <v>22</v>
      </c>
      <c r="CL2975" t="s">
        <v>89</v>
      </c>
    </row>
    <row r="2976" spans="1:90">
      <c r="A2976" t="s">
        <v>72</v>
      </c>
      <c r="B2976" t="s">
        <v>73</v>
      </c>
      <c r="C2976" t="s">
        <v>74</v>
      </c>
      <c r="E2976" t="str">
        <f>"FES1162724982"</f>
        <v>FES1162724982</v>
      </c>
      <c r="F2976" s="3">
        <v>43794</v>
      </c>
      <c r="G2976">
        <v>202005</v>
      </c>
      <c r="H2976" t="s">
        <v>75</v>
      </c>
      <c r="I2976" t="s">
        <v>76</v>
      </c>
      <c r="J2976" t="s">
        <v>77</v>
      </c>
      <c r="K2976" t="s">
        <v>78</v>
      </c>
      <c r="L2976" t="s">
        <v>90</v>
      </c>
      <c r="M2976" t="s">
        <v>91</v>
      </c>
      <c r="N2976" t="s">
        <v>401</v>
      </c>
      <c r="O2976" t="s">
        <v>82</v>
      </c>
      <c r="P2976" t="str">
        <f>"2170718692                    "</f>
        <v xml:space="preserve">2170718692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8.58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 s="4">
        <v>50.45</v>
      </c>
      <c r="BM2976" s="4">
        <v>7.57</v>
      </c>
      <c r="BN2976" s="4">
        <v>58.02</v>
      </c>
      <c r="BO2976" s="4">
        <v>58.02</v>
      </c>
      <c r="BQ2976" t="s">
        <v>109</v>
      </c>
      <c r="BR2976" t="s">
        <v>84</v>
      </c>
      <c r="BS2976" s="3">
        <v>43795</v>
      </c>
      <c r="BT2976" s="5">
        <v>0.34583333333333338</v>
      </c>
      <c r="BU2976" t="s">
        <v>402</v>
      </c>
      <c r="BV2976" t="s">
        <v>86</v>
      </c>
      <c r="BY2976">
        <v>1200</v>
      </c>
      <c r="CA2976" t="s">
        <v>221</v>
      </c>
      <c r="CC2976" t="s">
        <v>91</v>
      </c>
      <c r="CD2976">
        <v>7441</v>
      </c>
      <c r="CE2976" t="s">
        <v>147</v>
      </c>
      <c r="CF2976" s="3">
        <v>43796</v>
      </c>
      <c r="CI2976">
        <v>1</v>
      </c>
      <c r="CJ2976">
        <v>1</v>
      </c>
      <c r="CK2976">
        <v>21</v>
      </c>
      <c r="CL2976" t="s">
        <v>89</v>
      </c>
    </row>
    <row r="2977" spans="1:90">
      <c r="A2977" t="s">
        <v>72</v>
      </c>
      <c r="B2977" t="s">
        <v>73</v>
      </c>
      <c r="C2977" t="s">
        <v>74</v>
      </c>
      <c r="E2977" t="str">
        <f>"FES1162724943"</f>
        <v>FES1162724943</v>
      </c>
      <c r="F2977" s="3">
        <v>43794</v>
      </c>
      <c r="G2977">
        <v>202005</v>
      </c>
      <c r="H2977" t="s">
        <v>75</v>
      </c>
      <c r="I2977" t="s">
        <v>76</v>
      </c>
      <c r="J2977" t="s">
        <v>77</v>
      </c>
      <c r="K2977" t="s">
        <v>78</v>
      </c>
      <c r="L2977" t="s">
        <v>90</v>
      </c>
      <c r="M2977" t="s">
        <v>91</v>
      </c>
      <c r="N2977" t="s">
        <v>2125</v>
      </c>
      <c r="O2977" t="s">
        <v>82</v>
      </c>
      <c r="P2977" t="str">
        <f>"2170718626                    "</f>
        <v xml:space="preserve">2170718626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8.58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 s="4">
        <v>50.45</v>
      </c>
      <c r="BM2977" s="4">
        <v>7.57</v>
      </c>
      <c r="BN2977" s="4">
        <v>58.02</v>
      </c>
      <c r="BO2977" s="4">
        <v>58.02</v>
      </c>
      <c r="BQ2977" t="s">
        <v>2293</v>
      </c>
      <c r="BR2977" t="s">
        <v>84</v>
      </c>
      <c r="BS2977" s="3">
        <v>43795</v>
      </c>
      <c r="BT2977" s="5">
        <v>0.37986111111111115</v>
      </c>
      <c r="BU2977" t="s">
        <v>2126</v>
      </c>
      <c r="BV2977" t="s">
        <v>86</v>
      </c>
      <c r="BY2977">
        <v>1200</v>
      </c>
      <c r="CA2977" t="s">
        <v>515</v>
      </c>
      <c r="CC2977" t="s">
        <v>91</v>
      </c>
      <c r="CD2977">
        <v>7500</v>
      </c>
      <c r="CE2977" t="s">
        <v>147</v>
      </c>
      <c r="CF2977" s="3">
        <v>43796</v>
      </c>
      <c r="CI2977">
        <v>1</v>
      </c>
      <c r="CJ2977">
        <v>1</v>
      </c>
      <c r="CK2977">
        <v>21</v>
      </c>
      <c r="CL2977" t="s">
        <v>89</v>
      </c>
    </row>
    <row r="2978" spans="1:90">
      <c r="A2978" t="s">
        <v>72</v>
      </c>
      <c r="B2978" t="s">
        <v>73</v>
      </c>
      <c r="C2978" t="s">
        <v>74</v>
      </c>
      <c r="E2978" t="str">
        <f>"FES1162725003"</f>
        <v>FES1162725003</v>
      </c>
      <c r="F2978" s="3">
        <v>43794</v>
      </c>
      <c r="G2978">
        <v>202005</v>
      </c>
      <c r="H2978" t="s">
        <v>75</v>
      </c>
      <c r="I2978" t="s">
        <v>76</v>
      </c>
      <c r="J2978" t="s">
        <v>77</v>
      </c>
      <c r="K2978" t="s">
        <v>78</v>
      </c>
      <c r="L2978" t="s">
        <v>176</v>
      </c>
      <c r="M2978" t="s">
        <v>177</v>
      </c>
      <c r="N2978" t="s">
        <v>2514</v>
      </c>
      <c r="O2978" t="s">
        <v>82</v>
      </c>
      <c r="P2978" t="str">
        <f>"2170718730                    "</f>
        <v xml:space="preserve">2170718730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8.58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 s="4">
        <v>50.45</v>
      </c>
      <c r="BM2978" s="4">
        <v>7.57</v>
      </c>
      <c r="BN2978" s="4">
        <v>58.02</v>
      </c>
      <c r="BO2978" s="4">
        <v>58.02</v>
      </c>
      <c r="BQ2978" t="s">
        <v>187</v>
      </c>
      <c r="BR2978" t="s">
        <v>84</v>
      </c>
      <c r="BS2978" s="3">
        <v>43795</v>
      </c>
      <c r="BT2978" s="5">
        <v>0.31458333333333333</v>
      </c>
      <c r="BU2978" t="s">
        <v>2958</v>
      </c>
      <c r="BV2978" t="s">
        <v>86</v>
      </c>
      <c r="BY2978">
        <v>1200</v>
      </c>
      <c r="CA2978" t="s">
        <v>224</v>
      </c>
      <c r="CC2978" t="s">
        <v>177</v>
      </c>
      <c r="CD2978">
        <v>3610</v>
      </c>
      <c r="CE2978" t="s">
        <v>147</v>
      </c>
      <c r="CF2978" s="3">
        <v>43796</v>
      </c>
      <c r="CI2978">
        <v>1</v>
      </c>
      <c r="CJ2978">
        <v>1</v>
      </c>
      <c r="CK2978">
        <v>21</v>
      </c>
      <c r="CL2978" t="s">
        <v>89</v>
      </c>
    </row>
    <row r="2979" spans="1:90">
      <c r="A2979" t="s">
        <v>72</v>
      </c>
      <c r="B2979" t="s">
        <v>73</v>
      </c>
      <c r="C2979" t="s">
        <v>74</v>
      </c>
      <c r="E2979" t="str">
        <f>"FES1162724821"</f>
        <v>FES1162724821</v>
      </c>
      <c r="F2979" s="3">
        <v>43794</v>
      </c>
      <c r="G2979">
        <v>202005</v>
      </c>
      <c r="H2979" t="s">
        <v>75</v>
      </c>
      <c r="I2979" t="s">
        <v>76</v>
      </c>
      <c r="J2979" t="s">
        <v>77</v>
      </c>
      <c r="K2979" t="s">
        <v>78</v>
      </c>
      <c r="L2979" t="s">
        <v>176</v>
      </c>
      <c r="M2979" t="s">
        <v>177</v>
      </c>
      <c r="N2979" t="s">
        <v>1751</v>
      </c>
      <c r="O2979" t="s">
        <v>82</v>
      </c>
      <c r="P2979" t="str">
        <f>"21707166666                   "</f>
        <v xml:space="preserve">21707166666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70.77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5.5</v>
      </c>
      <c r="BJ2979">
        <v>16.3</v>
      </c>
      <c r="BK2979">
        <v>16.5</v>
      </c>
      <c r="BL2979" s="4">
        <v>415.98</v>
      </c>
      <c r="BM2979" s="4">
        <v>62.4</v>
      </c>
      <c r="BN2979" s="4">
        <v>478.38</v>
      </c>
      <c r="BO2979" s="4">
        <v>478.38</v>
      </c>
      <c r="BQ2979" t="s">
        <v>1752</v>
      </c>
      <c r="BR2979" t="s">
        <v>84</v>
      </c>
      <c r="BS2979" s="3">
        <v>43795</v>
      </c>
      <c r="BT2979" s="5">
        <v>0.40138888888888885</v>
      </c>
      <c r="BU2979" t="s">
        <v>1127</v>
      </c>
      <c r="BV2979" t="s">
        <v>86</v>
      </c>
      <c r="BY2979">
        <v>81504.42</v>
      </c>
      <c r="CA2979" t="s">
        <v>224</v>
      </c>
      <c r="CC2979" t="s">
        <v>177</v>
      </c>
      <c r="CD2979">
        <v>3610</v>
      </c>
      <c r="CE2979" t="s">
        <v>88</v>
      </c>
      <c r="CF2979" s="3">
        <v>43796</v>
      </c>
      <c r="CI2979">
        <v>1</v>
      </c>
      <c r="CJ2979">
        <v>1</v>
      </c>
      <c r="CK2979">
        <v>21</v>
      </c>
      <c r="CL2979" t="s">
        <v>89</v>
      </c>
    </row>
    <row r="2980" spans="1:90">
      <c r="A2980" t="s">
        <v>72</v>
      </c>
      <c r="B2980" t="s">
        <v>73</v>
      </c>
      <c r="C2980" t="s">
        <v>74</v>
      </c>
      <c r="E2980" t="str">
        <f>"FES1162725025"</f>
        <v>FES1162725025</v>
      </c>
      <c r="F2980" s="3">
        <v>43794</v>
      </c>
      <c r="G2980">
        <v>202005</v>
      </c>
      <c r="H2980" t="s">
        <v>75</v>
      </c>
      <c r="I2980" t="s">
        <v>76</v>
      </c>
      <c r="J2980" t="s">
        <v>77</v>
      </c>
      <c r="K2980" t="s">
        <v>78</v>
      </c>
      <c r="L2980" t="s">
        <v>176</v>
      </c>
      <c r="M2980" t="s">
        <v>177</v>
      </c>
      <c r="N2980" t="s">
        <v>2959</v>
      </c>
      <c r="O2980" t="s">
        <v>82</v>
      </c>
      <c r="P2980" t="str">
        <f>"2170718755                    "</f>
        <v xml:space="preserve">2170718755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8.58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 s="4">
        <v>50.45</v>
      </c>
      <c r="BM2980" s="4">
        <v>7.57</v>
      </c>
      <c r="BN2980" s="4">
        <v>58.02</v>
      </c>
      <c r="BO2980" s="4">
        <v>58.02</v>
      </c>
      <c r="BQ2980" t="s">
        <v>187</v>
      </c>
      <c r="BR2980" t="s">
        <v>84</v>
      </c>
      <c r="BS2980" s="3">
        <v>43795</v>
      </c>
      <c r="BT2980" s="5">
        <v>0.42638888888888887</v>
      </c>
      <c r="BU2980" t="s">
        <v>2960</v>
      </c>
      <c r="BV2980" t="s">
        <v>86</v>
      </c>
      <c r="BY2980">
        <v>1200</v>
      </c>
      <c r="CA2980" t="s">
        <v>180</v>
      </c>
      <c r="CC2980" t="s">
        <v>177</v>
      </c>
      <c r="CD2980">
        <v>3610</v>
      </c>
      <c r="CE2980" t="s">
        <v>147</v>
      </c>
      <c r="CF2980" s="3">
        <v>43796</v>
      </c>
      <c r="CI2980">
        <v>1</v>
      </c>
      <c r="CJ2980">
        <v>1</v>
      </c>
      <c r="CK2980">
        <v>21</v>
      </c>
      <c r="CL2980" t="s">
        <v>89</v>
      </c>
    </row>
    <row r="2981" spans="1:90">
      <c r="A2981" t="s">
        <v>72</v>
      </c>
      <c r="B2981" t="s">
        <v>73</v>
      </c>
      <c r="C2981" t="s">
        <v>74</v>
      </c>
      <c r="E2981" t="str">
        <f>"FES1162724997"</f>
        <v>FES1162724997</v>
      </c>
      <c r="F2981" s="3">
        <v>43794</v>
      </c>
      <c r="G2981">
        <v>202005</v>
      </c>
      <c r="H2981" t="s">
        <v>75</v>
      </c>
      <c r="I2981" t="s">
        <v>76</v>
      </c>
      <c r="J2981" t="s">
        <v>77</v>
      </c>
      <c r="K2981" t="s">
        <v>78</v>
      </c>
      <c r="L2981" t="s">
        <v>90</v>
      </c>
      <c r="M2981" t="s">
        <v>91</v>
      </c>
      <c r="N2981" t="s">
        <v>505</v>
      </c>
      <c r="O2981" t="s">
        <v>82</v>
      </c>
      <c r="P2981" t="str">
        <f>"2170718720                    "</f>
        <v xml:space="preserve">2170718720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8.58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 s="4">
        <v>50.45</v>
      </c>
      <c r="BM2981" s="4">
        <v>7.57</v>
      </c>
      <c r="BN2981" s="4">
        <v>58.02</v>
      </c>
      <c r="BO2981" s="4">
        <v>58.02</v>
      </c>
      <c r="BQ2981" t="s">
        <v>121</v>
      </c>
      <c r="BR2981" t="s">
        <v>84</v>
      </c>
      <c r="BS2981" s="3">
        <v>43795</v>
      </c>
      <c r="BT2981" s="5">
        <v>0.36388888888888887</v>
      </c>
      <c r="BU2981" t="s">
        <v>2824</v>
      </c>
      <c r="BV2981" t="s">
        <v>86</v>
      </c>
      <c r="BY2981">
        <v>1200</v>
      </c>
      <c r="CC2981" t="s">
        <v>91</v>
      </c>
      <c r="CD2981">
        <v>7764</v>
      </c>
      <c r="CE2981" t="s">
        <v>147</v>
      </c>
      <c r="CF2981" s="3">
        <v>43796</v>
      </c>
      <c r="CI2981">
        <v>1</v>
      </c>
      <c r="CJ2981">
        <v>1</v>
      </c>
      <c r="CK2981">
        <v>21</v>
      </c>
      <c r="CL2981" t="s">
        <v>89</v>
      </c>
    </row>
    <row r="2982" spans="1:90">
      <c r="A2982" t="s">
        <v>72</v>
      </c>
      <c r="B2982" t="s">
        <v>73</v>
      </c>
      <c r="C2982" t="s">
        <v>74</v>
      </c>
      <c r="E2982" t="str">
        <f>"FES1162724785"</f>
        <v>FES1162724785</v>
      </c>
      <c r="F2982" s="3">
        <v>43794</v>
      </c>
      <c r="G2982">
        <v>202005</v>
      </c>
      <c r="H2982" t="s">
        <v>75</v>
      </c>
      <c r="I2982" t="s">
        <v>76</v>
      </c>
      <c r="J2982" t="s">
        <v>77</v>
      </c>
      <c r="K2982" t="s">
        <v>78</v>
      </c>
      <c r="L2982" t="s">
        <v>90</v>
      </c>
      <c r="M2982" t="s">
        <v>91</v>
      </c>
      <c r="N2982" t="s">
        <v>1236</v>
      </c>
      <c r="O2982" t="s">
        <v>82</v>
      </c>
      <c r="P2982" t="str">
        <f>"2170716330                    "</f>
        <v xml:space="preserve">2170716330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17.16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3.6</v>
      </c>
      <c r="BJ2982">
        <v>1.7</v>
      </c>
      <c r="BK2982">
        <v>4</v>
      </c>
      <c r="BL2982" s="4">
        <v>100.87</v>
      </c>
      <c r="BM2982" s="4">
        <v>15.13</v>
      </c>
      <c r="BN2982" s="4">
        <v>116</v>
      </c>
      <c r="BO2982" s="4">
        <v>116</v>
      </c>
      <c r="BQ2982" t="s">
        <v>109</v>
      </c>
      <c r="BR2982" t="s">
        <v>84</v>
      </c>
      <c r="BS2982" s="3">
        <v>43795</v>
      </c>
      <c r="BT2982" s="5">
        <v>0.36736111111111108</v>
      </c>
      <c r="BU2982" t="s">
        <v>2961</v>
      </c>
      <c r="BV2982" t="s">
        <v>86</v>
      </c>
      <c r="BY2982">
        <v>8650.7000000000007</v>
      </c>
      <c r="CA2982" t="s">
        <v>1238</v>
      </c>
      <c r="CC2982" t="s">
        <v>91</v>
      </c>
      <c r="CD2982">
        <v>7441</v>
      </c>
      <c r="CE2982" t="s">
        <v>88</v>
      </c>
      <c r="CF2982" s="3">
        <v>43796</v>
      </c>
      <c r="CI2982">
        <v>1</v>
      </c>
      <c r="CJ2982">
        <v>1</v>
      </c>
      <c r="CK2982">
        <v>21</v>
      </c>
      <c r="CL2982" t="s">
        <v>89</v>
      </c>
    </row>
    <row r="2983" spans="1:90">
      <c r="A2983" t="s">
        <v>72</v>
      </c>
      <c r="B2983" t="s">
        <v>73</v>
      </c>
      <c r="C2983" t="s">
        <v>74</v>
      </c>
      <c r="E2983" t="str">
        <f>"FES1162725031"</f>
        <v>FES1162725031</v>
      </c>
      <c r="F2983" s="3">
        <v>43794</v>
      </c>
      <c r="G2983">
        <v>202005</v>
      </c>
      <c r="H2983" t="s">
        <v>75</v>
      </c>
      <c r="I2983" t="s">
        <v>76</v>
      </c>
      <c r="J2983" t="s">
        <v>77</v>
      </c>
      <c r="K2983" t="s">
        <v>78</v>
      </c>
      <c r="L2983" t="s">
        <v>90</v>
      </c>
      <c r="M2983" t="s">
        <v>91</v>
      </c>
      <c r="N2983" t="s">
        <v>401</v>
      </c>
      <c r="O2983" t="s">
        <v>82</v>
      </c>
      <c r="P2983" t="str">
        <f>"2170718766                    "</f>
        <v xml:space="preserve">2170718766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8.58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 s="4">
        <v>50.45</v>
      </c>
      <c r="BM2983" s="4">
        <v>7.57</v>
      </c>
      <c r="BN2983" s="4">
        <v>58.02</v>
      </c>
      <c r="BO2983" s="4">
        <v>58.02</v>
      </c>
      <c r="BQ2983" t="s">
        <v>109</v>
      </c>
      <c r="BR2983" t="s">
        <v>84</v>
      </c>
      <c r="BS2983" s="3">
        <v>43795</v>
      </c>
      <c r="BT2983" s="5">
        <v>0.34583333333333338</v>
      </c>
      <c r="BU2983" t="s">
        <v>402</v>
      </c>
      <c r="BV2983" t="s">
        <v>86</v>
      </c>
      <c r="BY2983">
        <v>1200</v>
      </c>
      <c r="CA2983" t="s">
        <v>221</v>
      </c>
      <c r="CC2983" t="s">
        <v>91</v>
      </c>
      <c r="CD2983">
        <v>7441</v>
      </c>
      <c r="CE2983" t="s">
        <v>147</v>
      </c>
      <c r="CF2983" s="3">
        <v>43796</v>
      </c>
      <c r="CI2983">
        <v>1</v>
      </c>
      <c r="CJ2983">
        <v>1</v>
      </c>
      <c r="CK2983">
        <v>21</v>
      </c>
      <c r="CL2983" t="s">
        <v>89</v>
      </c>
    </row>
    <row r="2984" spans="1:90">
      <c r="A2984" t="s">
        <v>72</v>
      </c>
      <c r="B2984" t="s">
        <v>73</v>
      </c>
      <c r="C2984" t="s">
        <v>74</v>
      </c>
      <c r="E2984" t="str">
        <f>"FES1162725034"</f>
        <v>FES1162725034</v>
      </c>
      <c r="F2984" s="3">
        <v>43794</v>
      </c>
      <c r="G2984">
        <v>202005</v>
      </c>
      <c r="H2984" t="s">
        <v>75</v>
      </c>
      <c r="I2984" t="s">
        <v>76</v>
      </c>
      <c r="J2984" t="s">
        <v>77</v>
      </c>
      <c r="K2984" t="s">
        <v>78</v>
      </c>
      <c r="L2984" t="s">
        <v>118</v>
      </c>
      <c r="M2984" t="s">
        <v>119</v>
      </c>
      <c r="N2984" t="s">
        <v>2243</v>
      </c>
      <c r="O2984" t="s">
        <v>82</v>
      </c>
      <c r="P2984" t="str">
        <f>"2170718775                    "</f>
        <v xml:space="preserve">2170718775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10.73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2.5</v>
      </c>
      <c r="BJ2984">
        <v>0.9</v>
      </c>
      <c r="BK2984">
        <v>2.5</v>
      </c>
      <c r="BL2984" s="4">
        <v>63.06</v>
      </c>
      <c r="BM2984" s="4">
        <v>9.4600000000000009</v>
      </c>
      <c r="BN2984" s="4">
        <v>72.52</v>
      </c>
      <c r="BO2984" s="4">
        <v>72.52</v>
      </c>
      <c r="BQ2984" t="s">
        <v>109</v>
      </c>
      <c r="BR2984" t="s">
        <v>84</v>
      </c>
      <c r="BS2984" s="3">
        <v>43795</v>
      </c>
      <c r="BT2984" s="5">
        <v>0.39583333333333331</v>
      </c>
      <c r="BU2984" t="s">
        <v>2488</v>
      </c>
      <c r="BV2984" t="s">
        <v>86</v>
      </c>
      <c r="BY2984">
        <v>4316.5</v>
      </c>
      <c r="CA2984" t="s">
        <v>132</v>
      </c>
      <c r="CC2984" t="s">
        <v>119</v>
      </c>
      <c r="CD2984">
        <v>3201</v>
      </c>
      <c r="CE2984" t="s">
        <v>88</v>
      </c>
      <c r="CF2984" s="3">
        <v>43796</v>
      </c>
      <c r="CI2984">
        <v>1</v>
      </c>
      <c r="CJ2984">
        <v>1</v>
      </c>
      <c r="CK2984">
        <v>21</v>
      </c>
      <c r="CL2984" t="s">
        <v>89</v>
      </c>
    </row>
    <row r="2985" spans="1:90">
      <c r="A2985" t="s">
        <v>72</v>
      </c>
      <c r="B2985" t="s">
        <v>73</v>
      </c>
      <c r="C2985" t="s">
        <v>74</v>
      </c>
      <c r="E2985" t="str">
        <f>"FES1162725024"</f>
        <v>FES1162725024</v>
      </c>
      <c r="F2985" s="3">
        <v>43794</v>
      </c>
      <c r="G2985">
        <v>202005</v>
      </c>
      <c r="H2985" t="s">
        <v>75</v>
      </c>
      <c r="I2985" t="s">
        <v>76</v>
      </c>
      <c r="J2985" t="s">
        <v>77</v>
      </c>
      <c r="K2985" t="s">
        <v>78</v>
      </c>
      <c r="L2985" t="s">
        <v>482</v>
      </c>
      <c r="M2985" t="s">
        <v>483</v>
      </c>
      <c r="N2985" t="s">
        <v>968</v>
      </c>
      <c r="O2985" t="s">
        <v>82</v>
      </c>
      <c r="P2985" t="str">
        <f>"2170718754                    "</f>
        <v xml:space="preserve">2170718754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9.1199999999999992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3</v>
      </c>
      <c r="BJ2985">
        <v>3.2</v>
      </c>
      <c r="BK2985">
        <v>3.5</v>
      </c>
      <c r="BL2985" s="4">
        <v>53.59</v>
      </c>
      <c r="BM2985" s="4">
        <v>8.0399999999999991</v>
      </c>
      <c r="BN2985" s="4">
        <v>61.63</v>
      </c>
      <c r="BO2985" s="4">
        <v>61.63</v>
      </c>
      <c r="BQ2985" t="s">
        <v>109</v>
      </c>
      <c r="BR2985" t="s">
        <v>84</v>
      </c>
      <c r="BS2985" s="3">
        <v>43795</v>
      </c>
      <c r="BT2985" s="5">
        <v>0.35000000000000003</v>
      </c>
      <c r="BU2985" t="s">
        <v>969</v>
      </c>
      <c r="BV2985" t="s">
        <v>86</v>
      </c>
      <c r="BY2985">
        <v>15989.51</v>
      </c>
      <c r="CA2985" t="s">
        <v>486</v>
      </c>
      <c r="CC2985" t="s">
        <v>483</v>
      </c>
      <c r="CD2985">
        <v>1459</v>
      </c>
      <c r="CE2985" t="s">
        <v>88</v>
      </c>
      <c r="CF2985" s="3">
        <v>43796</v>
      </c>
      <c r="CI2985">
        <v>1</v>
      </c>
      <c r="CJ2985">
        <v>1</v>
      </c>
      <c r="CK2985">
        <v>22</v>
      </c>
      <c r="CL2985" t="s">
        <v>89</v>
      </c>
    </row>
    <row r="2986" spans="1:90">
      <c r="A2986" t="s">
        <v>72</v>
      </c>
      <c r="B2986" t="s">
        <v>73</v>
      </c>
      <c r="C2986" t="s">
        <v>74</v>
      </c>
      <c r="E2986" t="str">
        <f>"FES1162725013"</f>
        <v>FES1162725013</v>
      </c>
      <c r="F2986" s="3">
        <v>43794</v>
      </c>
      <c r="G2986">
        <v>202005</v>
      </c>
      <c r="H2986" t="s">
        <v>75</v>
      </c>
      <c r="I2986" t="s">
        <v>76</v>
      </c>
      <c r="J2986" t="s">
        <v>77</v>
      </c>
      <c r="K2986" t="s">
        <v>78</v>
      </c>
      <c r="L2986" t="s">
        <v>75</v>
      </c>
      <c r="M2986" t="s">
        <v>76</v>
      </c>
      <c r="N2986" t="s">
        <v>2962</v>
      </c>
      <c r="O2986" t="s">
        <v>82</v>
      </c>
      <c r="P2986" t="str">
        <f>"2170718741                    "</f>
        <v xml:space="preserve">2170718741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12.33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5</v>
      </c>
      <c r="BJ2986">
        <v>5.2</v>
      </c>
      <c r="BK2986">
        <v>5.5</v>
      </c>
      <c r="BL2986" s="4">
        <v>72.48</v>
      </c>
      <c r="BM2986" s="4">
        <v>10.87</v>
      </c>
      <c r="BN2986" s="4">
        <v>83.35</v>
      </c>
      <c r="BO2986" s="4">
        <v>83.35</v>
      </c>
      <c r="BR2986" t="s">
        <v>84</v>
      </c>
      <c r="BS2986" s="3">
        <v>43795</v>
      </c>
      <c r="BT2986" s="5">
        <v>0.30208333333333331</v>
      </c>
      <c r="BU2986" t="s">
        <v>2963</v>
      </c>
      <c r="BV2986" t="s">
        <v>86</v>
      </c>
      <c r="BY2986">
        <v>25836.89</v>
      </c>
      <c r="CA2986" t="s">
        <v>368</v>
      </c>
      <c r="CC2986" t="s">
        <v>76</v>
      </c>
      <c r="CD2986">
        <v>1600</v>
      </c>
      <c r="CE2986" t="s">
        <v>1598</v>
      </c>
      <c r="CF2986" s="3">
        <v>43796</v>
      </c>
      <c r="CI2986">
        <v>1</v>
      </c>
      <c r="CJ2986">
        <v>1</v>
      </c>
      <c r="CK2986">
        <v>22</v>
      </c>
      <c r="CL2986" t="s">
        <v>89</v>
      </c>
    </row>
    <row r="2987" spans="1:90">
      <c r="A2987" t="s">
        <v>72</v>
      </c>
      <c r="B2987" t="s">
        <v>73</v>
      </c>
      <c r="C2987" t="s">
        <v>74</v>
      </c>
      <c r="E2987" t="str">
        <f>"FES1162725017"</f>
        <v>FES1162725017</v>
      </c>
      <c r="F2987" s="3">
        <v>43794</v>
      </c>
      <c r="G2987">
        <v>202005</v>
      </c>
      <c r="H2987" t="s">
        <v>75</v>
      </c>
      <c r="I2987" t="s">
        <v>76</v>
      </c>
      <c r="J2987" t="s">
        <v>77</v>
      </c>
      <c r="K2987" t="s">
        <v>78</v>
      </c>
      <c r="L2987" t="s">
        <v>292</v>
      </c>
      <c r="M2987" t="s">
        <v>293</v>
      </c>
      <c r="N2987" t="s">
        <v>294</v>
      </c>
      <c r="O2987" t="s">
        <v>82</v>
      </c>
      <c r="P2987" t="str">
        <f>"2170718748                    "</f>
        <v xml:space="preserve">2170718748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16.63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1.3</v>
      </c>
      <c r="BJ2987">
        <v>0.6</v>
      </c>
      <c r="BK2987">
        <v>1.5</v>
      </c>
      <c r="BL2987" s="4">
        <v>97.75</v>
      </c>
      <c r="BM2987" s="4">
        <v>14.66</v>
      </c>
      <c r="BN2987" s="4">
        <v>112.41</v>
      </c>
      <c r="BO2987" s="4">
        <v>112.41</v>
      </c>
      <c r="BQ2987" t="s">
        <v>121</v>
      </c>
      <c r="BR2987" t="s">
        <v>84</v>
      </c>
      <c r="BS2987" s="3">
        <v>43795</v>
      </c>
      <c r="BT2987" s="5">
        <v>0.33333333333333331</v>
      </c>
      <c r="BU2987" t="s">
        <v>2964</v>
      </c>
      <c r="BV2987" t="s">
        <v>86</v>
      </c>
      <c r="BY2987">
        <v>3106.46</v>
      </c>
      <c r="CA2987" t="s">
        <v>123</v>
      </c>
      <c r="CC2987" t="s">
        <v>293</v>
      </c>
      <c r="CD2987">
        <v>1947</v>
      </c>
      <c r="CE2987" t="s">
        <v>88</v>
      </c>
      <c r="CF2987" s="3">
        <v>43796</v>
      </c>
      <c r="CI2987">
        <v>1</v>
      </c>
      <c r="CJ2987">
        <v>1</v>
      </c>
      <c r="CK2987">
        <v>23</v>
      </c>
      <c r="CL2987" t="s">
        <v>89</v>
      </c>
    </row>
    <row r="2988" spans="1:90">
      <c r="A2988" t="s">
        <v>72</v>
      </c>
      <c r="B2988" t="s">
        <v>73</v>
      </c>
      <c r="C2988" t="s">
        <v>74</v>
      </c>
      <c r="E2988" t="str">
        <f>"FES1162724845"</f>
        <v>FES1162724845</v>
      </c>
      <c r="F2988" s="3">
        <v>43794</v>
      </c>
      <c r="G2988">
        <v>202005</v>
      </c>
      <c r="H2988" t="s">
        <v>75</v>
      </c>
      <c r="I2988" t="s">
        <v>76</v>
      </c>
      <c r="J2988" t="s">
        <v>77</v>
      </c>
      <c r="K2988" t="s">
        <v>78</v>
      </c>
      <c r="L2988" t="s">
        <v>75</v>
      </c>
      <c r="M2988" t="s">
        <v>76</v>
      </c>
      <c r="N2988" t="s">
        <v>942</v>
      </c>
      <c r="O2988" t="s">
        <v>82</v>
      </c>
      <c r="P2988" t="str">
        <f>"2170716879                    "</f>
        <v xml:space="preserve">2170716879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6.71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 s="4">
        <v>39.42</v>
      </c>
      <c r="BM2988" s="4">
        <v>5.91</v>
      </c>
      <c r="BN2988" s="4">
        <v>45.33</v>
      </c>
      <c r="BO2988" s="4">
        <v>45.33</v>
      </c>
      <c r="BQ2988" t="s">
        <v>943</v>
      </c>
      <c r="BR2988" t="s">
        <v>84</v>
      </c>
      <c r="BS2988" s="3">
        <v>43795</v>
      </c>
      <c r="BT2988" s="5">
        <v>0.3923611111111111</v>
      </c>
      <c r="BU2988" t="s">
        <v>1831</v>
      </c>
      <c r="BV2988" t="s">
        <v>86</v>
      </c>
      <c r="BY2988">
        <v>1200</v>
      </c>
      <c r="CA2988" t="s">
        <v>198</v>
      </c>
      <c r="CC2988" t="s">
        <v>76</v>
      </c>
      <c r="CD2988">
        <v>1619</v>
      </c>
      <c r="CE2988" t="s">
        <v>147</v>
      </c>
      <c r="CF2988" s="3">
        <v>43796</v>
      </c>
      <c r="CI2988">
        <v>1</v>
      </c>
      <c r="CJ2988">
        <v>1</v>
      </c>
      <c r="CK2988">
        <v>22</v>
      </c>
      <c r="CL2988" t="s">
        <v>89</v>
      </c>
    </row>
    <row r="2989" spans="1:90">
      <c r="A2989" t="s">
        <v>72</v>
      </c>
      <c r="B2989" t="s">
        <v>73</v>
      </c>
      <c r="C2989" t="s">
        <v>74</v>
      </c>
      <c r="E2989" t="str">
        <f>"FES1162724789"</f>
        <v>FES1162724789</v>
      </c>
      <c r="F2989" s="3">
        <v>43794</v>
      </c>
      <c r="G2989">
        <v>202005</v>
      </c>
      <c r="H2989" t="s">
        <v>75</v>
      </c>
      <c r="I2989" t="s">
        <v>76</v>
      </c>
      <c r="J2989" t="s">
        <v>77</v>
      </c>
      <c r="K2989" t="s">
        <v>78</v>
      </c>
      <c r="L2989" t="s">
        <v>106</v>
      </c>
      <c r="M2989" t="s">
        <v>107</v>
      </c>
      <c r="N2989" t="s">
        <v>2965</v>
      </c>
      <c r="O2989" t="s">
        <v>82</v>
      </c>
      <c r="P2989" t="str">
        <f>"2170716452                    "</f>
        <v xml:space="preserve">2170716452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66.48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15.2</v>
      </c>
      <c r="BJ2989">
        <v>9</v>
      </c>
      <c r="BK2989">
        <v>15.5</v>
      </c>
      <c r="BL2989" s="4">
        <v>390.77</v>
      </c>
      <c r="BM2989" s="4">
        <v>58.62</v>
      </c>
      <c r="BN2989" s="4">
        <v>449.39</v>
      </c>
      <c r="BO2989" s="4">
        <v>449.39</v>
      </c>
      <c r="BQ2989" t="s">
        <v>2966</v>
      </c>
      <c r="BR2989" t="s">
        <v>84</v>
      </c>
      <c r="BS2989" s="3">
        <v>43795</v>
      </c>
      <c r="BT2989" s="5">
        <v>0.43055555555555558</v>
      </c>
      <c r="BU2989" t="s">
        <v>2967</v>
      </c>
      <c r="BV2989" t="s">
        <v>86</v>
      </c>
      <c r="BY2989">
        <v>44974.67</v>
      </c>
      <c r="CA2989" t="s">
        <v>111</v>
      </c>
      <c r="CC2989" t="s">
        <v>107</v>
      </c>
      <c r="CD2989">
        <v>6001</v>
      </c>
      <c r="CE2989" t="s">
        <v>88</v>
      </c>
      <c r="CF2989" s="3">
        <v>43796</v>
      </c>
      <c r="CI2989">
        <v>1</v>
      </c>
      <c r="CJ2989">
        <v>1</v>
      </c>
      <c r="CK2989">
        <v>21</v>
      </c>
      <c r="CL2989" t="s">
        <v>89</v>
      </c>
    </row>
    <row r="2990" spans="1:90">
      <c r="A2990" t="s">
        <v>72</v>
      </c>
      <c r="B2990" t="s">
        <v>73</v>
      </c>
      <c r="C2990" t="s">
        <v>74</v>
      </c>
      <c r="E2990" t="str">
        <f>"FES1162724848"</f>
        <v>FES1162724848</v>
      </c>
      <c r="F2990" s="3">
        <v>43794</v>
      </c>
      <c r="G2990">
        <v>202005</v>
      </c>
      <c r="H2990" t="s">
        <v>75</v>
      </c>
      <c r="I2990" t="s">
        <v>76</v>
      </c>
      <c r="J2990" t="s">
        <v>77</v>
      </c>
      <c r="K2990" t="s">
        <v>78</v>
      </c>
      <c r="L2990" t="s">
        <v>106</v>
      </c>
      <c r="M2990" t="s">
        <v>107</v>
      </c>
      <c r="N2990" t="s">
        <v>1401</v>
      </c>
      <c r="O2990" t="s">
        <v>82</v>
      </c>
      <c r="P2990" t="str">
        <f>"2170716891                    "</f>
        <v xml:space="preserve">2170716891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8.58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1.4</v>
      </c>
      <c r="BJ2990">
        <v>1.5</v>
      </c>
      <c r="BK2990">
        <v>1.5</v>
      </c>
      <c r="BL2990" s="4">
        <v>50.45</v>
      </c>
      <c r="BM2990" s="4">
        <v>7.57</v>
      </c>
      <c r="BN2990" s="4">
        <v>58.02</v>
      </c>
      <c r="BO2990" s="4">
        <v>58.02</v>
      </c>
      <c r="BQ2990" t="s">
        <v>109</v>
      </c>
      <c r="BR2990" t="s">
        <v>84</v>
      </c>
      <c r="BS2990" s="3">
        <v>43795</v>
      </c>
      <c r="BT2990" s="5">
        <v>0.375</v>
      </c>
      <c r="BU2990" t="s">
        <v>1402</v>
      </c>
      <c r="BV2990" t="s">
        <v>86</v>
      </c>
      <c r="BY2990">
        <v>7656.12</v>
      </c>
      <c r="CA2990" t="s">
        <v>87</v>
      </c>
      <c r="CC2990" t="s">
        <v>107</v>
      </c>
      <c r="CD2990">
        <v>6001</v>
      </c>
      <c r="CE2990" t="s">
        <v>88</v>
      </c>
      <c r="CF2990" s="3">
        <v>43796</v>
      </c>
      <c r="CI2990">
        <v>1</v>
      </c>
      <c r="CJ2990">
        <v>1</v>
      </c>
      <c r="CK2990">
        <v>21</v>
      </c>
      <c r="CL2990" t="s">
        <v>89</v>
      </c>
    </row>
    <row r="2991" spans="1:90">
      <c r="A2991" t="s">
        <v>72</v>
      </c>
      <c r="B2991" t="s">
        <v>73</v>
      </c>
      <c r="C2991" t="s">
        <v>74</v>
      </c>
      <c r="E2991" t="str">
        <f>"FES1162724804"</f>
        <v>FES1162724804</v>
      </c>
      <c r="F2991" s="3">
        <v>43794</v>
      </c>
      <c r="G2991">
        <v>202005</v>
      </c>
      <c r="H2991" t="s">
        <v>75</v>
      </c>
      <c r="I2991" t="s">
        <v>76</v>
      </c>
      <c r="J2991" t="s">
        <v>77</v>
      </c>
      <c r="K2991" t="s">
        <v>78</v>
      </c>
      <c r="L2991" t="s">
        <v>106</v>
      </c>
      <c r="M2991" t="s">
        <v>107</v>
      </c>
      <c r="N2991" t="s">
        <v>2968</v>
      </c>
      <c r="O2991" t="s">
        <v>82</v>
      </c>
      <c r="P2991" t="str">
        <f>"2170716549                    "</f>
        <v xml:space="preserve">2170716549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15.02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3.3</v>
      </c>
      <c r="BJ2991">
        <v>3.2</v>
      </c>
      <c r="BK2991">
        <v>3.5</v>
      </c>
      <c r="BL2991" s="4">
        <v>88.27</v>
      </c>
      <c r="BM2991" s="4">
        <v>13.24</v>
      </c>
      <c r="BN2991" s="4">
        <v>101.51</v>
      </c>
      <c r="BO2991" s="4">
        <v>101.51</v>
      </c>
      <c r="BQ2991" t="s">
        <v>109</v>
      </c>
      <c r="BR2991" t="s">
        <v>84</v>
      </c>
      <c r="BS2991" s="3">
        <v>43795</v>
      </c>
      <c r="BT2991" s="5">
        <v>0.41180555555555554</v>
      </c>
      <c r="BU2991" t="s">
        <v>382</v>
      </c>
      <c r="BV2991" t="s">
        <v>86</v>
      </c>
      <c r="BY2991">
        <v>16005.6</v>
      </c>
      <c r="CA2991" t="s">
        <v>773</v>
      </c>
      <c r="CC2991" t="s">
        <v>107</v>
      </c>
      <c r="CD2991">
        <v>6012</v>
      </c>
      <c r="CE2991" t="s">
        <v>88</v>
      </c>
      <c r="CF2991" s="3">
        <v>43796</v>
      </c>
      <c r="CI2991">
        <v>1</v>
      </c>
      <c r="CJ2991">
        <v>1</v>
      </c>
      <c r="CK2991">
        <v>21</v>
      </c>
      <c r="CL2991" t="s">
        <v>89</v>
      </c>
    </row>
    <row r="2992" spans="1:90">
      <c r="A2992" t="s">
        <v>72</v>
      </c>
      <c r="B2992" t="s">
        <v>73</v>
      </c>
      <c r="C2992" t="s">
        <v>74</v>
      </c>
      <c r="E2992" t="str">
        <f>"FES1162724878"</f>
        <v>FES1162724878</v>
      </c>
      <c r="F2992" s="3">
        <v>43794</v>
      </c>
      <c r="G2992">
        <v>202005</v>
      </c>
      <c r="H2992" t="s">
        <v>75</v>
      </c>
      <c r="I2992" t="s">
        <v>76</v>
      </c>
      <c r="J2992" t="s">
        <v>77</v>
      </c>
      <c r="K2992" t="s">
        <v>78</v>
      </c>
      <c r="L2992" t="s">
        <v>106</v>
      </c>
      <c r="M2992" t="s">
        <v>107</v>
      </c>
      <c r="N2992" t="s">
        <v>574</v>
      </c>
      <c r="O2992" t="s">
        <v>82</v>
      </c>
      <c r="P2992" t="str">
        <f>"2170718215                    "</f>
        <v xml:space="preserve">2170718215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12.87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2.7</v>
      </c>
      <c r="BJ2992">
        <v>1.6</v>
      </c>
      <c r="BK2992">
        <v>3</v>
      </c>
      <c r="BL2992" s="4">
        <v>75.66</v>
      </c>
      <c r="BM2992" s="4">
        <v>11.35</v>
      </c>
      <c r="BN2992" s="4">
        <v>87.01</v>
      </c>
      <c r="BO2992" s="4">
        <v>87.01</v>
      </c>
      <c r="BQ2992" t="s">
        <v>142</v>
      </c>
      <c r="BR2992" t="s">
        <v>84</v>
      </c>
      <c r="BS2992" s="3">
        <v>43795</v>
      </c>
      <c r="BT2992" s="5">
        <v>0.43472222222222223</v>
      </c>
      <c r="BU2992" t="s">
        <v>2969</v>
      </c>
      <c r="BV2992" t="s">
        <v>86</v>
      </c>
      <c r="BY2992">
        <v>7750.15</v>
      </c>
      <c r="CA2992" t="s">
        <v>773</v>
      </c>
      <c r="CC2992" t="s">
        <v>107</v>
      </c>
      <c r="CD2992">
        <v>6012</v>
      </c>
      <c r="CE2992" t="s">
        <v>88</v>
      </c>
      <c r="CF2992" s="3">
        <v>43796</v>
      </c>
      <c r="CI2992">
        <v>1</v>
      </c>
      <c r="CJ2992">
        <v>1</v>
      </c>
      <c r="CK2992">
        <v>21</v>
      </c>
      <c r="CL2992" t="s">
        <v>89</v>
      </c>
    </row>
    <row r="2993" spans="1:90">
      <c r="A2993" t="s">
        <v>72</v>
      </c>
      <c r="B2993" t="s">
        <v>73</v>
      </c>
      <c r="C2993" t="s">
        <v>74</v>
      </c>
      <c r="E2993" t="str">
        <f>"FES1162724849"</f>
        <v>FES1162724849</v>
      </c>
      <c r="F2993" s="3">
        <v>43794</v>
      </c>
      <c r="G2993">
        <v>202005</v>
      </c>
      <c r="H2993" t="s">
        <v>75</v>
      </c>
      <c r="I2993" t="s">
        <v>76</v>
      </c>
      <c r="J2993" t="s">
        <v>77</v>
      </c>
      <c r="K2993" t="s">
        <v>78</v>
      </c>
      <c r="L2993" t="s">
        <v>101</v>
      </c>
      <c r="M2993" t="s">
        <v>102</v>
      </c>
      <c r="N2993" t="s">
        <v>862</v>
      </c>
      <c r="O2993" t="s">
        <v>82</v>
      </c>
      <c r="P2993" t="str">
        <f>"2170716896                    "</f>
        <v xml:space="preserve">2170716896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8.58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0.9</v>
      </c>
      <c r="BK2993">
        <v>1</v>
      </c>
      <c r="BL2993" s="4">
        <v>50.45</v>
      </c>
      <c r="BM2993" s="4">
        <v>7.57</v>
      </c>
      <c r="BN2993" s="4">
        <v>58.02</v>
      </c>
      <c r="BO2993" s="4">
        <v>58.02</v>
      </c>
      <c r="BQ2993" t="s">
        <v>863</v>
      </c>
      <c r="BR2993" t="s">
        <v>84</v>
      </c>
      <c r="BS2993" s="3">
        <v>43795</v>
      </c>
      <c r="BT2993" s="5">
        <v>0.38194444444444442</v>
      </c>
      <c r="BU2993" t="s">
        <v>2970</v>
      </c>
      <c r="BV2993" t="s">
        <v>86</v>
      </c>
      <c r="BY2993">
        <v>4500</v>
      </c>
      <c r="CA2993" t="s">
        <v>866</v>
      </c>
      <c r="CC2993" t="s">
        <v>102</v>
      </c>
      <c r="CD2993">
        <v>182</v>
      </c>
      <c r="CE2993" t="s">
        <v>1598</v>
      </c>
      <c r="CF2993" s="3">
        <v>43796</v>
      </c>
      <c r="CI2993">
        <v>1</v>
      </c>
      <c r="CJ2993">
        <v>1</v>
      </c>
      <c r="CK2993">
        <v>21</v>
      </c>
      <c r="CL2993" t="s">
        <v>89</v>
      </c>
    </row>
    <row r="2994" spans="1:90">
      <c r="A2994" t="s">
        <v>72</v>
      </c>
      <c r="B2994" t="s">
        <v>73</v>
      </c>
      <c r="C2994" t="s">
        <v>74</v>
      </c>
      <c r="E2994" t="str">
        <f>"FES1162724976"</f>
        <v>FES1162724976</v>
      </c>
      <c r="F2994" s="3">
        <v>43794</v>
      </c>
      <c r="G2994">
        <v>202005</v>
      </c>
      <c r="H2994" t="s">
        <v>75</v>
      </c>
      <c r="I2994" t="s">
        <v>76</v>
      </c>
      <c r="J2994" t="s">
        <v>77</v>
      </c>
      <c r="K2994" t="s">
        <v>78</v>
      </c>
      <c r="L2994" t="s">
        <v>214</v>
      </c>
      <c r="M2994" t="s">
        <v>214</v>
      </c>
      <c r="N2994" t="s">
        <v>2971</v>
      </c>
      <c r="O2994" t="s">
        <v>82</v>
      </c>
      <c r="P2994" t="str">
        <f>"2170718682                    "</f>
        <v xml:space="preserve">2170718682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16.63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 s="4">
        <v>97.75</v>
      </c>
      <c r="BM2994" s="4">
        <v>14.66</v>
      </c>
      <c r="BN2994" s="4">
        <v>112.41</v>
      </c>
      <c r="BO2994" s="4">
        <v>112.41</v>
      </c>
      <c r="BQ2994" t="s">
        <v>246</v>
      </c>
      <c r="BR2994" t="s">
        <v>84</v>
      </c>
      <c r="BS2994" s="3">
        <v>43795</v>
      </c>
      <c r="BT2994" s="5">
        <v>0.4513888888888889</v>
      </c>
      <c r="BU2994" t="s">
        <v>2347</v>
      </c>
      <c r="BV2994" t="s">
        <v>86</v>
      </c>
      <c r="BY2994">
        <v>1200</v>
      </c>
      <c r="CA2994" t="s">
        <v>217</v>
      </c>
      <c r="CC2994" t="s">
        <v>214</v>
      </c>
      <c r="CD2994">
        <v>7646</v>
      </c>
      <c r="CE2994" t="s">
        <v>147</v>
      </c>
      <c r="CF2994" s="3">
        <v>43796</v>
      </c>
      <c r="CI2994">
        <v>1</v>
      </c>
      <c r="CJ2994">
        <v>1</v>
      </c>
      <c r="CK2994">
        <v>23</v>
      </c>
      <c r="CL2994" t="s">
        <v>89</v>
      </c>
    </row>
    <row r="2995" spans="1:90">
      <c r="A2995" t="s">
        <v>72</v>
      </c>
      <c r="B2995" t="s">
        <v>73</v>
      </c>
      <c r="C2995" t="s">
        <v>74</v>
      </c>
      <c r="E2995" t="str">
        <f>"FES1162724805"</f>
        <v>FES1162724805</v>
      </c>
      <c r="F2995" s="3">
        <v>43794</v>
      </c>
      <c r="G2995">
        <v>202005</v>
      </c>
      <c r="H2995" t="s">
        <v>75</v>
      </c>
      <c r="I2995" t="s">
        <v>76</v>
      </c>
      <c r="J2995" t="s">
        <v>77</v>
      </c>
      <c r="K2995" t="s">
        <v>78</v>
      </c>
      <c r="L2995" t="s">
        <v>2577</v>
      </c>
      <c r="M2995" t="s">
        <v>2578</v>
      </c>
      <c r="N2995" t="s">
        <v>2579</v>
      </c>
      <c r="O2995" t="s">
        <v>82</v>
      </c>
      <c r="P2995" t="str">
        <f>"2170716551                    "</f>
        <v xml:space="preserve">2170716551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50.43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6.1</v>
      </c>
      <c r="BJ2995">
        <v>2.2999999999999998</v>
      </c>
      <c r="BK2995">
        <v>6.5</v>
      </c>
      <c r="BL2995" s="4">
        <v>296.43</v>
      </c>
      <c r="BM2995" s="4">
        <v>44.46</v>
      </c>
      <c r="BN2995" s="4">
        <v>340.89</v>
      </c>
      <c r="BO2995" s="4">
        <v>340.89</v>
      </c>
      <c r="BR2995" t="s">
        <v>84</v>
      </c>
      <c r="BS2995" s="3">
        <v>43795</v>
      </c>
      <c r="BT2995" s="5">
        <v>0.61875000000000002</v>
      </c>
      <c r="BU2995" t="s">
        <v>2972</v>
      </c>
      <c r="BV2995" t="s">
        <v>86</v>
      </c>
      <c r="BY2995">
        <v>11356.3</v>
      </c>
      <c r="CC2995" t="s">
        <v>2578</v>
      </c>
      <c r="CD2995">
        <v>4930</v>
      </c>
      <c r="CE2995" t="s">
        <v>1598</v>
      </c>
      <c r="CF2995" s="3">
        <v>43797</v>
      </c>
      <c r="CI2995">
        <v>3</v>
      </c>
      <c r="CJ2995">
        <v>1</v>
      </c>
      <c r="CK2995">
        <v>23</v>
      </c>
      <c r="CL2995" t="s">
        <v>89</v>
      </c>
    </row>
    <row r="2996" spans="1:90">
      <c r="A2996" t="s">
        <v>72</v>
      </c>
      <c r="B2996" t="s">
        <v>73</v>
      </c>
      <c r="C2996" t="s">
        <v>74</v>
      </c>
      <c r="E2996" t="str">
        <f>"FES1162724850"</f>
        <v>FES1162724850</v>
      </c>
      <c r="F2996" s="3">
        <v>43794</v>
      </c>
      <c r="G2996">
        <v>202005</v>
      </c>
      <c r="H2996" t="s">
        <v>75</v>
      </c>
      <c r="I2996" t="s">
        <v>76</v>
      </c>
      <c r="J2996" t="s">
        <v>77</v>
      </c>
      <c r="K2996" t="s">
        <v>78</v>
      </c>
      <c r="L2996" t="s">
        <v>482</v>
      </c>
      <c r="M2996" t="s">
        <v>483</v>
      </c>
      <c r="N2996" t="s">
        <v>1301</v>
      </c>
      <c r="O2996" t="s">
        <v>82</v>
      </c>
      <c r="P2996" t="str">
        <f>"2170716897                    "</f>
        <v xml:space="preserve">2170716897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6.71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1.2</v>
      </c>
      <c r="BJ2996">
        <v>0.7</v>
      </c>
      <c r="BK2996">
        <v>1.5</v>
      </c>
      <c r="BL2996" s="4">
        <v>39.42</v>
      </c>
      <c r="BM2996" s="4">
        <v>5.91</v>
      </c>
      <c r="BN2996" s="4">
        <v>45.33</v>
      </c>
      <c r="BO2996" s="4">
        <v>45.33</v>
      </c>
      <c r="BQ2996" t="s">
        <v>1302</v>
      </c>
      <c r="BR2996" t="s">
        <v>84</v>
      </c>
      <c r="BS2996" s="3">
        <v>43795</v>
      </c>
      <c r="BT2996" s="5">
        <v>0.37361111111111112</v>
      </c>
      <c r="BU2996" t="s">
        <v>1459</v>
      </c>
      <c r="BV2996" t="s">
        <v>86</v>
      </c>
      <c r="BY2996">
        <v>3335.9</v>
      </c>
      <c r="CA2996" t="s">
        <v>1336</v>
      </c>
      <c r="CC2996" t="s">
        <v>483</v>
      </c>
      <c r="CD2996">
        <v>1459</v>
      </c>
      <c r="CE2996" t="s">
        <v>88</v>
      </c>
      <c r="CF2996" s="3">
        <v>43796</v>
      </c>
      <c r="CI2996">
        <v>1</v>
      </c>
      <c r="CJ2996">
        <v>1</v>
      </c>
      <c r="CK2996">
        <v>22</v>
      </c>
      <c r="CL2996" t="s">
        <v>89</v>
      </c>
    </row>
    <row r="2997" spans="1:90">
      <c r="A2997" t="s">
        <v>72</v>
      </c>
      <c r="B2997" t="s">
        <v>73</v>
      </c>
      <c r="C2997" t="s">
        <v>74</v>
      </c>
      <c r="E2997" t="str">
        <f>"FES162724779"</f>
        <v>FES162724779</v>
      </c>
      <c r="F2997" s="3">
        <v>43794</v>
      </c>
      <c r="G2997">
        <v>202005</v>
      </c>
      <c r="H2997" t="s">
        <v>75</v>
      </c>
      <c r="I2997" t="s">
        <v>76</v>
      </c>
      <c r="J2997" t="s">
        <v>77</v>
      </c>
      <c r="K2997" t="s">
        <v>78</v>
      </c>
      <c r="L2997" t="s">
        <v>783</v>
      </c>
      <c r="M2997" t="s">
        <v>784</v>
      </c>
      <c r="N2997" t="s">
        <v>785</v>
      </c>
      <c r="O2997" t="s">
        <v>82</v>
      </c>
      <c r="P2997" t="str">
        <f>"2170715660                    "</f>
        <v xml:space="preserve">2170715660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16.63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0.9</v>
      </c>
      <c r="BJ2997">
        <v>1.9</v>
      </c>
      <c r="BK2997">
        <v>2</v>
      </c>
      <c r="BL2997" s="4">
        <v>97.75</v>
      </c>
      <c r="BM2997" s="4">
        <v>14.66</v>
      </c>
      <c r="BN2997" s="4">
        <v>112.41</v>
      </c>
      <c r="BO2997" s="4">
        <v>112.41</v>
      </c>
      <c r="BQ2997" t="s">
        <v>109</v>
      </c>
      <c r="BR2997" t="s">
        <v>84</v>
      </c>
      <c r="BS2997" s="3">
        <v>43795</v>
      </c>
      <c r="BT2997" s="5">
        <v>0.39583333333333331</v>
      </c>
      <c r="BU2997" t="s">
        <v>786</v>
      </c>
      <c r="BV2997" t="s">
        <v>86</v>
      </c>
      <c r="BY2997">
        <v>9361.44</v>
      </c>
      <c r="CA2997" t="s">
        <v>1801</v>
      </c>
      <c r="CC2997" t="s">
        <v>784</v>
      </c>
      <c r="CD2997">
        <v>9880</v>
      </c>
      <c r="CE2997" t="s">
        <v>88</v>
      </c>
      <c r="CI2997">
        <v>1</v>
      </c>
      <c r="CJ2997">
        <v>1</v>
      </c>
      <c r="CK2997">
        <v>23</v>
      </c>
      <c r="CL2997" t="s">
        <v>89</v>
      </c>
    </row>
    <row r="2998" spans="1:90">
      <c r="A2998" t="s">
        <v>72</v>
      </c>
      <c r="B2998" t="s">
        <v>73</v>
      </c>
      <c r="C2998" t="s">
        <v>74</v>
      </c>
      <c r="E2998" t="str">
        <f>"FES1162724908"</f>
        <v>FES1162724908</v>
      </c>
      <c r="F2998" s="3">
        <v>43794</v>
      </c>
      <c r="G2998">
        <v>202005</v>
      </c>
      <c r="H2998" t="s">
        <v>75</v>
      </c>
      <c r="I2998" t="s">
        <v>76</v>
      </c>
      <c r="J2998" t="s">
        <v>77</v>
      </c>
      <c r="K2998" t="s">
        <v>78</v>
      </c>
      <c r="L2998" t="s">
        <v>90</v>
      </c>
      <c r="M2998" t="s">
        <v>91</v>
      </c>
      <c r="N2998" t="s">
        <v>2887</v>
      </c>
      <c r="O2998" t="s">
        <v>82</v>
      </c>
      <c r="P2998" t="str">
        <f>"2170718590                    "</f>
        <v xml:space="preserve">2170718590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38.6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7.4</v>
      </c>
      <c r="BJ2998">
        <v>8.9</v>
      </c>
      <c r="BK2998">
        <v>9</v>
      </c>
      <c r="BL2998" s="4">
        <v>226.91</v>
      </c>
      <c r="BM2998" s="4">
        <v>34.04</v>
      </c>
      <c r="BN2998" s="4">
        <v>260.95</v>
      </c>
      <c r="BO2998" s="4">
        <v>260.95</v>
      </c>
      <c r="BQ2998" t="s">
        <v>142</v>
      </c>
      <c r="BR2998" t="s">
        <v>84</v>
      </c>
      <c r="BS2998" s="3">
        <v>43795</v>
      </c>
      <c r="BT2998" s="5">
        <v>0.37291666666666662</v>
      </c>
      <c r="BU2998" t="s">
        <v>2888</v>
      </c>
      <c r="BV2998" t="s">
        <v>86</v>
      </c>
      <c r="BY2998">
        <v>44339.4</v>
      </c>
      <c r="CA2998" t="s">
        <v>515</v>
      </c>
      <c r="CC2998" t="s">
        <v>91</v>
      </c>
      <c r="CD2998">
        <v>7493</v>
      </c>
      <c r="CE2998" t="s">
        <v>88</v>
      </c>
      <c r="CF2998" s="3">
        <v>43796</v>
      </c>
      <c r="CI2998">
        <v>1</v>
      </c>
      <c r="CJ2998">
        <v>1</v>
      </c>
      <c r="CK2998">
        <v>21</v>
      </c>
      <c r="CL2998" t="s">
        <v>89</v>
      </c>
    </row>
    <row r="2999" spans="1:90">
      <c r="A2999" t="s">
        <v>72</v>
      </c>
      <c r="B2999" t="s">
        <v>73</v>
      </c>
      <c r="C2999" t="s">
        <v>74</v>
      </c>
      <c r="E2999" t="str">
        <f>"FES1162724846"</f>
        <v>FES1162724846</v>
      </c>
      <c r="F2999" s="3">
        <v>43794</v>
      </c>
      <c r="G2999">
        <v>202005</v>
      </c>
      <c r="H2999" t="s">
        <v>75</v>
      </c>
      <c r="I2999" t="s">
        <v>76</v>
      </c>
      <c r="J2999" t="s">
        <v>77</v>
      </c>
      <c r="K2999" t="s">
        <v>78</v>
      </c>
      <c r="L2999" t="s">
        <v>90</v>
      </c>
      <c r="M2999" t="s">
        <v>91</v>
      </c>
      <c r="N2999" t="s">
        <v>1632</v>
      </c>
      <c r="O2999" t="s">
        <v>82</v>
      </c>
      <c r="P2999" t="str">
        <f>"2170716881                    "</f>
        <v xml:space="preserve">2170716881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8.58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 s="4">
        <v>50.45</v>
      </c>
      <c r="BM2999" s="4">
        <v>7.57</v>
      </c>
      <c r="BN2999" s="4">
        <v>58.02</v>
      </c>
      <c r="BO2999" s="4">
        <v>58.02</v>
      </c>
      <c r="BQ2999" t="s">
        <v>109</v>
      </c>
      <c r="BR2999" t="s">
        <v>84</v>
      </c>
      <c r="BS2999" s="3">
        <v>43795</v>
      </c>
      <c r="BT2999" s="5">
        <v>0.36041666666666666</v>
      </c>
      <c r="BU2999" t="s">
        <v>1633</v>
      </c>
      <c r="BV2999" t="s">
        <v>86</v>
      </c>
      <c r="BY2999">
        <v>1200</v>
      </c>
      <c r="CA2999" t="s">
        <v>323</v>
      </c>
      <c r="CC2999" t="s">
        <v>91</v>
      </c>
      <c r="CD2999">
        <v>7460</v>
      </c>
      <c r="CE2999" t="s">
        <v>147</v>
      </c>
      <c r="CF2999" s="3">
        <v>43796</v>
      </c>
      <c r="CI2999">
        <v>1</v>
      </c>
      <c r="CJ2999">
        <v>1</v>
      </c>
      <c r="CK2999">
        <v>21</v>
      </c>
      <c r="CL2999" t="s">
        <v>89</v>
      </c>
    </row>
    <row r="3000" spans="1:90">
      <c r="A3000" t="s">
        <v>72</v>
      </c>
      <c r="B3000" t="s">
        <v>73</v>
      </c>
      <c r="C3000" t="s">
        <v>74</v>
      </c>
      <c r="E3000" t="str">
        <f>"FES1162725008"</f>
        <v>FES1162725008</v>
      </c>
      <c r="F3000" s="3">
        <v>43794</v>
      </c>
      <c r="G3000">
        <v>202005</v>
      </c>
      <c r="H3000" t="s">
        <v>75</v>
      </c>
      <c r="I3000" t="s">
        <v>76</v>
      </c>
      <c r="J3000" t="s">
        <v>77</v>
      </c>
      <c r="K3000" t="s">
        <v>78</v>
      </c>
      <c r="L3000" t="s">
        <v>681</v>
      </c>
      <c r="M3000" t="s">
        <v>682</v>
      </c>
      <c r="N3000" t="s">
        <v>2973</v>
      </c>
      <c r="O3000" t="s">
        <v>82</v>
      </c>
      <c r="P3000" t="str">
        <f>"2170718736                    "</f>
        <v xml:space="preserve">2170718736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12.07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 s="4">
        <v>70.95</v>
      </c>
      <c r="BM3000" s="4">
        <v>10.64</v>
      </c>
      <c r="BN3000" s="4">
        <v>81.59</v>
      </c>
      <c r="BO3000" s="4">
        <v>81.59</v>
      </c>
      <c r="BR3000" t="s">
        <v>84</v>
      </c>
      <c r="BS3000" s="3">
        <v>43795</v>
      </c>
      <c r="BT3000" s="5">
        <v>0.34722222222222227</v>
      </c>
      <c r="BU3000" t="s">
        <v>2974</v>
      </c>
      <c r="BV3000" t="s">
        <v>86</v>
      </c>
      <c r="BY3000">
        <v>1200</v>
      </c>
      <c r="CA3000" t="s">
        <v>1224</v>
      </c>
      <c r="CC3000" t="s">
        <v>682</v>
      </c>
      <c r="CD3000">
        <v>1930</v>
      </c>
      <c r="CE3000" t="s">
        <v>147</v>
      </c>
      <c r="CF3000" s="3">
        <v>43796</v>
      </c>
      <c r="CI3000">
        <v>1</v>
      </c>
      <c r="CJ3000">
        <v>1</v>
      </c>
      <c r="CK3000">
        <v>24</v>
      </c>
      <c r="CL3000" t="s">
        <v>89</v>
      </c>
    </row>
    <row r="3001" spans="1:90">
      <c r="A3001" t="s">
        <v>72</v>
      </c>
      <c r="B3001" t="s">
        <v>73</v>
      </c>
      <c r="C3001" t="s">
        <v>74</v>
      </c>
      <c r="E3001" t="str">
        <f>"FES1162724860"</f>
        <v>FES1162724860</v>
      </c>
      <c r="F3001" s="3">
        <v>43794</v>
      </c>
      <c r="G3001">
        <v>202005</v>
      </c>
      <c r="H3001" t="s">
        <v>75</v>
      </c>
      <c r="I3001" t="s">
        <v>76</v>
      </c>
      <c r="J3001" t="s">
        <v>77</v>
      </c>
      <c r="K3001" t="s">
        <v>78</v>
      </c>
      <c r="L3001" t="s">
        <v>101</v>
      </c>
      <c r="M3001" t="s">
        <v>102</v>
      </c>
      <c r="N3001" t="s">
        <v>879</v>
      </c>
      <c r="O3001" t="s">
        <v>82</v>
      </c>
      <c r="P3001" t="str">
        <f>"2170717335                    "</f>
        <v xml:space="preserve">2170717335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8.58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 s="4">
        <v>50.45</v>
      </c>
      <c r="BM3001" s="4">
        <v>7.57</v>
      </c>
      <c r="BN3001" s="4">
        <v>58.02</v>
      </c>
      <c r="BO3001" s="4">
        <v>58.02</v>
      </c>
      <c r="BQ3001" t="s">
        <v>142</v>
      </c>
      <c r="BR3001" t="s">
        <v>84</v>
      </c>
      <c r="BS3001" s="3">
        <v>43795</v>
      </c>
      <c r="BT3001" s="5">
        <v>0.38194444444444442</v>
      </c>
      <c r="BU3001" t="s">
        <v>2975</v>
      </c>
      <c r="BV3001" t="s">
        <v>86</v>
      </c>
      <c r="BY3001">
        <v>1200</v>
      </c>
      <c r="CC3001" t="s">
        <v>102</v>
      </c>
      <c r="CD3001">
        <v>200</v>
      </c>
      <c r="CE3001" t="s">
        <v>147</v>
      </c>
      <c r="CF3001" s="3">
        <v>43796</v>
      </c>
      <c r="CI3001">
        <v>1</v>
      </c>
      <c r="CJ3001">
        <v>1</v>
      </c>
      <c r="CK3001">
        <v>21</v>
      </c>
      <c r="CL3001" t="s">
        <v>89</v>
      </c>
    </row>
    <row r="3002" spans="1:90">
      <c r="A3002" t="s">
        <v>72</v>
      </c>
      <c r="B3002" t="s">
        <v>73</v>
      </c>
      <c r="C3002" t="s">
        <v>74</v>
      </c>
      <c r="E3002" t="str">
        <f>"FES1162724870"</f>
        <v>FES1162724870</v>
      </c>
      <c r="F3002" s="3">
        <v>43794</v>
      </c>
      <c r="G3002">
        <v>202005</v>
      </c>
      <c r="H3002" t="s">
        <v>75</v>
      </c>
      <c r="I3002" t="s">
        <v>76</v>
      </c>
      <c r="J3002" t="s">
        <v>77</v>
      </c>
      <c r="K3002" t="s">
        <v>78</v>
      </c>
      <c r="L3002" t="s">
        <v>522</v>
      </c>
      <c r="M3002" t="s">
        <v>523</v>
      </c>
      <c r="N3002" t="s">
        <v>1080</v>
      </c>
      <c r="O3002" t="s">
        <v>82</v>
      </c>
      <c r="P3002" t="str">
        <f>"2170717881                    "</f>
        <v xml:space="preserve">2170717881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16.63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1.1000000000000001</v>
      </c>
      <c r="BJ3002">
        <v>1.9</v>
      </c>
      <c r="BK3002">
        <v>2</v>
      </c>
      <c r="BL3002" s="4">
        <v>97.75</v>
      </c>
      <c r="BM3002" s="4">
        <v>14.66</v>
      </c>
      <c r="BN3002" s="4">
        <v>112.41</v>
      </c>
      <c r="BO3002" s="4">
        <v>112.41</v>
      </c>
      <c r="BQ3002" t="s">
        <v>121</v>
      </c>
      <c r="BR3002" t="s">
        <v>84</v>
      </c>
      <c r="BS3002" s="3">
        <v>43795</v>
      </c>
      <c r="BT3002" s="5">
        <v>0.38680555555555557</v>
      </c>
      <c r="BU3002" t="s">
        <v>1110</v>
      </c>
      <c r="BV3002" t="s">
        <v>86</v>
      </c>
      <c r="BY3002">
        <v>9575.51</v>
      </c>
      <c r="CA3002" t="s">
        <v>526</v>
      </c>
      <c r="CC3002" t="s">
        <v>523</v>
      </c>
      <c r="CD3002">
        <v>1911</v>
      </c>
      <c r="CE3002" t="s">
        <v>1598</v>
      </c>
      <c r="CF3002" s="3">
        <v>43796</v>
      </c>
      <c r="CI3002">
        <v>1</v>
      </c>
      <c r="CJ3002">
        <v>1</v>
      </c>
      <c r="CK3002">
        <v>23</v>
      </c>
      <c r="CL3002" t="s">
        <v>89</v>
      </c>
    </row>
    <row r="3003" spans="1:90">
      <c r="A3003" t="s">
        <v>72</v>
      </c>
      <c r="B3003" t="s">
        <v>73</v>
      </c>
      <c r="C3003" t="s">
        <v>74</v>
      </c>
      <c r="E3003" t="str">
        <f>"FES1162725029"</f>
        <v>FES1162725029</v>
      </c>
      <c r="F3003" s="3">
        <v>43794</v>
      </c>
      <c r="G3003">
        <v>202005</v>
      </c>
      <c r="H3003" t="s">
        <v>75</v>
      </c>
      <c r="I3003" t="s">
        <v>76</v>
      </c>
      <c r="J3003" t="s">
        <v>77</v>
      </c>
      <c r="K3003" t="s">
        <v>78</v>
      </c>
      <c r="L3003" t="s">
        <v>90</v>
      </c>
      <c r="M3003" t="s">
        <v>91</v>
      </c>
      <c r="N3003" t="s">
        <v>505</v>
      </c>
      <c r="O3003" t="s">
        <v>82</v>
      </c>
      <c r="P3003" t="str">
        <f>"2170718753                    "</f>
        <v xml:space="preserve">2170718753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8.58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 s="4">
        <v>50.45</v>
      </c>
      <c r="BM3003" s="4">
        <v>7.57</v>
      </c>
      <c r="BN3003" s="4">
        <v>58.02</v>
      </c>
      <c r="BO3003" s="4">
        <v>58.02</v>
      </c>
      <c r="BQ3003" t="s">
        <v>121</v>
      </c>
      <c r="BR3003" t="s">
        <v>84</v>
      </c>
      <c r="BS3003" s="3">
        <v>43795</v>
      </c>
      <c r="BT3003" s="5">
        <v>0.36388888888888887</v>
      </c>
      <c r="BU3003" t="s">
        <v>2824</v>
      </c>
      <c r="BV3003" t="s">
        <v>86</v>
      </c>
      <c r="BY3003">
        <v>1200</v>
      </c>
      <c r="CA3003" t="s">
        <v>1121</v>
      </c>
      <c r="CC3003" t="s">
        <v>91</v>
      </c>
      <c r="CD3003">
        <v>7764</v>
      </c>
      <c r="CE3003" t="s">
        <v>147</v>
      </c>
      <c r="CF3003" s="3">
        <v>43796</v>
      </c>
      <c r="CI3003">
        <v>1</v>
      </c>
      <c r="CJ3003">
        <v>1</v>
      </c>
      <c r="CK3003">
        <v>21</v>
      </c>
      <c r="CL3003" t="s">
        <v>89</v>
      </c>
    </row>
    <row r="3004" spans="1:90">
      <c r="A3004" t="s">
        <v>72</v>
      </c>
      <c r="B3004" t="s">
        <v>73</v>
      </c>
      <c r="C3004" t="s">
        <v>74</v>
      </c>
      <c r="E3004" t="str">
        <f>"FES1162724947"</f>
        <v>FES1162724947</v>
      </c>
      <c r="F3004" s="3">
        <v>43794</v>
      </c>
      <c r="G3004">
        <v>202005</v>
      </c>
      <c r="H3004" t="s">
        <v>75</v>
      </c>
      <c r="I3004" t="s">
        <v>76</v>
      </c>
      <c r="J3004" t="s">
        <v>77</v>
      </c>
      <c r="K3004" t="s">
        <v>78</v>
      </c>
      <c r="L3004" t="s">
        <v>112</v>
      </c>
      <c r="M3004" t="s">
        <v>113</v>
      </c>
      <c r="N3004" t="s">
        <v>336</v>
      </c>
      <c r="O3004" t="s">
        <v>82</v>
      </c>
      <c r="P3004" t="str">
        <f>"2170718634                    "</f>
        <v xml:space="preserve">2170718634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77.2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10.8</v>
      </c>
      <c r="BJ3004">
        <v>17.7</v>
      </c>
      <c r="BK3004">
        <v>18</v>
      </c>
      <c r="BL3004" s="4">
        <v>453.79</v>
      </c>
      <c r="BM3004" s="4">
        <v>68.069999999999993</v>
      </c>
      <c r="BN3004" s="4">
        <v>521.86</v>
      </c>
      <c r="BO3004" s="4">
        <v>521.86</v>
      </c>
      <c r="BQ3004" t="s">
        <v>337</v>
      </c>
      <c r="BR3004" t="s">
        <v>84</v>
      </c>
      <c r="BS3004" s="3">
        <v>43795</v>
      </c>
      <c r="BT3004" s="5">
        <v>0.4375</v>
      </c>
      <c r="BU3004" t="s">
        <v>2976</v>
      </c>
      <c r="BV3004" t="s">
        <v>86</v>
      </c>
      <c r="BY3004">
        <v>88722.35</v>
      </c>
      <c r="CC3004" t="s">
        <v>113</v>
      </c>
      <c r="CD3004">
        <v>4052</v>
      </c>
      <c r="CE3004" t="s">
        <v>88</v>
      </c>
      <c r="CF3004" s="3">
        <v>43796</v>
      </c>
      <c r="CI3004">
        <v>1</v>
      </c>
      <c r="CJ3004">
        <v>1</v>
      </c>
      <c r="CK3004">
        <v>21</v>
      </c>
      <c r="CL3004" t="s">
        <v>89</v>
      </c>
    </row>
    <row r="3005" spans="1:90">
      <c r="A3005" t="s">
        <v>72</v>
      </c>
      <c r="B3005" t="s">
        <v>73</v>
      </c>
      <c r="C3005" t="s">
        <v>74</v>
      </c>
      <c r="E3005" t="str">
        <f>"FES1162724769"</f>
        <v>FES1162724769</v>
      </c>
      <c r="F3005" s="3">
        <v>43794</v>
      </c>
      <c r="G3005">
        <v>202005</v>
      </c>
      <c r="H3005" t="s">
        <v>75</v>
      </c>
      <c r="I3005" t="s">
        <v>76</v>
      </c>
      <c r="J3005" t="s">
        <v>77</v>
      </c>
      <c r="K3005" t="s">
        <v>78</v>
      </c>
      <c r="L3005" t="s">
        <v>184</v>
      </c>
      <c r="M3005" t="s">
        <v>185</v>
      </c>
      <c r="N3005" t="s">
        <v>377</v>
      </c>
      <c r="O3005" t="s">
        <v>82</v>
      </c>
      <c r="P3005" t="str">
        <f>"2170719294                    "</f>
        <v xml:space="preserve">2170719294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17.149999999999999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8.1</v>
      </c>
      <c r="BJ3005">
        <v>3.8</v>
      </c>
      <c r="BK3005">
        <v>8.5</v>
      </c>
      <c r="BL3005" s="4">
        <v>100.82</v>
      </c>
      <c r="BM3005" s="4">
        <v>15.12</v>
      </c>
      <c r="BN3005" s="4">
        <v>115.94</v>
      </c>
      <c r="BO3005" s="4">
        <v>115.94</v>
      </c>
      <c r="BR3005" t="s">
        <v>84</v>
      </c>
      <c r="BS3005" s="3">
        <v>43795</v>
      </c>
      <c r="BT3005" s="5">
        <v>0.40069444444444446</v>
      </c>
      <c r="BU3005" t="s">
        <v>2977</v>
      </c>
      <c r="BV3005" t="s">
        <v>86</v>
      </c>
      <c r="BY3005">
        <v>18812.88</v>
      </c>
      <c r="CC3005" t="s">
        <v>185</v>
      </c>
      <c r="CD3005">
        <v>1500</v>
      </c>
      <c r="CE3005" t="s">
        <v>1598</v>
      </c>
      <c r="CF3005" s="3">
        <v>43796</v>
      </c>
      <c r="CI3005">
        <v>1</v>
      </c>
      <c r="CJ3005">
        <v>1</v>
      </c>
      <c r="CK3005">
        <v>22</v>
      </c>
      <c r="CL3005" t="s">
        <v>89</v>
      </c>
    </row>
    <row r="3006" spans="1:90">
      <c r="A3006" t="s">
        <v>72</v>
      </c>
      <c r="B3006" t="s">
        <v>73</v>
      </c>
      <c r="C3006" t="s">
        <v>74</v>
      </c>
      <c r="E3006" t="str">
        <f>"FES1162725012"</f>
        <v>FES1162725012</v>
      </c>
      <c r="F3006" s="3">
        <v>43794</v>
      </c>
      <c r="G3006">
        <v>202005</v>
      </c>
      <c r="H3006" t="s">
        <v>75</v>
      </c>
      <c r="I3006" t="s">
        <v>76</v>
      </c>
      <c r="J3006" t="s">
        <v>77</v>
      </c>
      <c r="K3006" t="s">
        <v>78</v>
      </c>
      <c r="L3006" t="s">
        <v>75</v>
      </c>
      <c r="M3006" t="s">
        <v>76</v>
      </c>
      <c r="N3006" t="s">
        <v>2978</v>
      </c>
      <c r="O3006" t="s">
        <v>82</v>
      </c>
      <c r="P3006" t="str">
        <f>"2170718740                    "</f>
        <v xml:space="preserve">2170718740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6.71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 s="4">
        <v>39.42</v>
      </c>
      <c r="BM3006" s="4">
        <v>5.91</v>
      </c>
      <c r="BN3006" s="4">
        <v>45.33</v>
      </c>
      <c r="BO3006" s="4">
        <v>45.33</v>
      </c>
      <c r="BQ3006" t="s">
        <v>2979</v>
      </c>
      <c r="BR3006" t="s">
        <v>84</v>
      </c>
      <c r="BS3006" s="3">
        <v>43795</v>
      </c>
      <c r="BT3006" s="5">
        <v>0.35416666666666669</v>
      </c>
      <c r="BU3006" t="s">
        <v>370</v>
      </c>
      <c r="BV3006" t="s">
        <v>86</v>
      </c>
      <c r="BY3006">
        <v>1200</v>
      </c>
      <c r="CA3006" t="s">
        <v>159</v>
      </c>
      <c r="CC3006" t="s">
        <v>76</v>
      </c>
      <c r="CD3006">
        <v>1682</v>
      </c>
      <c r="CE3006" t="s">
        <v>147</v>
      </c>
      <c r="CF3006" s="3">
        <v>43796</v>
      </c>
      <c r="CI3006">
        <v>1</v>
      </c>
      <c r="CJ3006">
        <v>1</v>
      </c>
      <c r="CK3006">
        <v>22</v>
      </c>
      <c r="CL3006" t="s">
        <v>89</v>
      </c>
    </row>
    <row r="3007" spans="1:90">
      <c r="A3007" t="s">
        <v>72</v>
      </c>
      <c r="B3007" t="s">
        <v>73</v>
      </c>
      <c r="C3007" t="s">
        <v>74</v>
      </c>
      <c r="E3007" t="str">
        <f>"FES1162725042"</f>
        <v>FES1162725042</v>
      </c>
      <c r="F3007" s="3">
        <v>43794</v>
      </c>
      <c r="G3007">
        <v>202005</v>
      </c>
      <c r="H3007" t="s">
        <v>75</v>
      </c>
      <c r="I3007" t="s">
        <v>76</v>
      </c>
      <c r="J3007" t="s">
        <v>77</v>
      </c>
      <c r="K3007" t="s">
        <v>78</v>
      </c>
      <c r="L3007" t="s">
        <v>251</v>
      </c>
      <c r="M3007" t="s">
        <v>252</v>
      </c>
      <c r="N3007" t="s">
        <v>330</v>
      </c>
      <c r="O3007" t="s">
        <v>82</v>
      </c>
      <c r="P3007" t="str">
        <f>"2170718783                    "</f>
        <v xml:space="preserve">2170718783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10.73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2.1</v>
      </c>
      <c r="BJ3007">
        <v>1.2</v>
      </c>
      <c r="BK3007">
        <v>2.5</v>
      </c>
      <c r="BL3007" s="4">
        <v>63.06</v>
      </c>
      <c r="BM3007" s="4">
        <v>9.4600000000000009</v>
      </c>
      <c r="BN3007" s="4">
        <v>72.52</v>
      </c>
      <c r="BO3007" s="4">
        <v>72.52</v>
      </c>
      <c r="BQ3007" t="s">
        <v>109</v>
      </c>
      <c r="BR3007" t="s">
        <v>84</v>
      </c>
      <c r="BS3007" s="3">
        <v>43795</v>
      </c>
      <c r="BT3007" s="5">
        <v>0.43124999999999997</v>
      </c>
      <c r="BU3007" t="s">
        <v>1331</v>
      </c>
      <c r="BV3007" t="s">
        <v>86</v>
      </c>
      <c r="BY3007">
        <v>6227.06</v>
      </c>
      <c r="CA3007" t="s">
        <v>255</v>
      </c>
      <c r="CC3007" t="s">
        <v>252</v>
      </c>
      <c r="CD3007">
        <v>4133</v>
      </c>
      <c r="CE3007" t="s">
        <v>1598</v>
      </c>
      <c r="CF3007" s="3">
        <v>43797</v>
      </c>
      <c r="CI3007">
        <v>1</v>
      </c>
      <c r="CJ3007">
        <v>1</v>
      </c>
      <c r="CK3007">
        <v>21</v>
      </c>
      <c r="CL3007" t="s">
        <v>89</v>
      </c>
    </row>
    <row r="3008" spans="1:90">
      <c r="A3008" t="s">
        <v>72</v>
      </c>
      <c r="B3008" t="s">
        <v>73</v>
      </c>
      <c r="C3008" t="s">
        <v>74</v>
      </c>
      <c r="E3008" t="str">
        <f>"FES1162725036"</f>
        <v>FES1162725036</v>
      </c>
      <c r="F3008" s="3">
        <v>43794</v>
      </c>
      <c r="G3008">
        <v>202005</v>
      </c>
      <c r="H3008" t="s">
        <v>75</v>
      </c>
      <c r="I3008" t="s">
        <v>76</v>
      </c>
      <c r="J3008" t="s">
        <v>77</v>
      </c>
      <c r="K3008" t="s">
        <v>78</v>
      </c>
      <c r="L3008" t="s">
        <v>691</v>
      </c>
      <c r="M3008" t="s">
        <v>692</v>
      </c>
      <c r="N3008" t="s">
        <v>1217</v>
      </c>
      <c r="O3008" t="s">
        <v>82</v>
      </c>
      <c r="P3008" t="str">
        <f>"2170718769                    "</f>
        <v xml:space="preserve">2170718769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6.71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 s="4">
        <v>39.42</v>
      </c>
      <c r="BM3008" s="4">
        <v>5.91</v>
      </c>
      <c r="BN3008" s="4">
        <v>45.33</v>
      </c>
      <c r="BO3008" s="4">
        <v>45.33</v>
      </c>
      <c r="BQ3008" t="s">
        <v>109</v>
      </c>
      <c r="BR3008" t="s">
        <v>84</v>
      </c>
      <c r="BS3008" s="3">
        <v>43795</v>
      </c>
      <c r="BT3008" s="5">
        <v>0.58263888888888882</v>
      </c>
      <c r="BU3008" t="s">
        <v>1821</v>
      </c>
      <c r="BV3008" t="s">
        <v>89</v>
      </c>
      <c r="BW3008" t="s">
        <v>596</v>
      </c>
      <c r="BX3008" t="s">
        <v>743</v>
      </c>
      <c r="BY3008">
        <v>1200</v>
      </c>
      <c r="CC3008" t="s">
        <v>692</v>
      </c>
      <c r="CD3008">
        <v>1559</v>
      </c>
      <c r="CE3008" t="s">
        <v>147</v>
      </c>
      <c r="CF3008" s="3">
        <v>43796</v>
      </c>
      <c r="CI3008">
        <v>1</v>
      </c>
      <c r="CJ3008">
        <v>1</v>
      </c>
      <c r="CK3008">
        <v>22</v>
      </c>
      <c r="CL3008" t="s">
        <v>89</v>
      </c>
    </row>
    <row r="3009" spans="1:90">
      <c r="A3009" t="s">
        <v>72</v>
      </c>
      <c r="B3009" t="s">
        <v>73</v>
      </c>
      <c r="C3009" t="s">
        <v>74</v>
      </c>
      <c r="E3009" t="str">
        <f>"FES1162725057"</f>
        <v>FES1162725057</v>
      </c>
      <c r="F3009" s="3">
        <v>43794</v>
      </c>
      <c r="G3009">
        <v>202005</v>
      </c>
      <c r="H3009" t="s">
        <v>75</v>
      </c>
      <c r="I3009" t="s">
        <v>76</v>
      </c>
      <c r="J3009" t="s">
        <v>77</v>
      </c>
      <c r="K3009" t="s">
        <v>78</v>
      </c>
      <c r="L3009" t="s">
        <v>124</v>
      </c>
      <c r="M3009" t="s">
        <v>125</v>
      </c>
      <c r="N3009" t="s">
        <v>1899</v>
      </c>
      <c r="O3009" t="s">
        <v>82</v>
      </c>
      <c r="P3009" t="str">
        <f>"2170718627                    "</f>
        <v xml:space="preserve">2170718627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6.71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1.8</v>
      </c>
      <c r="BJ3009">
        <v>1.2</v>
      </c>
      <c r="BK3009">
        <v>2</v>
      </c>
      <c r="BL3009" s="4">
        <v>39.42</v>
      </c>
      <c r="BM3009" s="4">
        <v>5.91</v>
      </c>
      <c r="BN3009" s="4">
        <v>45.33</v>
      </c>
      <c r="BO3009" s="4">
        <v>45.33</v>
      </c>
      <c r="BQ3009" t="s">
        <v>2980</v>
      </c>
      <c r="BR3009" t="s">
        <v>84</v>
      </c>
      <c r="BS3009" s="3">
        <v>43795</v>
      </c>
      <c r="BT3009" s="5">
        <v>0.4375</v>
      </c>
      <c r="BU3009" t="s">
        <v>381</v>
      </c>
      <c r="BV3009" t="s">
        <v>86</v>
      </c>
      <c r="BY3009">
        <v>6045.95</v>
      </c>
      <c r="CC3009" t="s">
        <v>125</v>
      </c>
      <c r="CD3009">
        <v>2049</v>
      </c>
      <c r="CE3009" t="s">
        <v>88</v>
      </c>
      <c r="CF3009" s="3">
        <v>43796</v>
      </c>
      <c r="CI3009">
        <v>1</v>
      </c>
      <c r="CJ3009">
        <v>1</v>
      </c>
      <c r="CK3009">
        <v>22</v>
      </c>
      <c r="CL3009" t="s">
        <v>89</v>
      </c>
    </row>
    <row r="3010" spans="1:90">
      <c r="A3010" t="s">
        <v>72</v>
      </c>
      <c r="B3010" t="s">
        <v>73</v>
      </c>
      <c r="C3010" t="s">
        <v>74</v>
      </c>
      <c r="E3010" t="str">
        <f>"FES1162724967"</f>
        <v>FES1162724967</v>
      </c>
      <c r="F3010" s="3">
        <v>43794</v>
      </c>
      <c r="G3010">
        <v>202005</v>
      </c>
      <c r="H3010" t="s">
        <v>75</v>
      </c>
      <c r="I3010" t="s">
        <v>76</v>
      </c>
      <c r="J3010" t="s">
        <v>77</v>
      </c>
      <c r="K3010" t="s">
        <v>78</v>
      </c>
      <c r="L3010" t="s">
        <v>106</v>
      </c>
      <c r="M3010" t="s">
        <v>107</v>
      </c>
      <c r="N3010" t="s">
        <v>1448</v>
      </c>
      <c r="O3010" t="s">
        <v>82</v>
      </c>
      <c r="P3010" t="str">
        <f>"21707187667                   "</f>
        <v xml:space="preserve">21707187667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32.17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3.9</v>
      </c>
      <c r="BJ3010">
        <v>7.4</v>
      </c>
      <c r="BK3010">
        <v>7.5</v>
      </c>
      <c r="BL3010" s="4">
        <v>189.1</v>
      </c>
      <c r="BM3010" s="4">
        <v>28.37</v>
      </c>
      <c r="BN3010" s="4">
        <v>217.47</v>
      </c>
      <c r="BO3010" s="4">
        <v>217.47</v>
      </c>
      <c r="BQ3010" t="s">
        <v>121</v>
      </c>
      <c r="BR3010" t="s">
        <v>84</v>
      </c>
      <c r="BS3010" s="3">
        <v>43795</v>
      </c>
      <c r="BT3010" s="5">
        <v>0.38611111111111113</v>
      </c>
      <c r="BU3010" t="s">
        <v>2947</v>
      </c>
      <c r="BV3010" t="s">
        <v>86</v>
      </c>
      <c r="BY3010">
        <v>36838.53</v>
      </c>
      <c r="CA3010" t="s">
        <v>244</v>
      </c>
      <c r="CC3010" t="s">
        <v>107</v>
      </c>
      <c r="CD3010">
        <v>6045</v>
      </c>
      <c r="CE3010" t="s">
        <v>1598</v>
      </c>
      <c r="CF3010" s="3">
        <v>43796</v>
      </c>
      <c r="CI3010">
        <v>1</v>
      </c>
      <c r="CJ3010">
        <v>1</v>
      </c>
      <c r="CK3010">
        <v>21</v>
      </c>
      <c r="CL3010" t="s">
        <v>89</v>
      </c>
    </row>
    <row r="3011" spans="1:90">
      <c r="A3011" t="s">
        <v>72</v>
      </c>
      <c r="B3011" t="s">
        <v>73</v>
      </c>
      <c r="C3011" t="s">
        <v>74</v>
      </c>
      <c r="E3011" t="str">
        <f>"FES1162724888"</f>
        <v>FES1162724888</v>
      </c>
      <c r="F3011" s="3">
        <v>43794</v>
      </c>
      <c r="G3011">
        <v>202005</v>
      </c>
      <c r="H3011" t="s">
        <v>75</v>
      </c>
      <c r="I3011" t="s">
        <v>76</v>
      </c>
      <c r="J3011" t="s">
        <v>77</v>
      </c>
      <c r="K3011" t="s">
        <v>78</v>
      </c>
      <c r="L3011" t="s">
        <v>124</v>
      </c>
      <c r="M3011" t="s">
        <v>125</v>
      </c>
      <c r="N3011" t="s">
        <v>2842</v>
      </c>
      <c r="O3011" t="s">
        <v>82</v>
      </c>
      <c r="P3011" t="str">
        <f>"2170718351                    "</f>
        <v xml:space="preserve">2170718351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6.71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 s="4">
        <v>39.42</v>
      </c>
      <c r="BM3011" s="4">
        <v>5.91</v>
      </c>
      <c r="BN3011" s="4">
        <v>45.33</v>
      </c>
      <c r="BO3011" s="4">
        <v>45.33</v>
      </c>
      <c r="BQ3011" t="s">
        <v>121</v>
      </c>
      <c r="BR3011" t="s">
        <v>84</v>
      </c>
      <c r="BS3011" s="3">
        <v>43795</v>
      </c>
      <c r="BT3011" s="5">
        <v>0.41666666666666669</v>
      </c>
      <c r="BU3011" t="s">
        <v>2981</v>
      </c>
      <c r="BV3011" t="s">
        <v>86</v>
      </c>
      <c r="BY3011">
        <v>1200</v>
      </c>
      <c r="CC3011" t="s">
        <v>125</v>
      </c>
      <c r="CD3011">
        <v>2040</v>
      </c>
      <c r="CE3011" t="s">
        <v>147</v>
      </c>
      <c r="CF3011" s="3">
        <v>43796</v>
      </c>
      <c r="CI3011">
        <v>1</v>
      </c>
      <c r="CJ3011">
        <v>1</v>
      </c>
      <c r="CK3011">
        <v>22</v>
      </c>
      <c r="CL3011" t="s">
        <v>89</v>
      </c>
    </row>
    <row r="3012" spans="1:90">
      <c r="A3012" t="s">
        <v>72</v>
      </c>
      <c r="B3012" t="s">
        <v>73</v>
      </c>
      <c r="C3012" t="s">
        <v>74</v>
      </c>
      <c r="E3012" t="str">
        <f>"FES1162725026"</f>
        <v>FES1162725026</v>
      </c>
      <c r="F3012" s="3">
        <v>43794</v>
      </c>
      <c r="G3012">
        <v>202005</v>
      </c>
      <c r="H3012" t="s">
        <v>75</v>
      </c>
      <c r="I3012" t="s">
        <v>76</v>
      </c>
      <c r="J3012" t="s">
        <v>77</v>
      </c>
      <c r="K3012" t="s">
        <v>78</v>
      </c>
      <c r="L3012" t="s">
        <v>344</v>
      </c>
      <c r="M3012" t="s">
        <v>345</v>
      </c>
      <c r="N3012" t="s">
        <v>1143</v>
      </c>
      <c r="O3012" t="s">
        <v>82</v>
      </c>
      <c r="P3012" t="str">
        <f>"2170718756                    "</f>
        <v xml:space="preserve">2170718756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6.71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1.8</v>
      </c>
      <c r="BJ3012">
        <v>1</v>
      </c>
      <c r="BK3012">
        <v>2</v>
      </c>
      <c r="BL3012" s="4">
        <v>39.42</v>
      </c>
      <c r="BM3012" s="4">
        <v>5.91</v>
      </c>
      <c r="BN3012" s="4">
        <v>45.33</v>
      </c>
      <c r="BO3012" s="4">
        <v>45.33</v>
      </c>
      <c r="BR3012" t="s">
        <v>84</v>
      </c>
      <c r="BS3012" s="3">
        <v>43795</v>
      </c>
      <c r="BT3012" s="5">
        <v>0.36805555555555558</v>
      </c>
      <c r="BU3012" t="s">
        <v>2982</v>
      </c>
      <c r="BV3012" t="s">
        <v>86</v>
      </c>
      <c r="BY3012">
        <v>4792.9799999999996</v>
      </c>
      <c r="CA3012" t="s">
        <v>2983</v>
      </c>
      <c r="CC3012" t="s">
        <v>345</v>
      </c>
      <c r="CD3012">
        <v>2163</v>
      </c>
      <c r="CE3012" t="s">
        <v>88</v>
      </c>
      <c r="CF3012" s="3">
        <v>43796</v>
      </c>
      <c r="CI3012">
        <v>1</v>
      </c>
      <c r="CJ3012">
        <v>1</v>
      </c>
      <c r="CK3012">
        <v>22</v>
      </c>
      <c r="CL3012" t="s">
        <v>89</v>
      </c>
    </row>
    <row r="3013" spans="1:90">
      <c r="A3013" t="s">
        <v>72</v>
      </c>
      <c r="B3013" t="s">
        <v>73</v>
      </c>
      <c r="C3013" t="s">
        <v>74</v>
      </c>
      <c r="E3013" t="str">
        <f>"FES1162724776"</f>
        <v>FES1162724776</v>
      </c>
      <c r="F3013" s="3">
        <v>43794</v>
      </c>
      <c r="G3013">
        <v>202005</v>
      </c>
      <c r="H3013" t="s">
        <v>75</v>
      </c>
      <c r="I3013" t="s">
        <v>76</v>
      </c>
      <c r="J3013" t="s">
        <v>77</v>
      </c>
      <c r="K3013" t="s">
        <v>78</v>
      </c>
      <c r="L3013" t="s">
        <v>891</v>
      </c>
      <c r="M3013" t="s">
        <v>892</v>
      </c>
      <c r="N3013" t="s">
        <v>893</v>
      </c>
      <c r="O3013" t="s">
        <v>82</v>
      </c>
      <c r="P3013" t="str">
        <f>"2170714947                    "</f>
        <v xml:space="preserve">2170714947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16.63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 s="4">
        <v>97.75</v>
      </c>
      <c r="BM3013" s="4">
        <v>14.66</v>
      </c>
      <c r="BN3013" s="4">
        <v>112.41</v>
      </c>
      <c r="BO3013" s="4">
        <v>112.41</v>
      </c>
      <c r="BR3013" t="s">
        <v>84</v>
      </c>
      <c r="BS3013" s="3">
        <v>43795</v>
      </c>
      <c r="BT3013" s="5">
        <v>0.50555555555555554</v>
      </c>
      <c r="BU3013" t="s">
        <v>2984</v>
      </c>
      <c r="BV3013" t="s">
        <v>86</v>
      </c>
      <c r="BY3013">
        <v>1200</v>
      </c>
      <c r="CA3013" t="s">
        <v>217</v>
      </c>
      <c r="CC3013" t="s">
        <v>892</v>
      </c>
      <c r="CD3013">
        <v>7654</v>
      </c>
      <c r="CE3013" t="s">
        <v>147</v>
      </c>
      <c r="CF3013" s="3">
        <v>43796</v>
      </c>
      <c r="CI3013">
        <v>1</v>
      </c>
      <c r="CJ3013">
        <v>1</v>
      </c>
      <c r="CK3013">
        <v>23</v>
      </c>
      <c r="CL3013" t="s">
        <v>89</v>
      </c>
    </row>
    <row r="3014" spans="1:90">
      <c r="A3014" t="s">
        <v>72</v>
      </c>
      <c r="B3014" t="s">
        <v>73</v>
      </c>
      <c r="C3014" t="s">
        <v>74</v>
      </c>
      <c r="E3014" t="str">
        <f>"FES1162725032"</f>
        <v>FES1162725032</v>
      </c>
      <c r="F3014" s="3">
        <v>43794</v>
      </c>
      <c r="G3014">
        <v>202005</v>
      </c>
      <c r="H3014" t="s">
        <v>75</v>
      </c>
      <c r="I3014" t="s">
        <v>76</v>
      </c>
      <c r="J3014" t="s">
        <v>77</v>
      </c>
      <c r="K3014" t="s">
        <v>78</v>
      </c>
      <c r="L3014" t="s">
        <v>124</v>
      </c>
      <c r="M3014" t="s">
        <v>125</v>
      </c>
      <c r="N3014" t="s">
        <v>218</v>
      </c>
      <c r="O3014" t="s">
        <v>82</v>
      </c>
      <c r="P3014" t="str">
        <f>"2170718676                    "</f>
        <v xml:space="preserve">2170718676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17.149999999999999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8.1</v>
      </c>
      <c r="BJ3014">
        <v>3.5</v>
      </c>
      <c r="BK3014">
        <v>8.5</v>
      </c>
      <c r="BL3014" s="4">
        <v>100.82</v>
      </c>
      <c r="BM3014" s="4">
        <v>15.12</v>
      </c>
      <c r="BN3014" s="4">
        <v>115.94</v>
      </c>
      <c r="BO3014" s="4">
        <v>115.94</v>
      </c>
      <c r="BQ3014" t="s">
        <v>121</v>
      </c>
      <c r="BR3014" t="s">
        <v>84</v>
      </c>
      <c r="BS3014" s="3">
        <v>43795</v>
      </c>
      <c r="BT3014" s="5">
        <v>0.37361111111111112</v>
      </c>
      <c r="BU3014" t="s">
        <v>1659</v>
      </c>
      <c r="BV3014" t="s">
        <v>86</v>
      </c>
      <c r="BY3014">
        <v>17335.3</v>
      </c>
      <c r="CC3014" t="s">
        <v>125</v>
      </c>
      <c r="CD3014">
        <v>2094</v>
      </c>
      <c r="CE3014" t="s">
        <v>88</v>
      </c>
      <c r="CF3014" s="3">
        <v>43796</v>
      </c>
      <c r="CI3014">
        <v>1</v>
      </c>
      <c r="CJ3014">
        <v>1</v>
      </c>
      <c r="CK3014">
        <v>22</v>
      </c>
      <c r="CL3014" t="s">
        <v>89</v>
      </c>
    </row>
    <row r="3015" spans="1:90">
      <c r="A3015" t="s">
        <v>72</v>
      </c>
      <c r="B3015" t="s">
        <v>73</v>
      </c>
      <c r="C3015" t="s">
        <v>74</v>
      </c>
      <c r="E3015" t="str">
        <f>"FES1162724964"</f>
        <v>FES1162724964</v>
      </c>
      <c r="F3015" s="3">
        <v>43794</v>
      </c>
      <c r="G3015">
        <v>202005</v>
      </c>
      <c r="H3015" t="s">
        <v>75</v>
      </c>
      <c r="I3015" t="s">
        <v>76</v>
      </c>
      <c r="J3015" t="s">
        <v>77</v>
      </c>
      <c r="K3015" t="s">
        <v>78</v>
      </c>
      <c r="L3015" t="s">
        <v>176</v>
      </c>
      <c r="M3015" t="s">
        <v>177</v>
      </c>
      <c r="N3015" t="s">
        <v>1199</v>
      </c>
      <c r="O3015" t="s">
        <v>82</v>
      </c>
      <c r="P3015" t="str">
        <f>"2170718664                    "</f>
        <v xml:space="preserve">2170718664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8.58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 s="4">
        <v>50.45</v>
      </c>
      <c r="BM3015" s="4">
        <v>7.57</v>
      </c>
      <c r="BN3015" s="4">
        <v>58.02</v>
      </c>
      <c r="BO3015" s="4">
        <v>58.02</v>
      </c>
      <c r="BQ3015" t="s">
        <v>109</v>
      </c>
      <c r="BR3015" t="s">
        <v>84</v>
      </c>
      <c r="BS3015" s="3">
        <v>43795</v>
      </c>
      <c r="BT3015" s="5">
        <v>0.34097222222222223</v>
      </c>
      <c r="BU3015" t="s">
        <v>2985</v>
      </c>
      <c r="BV3015" t="s">
        <v>86</v>
      </c>
      <c r="BY3015">
        <v>1200</v>
      </c>
      <c r="CA3015" t="s">
        <v>224</v>
      </c>
      <c r="CC3015" t="s">
        <v>177</v>
      </c>
      <c r="CD3015">
        <v>3610</v>
      </c>
      <c r="CE3015" t="s">
        <v>147</v>
      </c>
      <c r="CF3015" s="3">
        <v>43796</v>
      </c>
      <c r="CI3015">
        <v>1</v>
      </c>
      <c r="CJ3015">
        <v>1</v>
      </c>
      <c r="CK3015">
        <v>21</v>
      </c>
      <c r="CL3015" t="s">
        <v>89</v>
      </c>
    </row>
    <row r="3016" spans="1:90">
      <c r="A3016" t="s">
        <v>72</v>
      </c>
      <c r="B3016" t="s">
        <v>73</v>
      </c>
      <c r="C3016" t="s">
        <v>74</v>
      </c>
      <c r="E3016" t="str">
        <f>"FES1162724994"</f>
        <v>FES1162724994</v>
      </c>
      <c r="F3016" s="3">
        <v>43794</v>
      </c>
      <c r="G3016">
        <v>202005</v>
      </c>
      <c r="H3016" t="s">
        <v>75</v>
      </c>
      <c r="I3016" t="s">
        <v>76</v>
      </c>
      <c r="J3016" t="s">
        <v>77</v>
      </c>
      <c r="K3016" t="s">
        <v>78</v>
      </c>
      <c r="L3016" t="s">
        <v>118</v>
      </c>
      <c r="M3016" t="s">
        <v>119</v>
      </c>
      <c r="N3016" t="s">
        <v>2260</v>
      </c>
      <c r="O3016" t="s">
        <v>82</v>
      </c>
      <c r="P3016" t="str">
        <f>"2170718714                    "</f>
        <v xml:space="preserve">2170718714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8.58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 s="4">
        <v>50.45</v>
      </c>
      <c r="BM3016" s="4">
        <v>7.57</v>
      </c>
      <c r="BN3016" s="4">
        <v>58.02</v>
      </c>
      <c r="BO3016" s="4">
        <v>58.02</v>
      </c>
      <c r="BQ3016" t="s">
        <v>2261</v>
      </c>
      <c r="BR3016" t="s">
        <v>84</v>
      </c>
      <c r="BS3016" s="3">
        <v>43795</v>
      </c>
      <c r="BT3016" s="5">
        <v>0.38194444444444442</v>
      </c>
      <c r="BU3016" t="s">
        <v>2986</v>
      </c>
      <c r="BV3016" t="s">
        <v>86</v>
      </c>
      <c r="BY3016">
        <v>1200</v>
      </c>
      <c r="CA3016" t="s">
        <v>435</v>
      </c>
      <c r="CC3016" t="s">
        <v>119</v>
      </c>
      <c r="CD3016">
        <v>3201</v>
      </c>
      <c r="CE3016" t="s">
        <v>147</v>
      </c>
      <c r="CF3016" s="3">
        <v>43796</v>
      </c>
      <c r="CI3016">
        <v>1</v>
      </c>
      <c r="CJ3016">
        <v>1</v>
      </c>
      <c r="CK3016">
        <v>21</v>
      </c>
      <c r="CL3016" t="s">
        <v>89</v>
      </c>
    </row>
    <row r="3017" spans="1:90">
      <c r="A3017" t="s">
        <v>72</v>
      </c>
      <c r="B3017" t="s">
        <v>73</v>
      </c>
      <c r="C3017" t="s">
        <v>74</v>
      </c>
      <c r="E3017" t="str">
        <f>"FES1162724949"</f>
        <v>FES1162724949</v>
      </c>
      <c r="F3017" s="3">
        <v>43794</v>
      </c>
      <c r="G3017">
        <v>202005</v>
      </c>
      <c r="H3017" t="s">
        <v>75</v>
      </c>
      <c r="I3017" t="s">
        <v>76</v>
      </c>
      <c r="J3017" t="s">
        <v>77</v>
      </c>
      <c r="K3017" t="s">
        <v>78</v>
      </c>
      <c r="L3017" t="s">
        <v>124</v>
      </c>
      <c r="M3017" t="s">
        <v>125</v>
      </c>
      <c r="N3017" t="s">
        <v>218</v>
      </c>
      <c r="O3017" t="s">
        <v>82</v>
      </c>
      <c r="P3017" t="str">
        <f>"2170718639                    "</f>
        <v xml:space="preserve">2170718639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6.71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 s="4">
        <v>39.42</v>
      </c>
      <c r="BM3017" s="4">
        <v>5.91</v>
      </c>
      <c r="BN3017" s="4">
        <v>45.33</v>
      </c>
      <c r="BO3017" s="4">
        <v>45.33</v>
      </c>
      <c r="BQ3017" t="s">
        <v>121</v>
      </c>
      <c r="BR3017" t="s">
        <v>84</v>
      </c>
      <c r="BS3017" s="3">
        <v>43795</v>
      </c>
      <c r="BT3017" s="5">
        <v>0.37291666666666662</v>
      </c>
      <c r="BU3017" t="s">
        <v>1659</v>
      </c>
      <c r="BV3017" t="s">
        <v>86</v>
      </c>
      <c r="BY3017">
        <v>1200</v>
      </c>
      <c r="CC3017" t="s">
        <v>125</v>
      </c>
      <c r="CD3017">
        <v>2094</v>
      </c>
      <c r="CE3017" t="s">
        <v>147</v>
      </c>
      <c r="CF3017" s="3">
        <v>43796</v>
      </c>
      <c r="CI3017">
        <v>1</v>
      </c>
      <c r="CJ3017">
        <v>1</v>
      </c>
      <c r="CK3017">
        <v>22</v>
      </c>
      <c r="CL3017" t="s">
        <v>89</v>
      </c>
    </row>
    <row r="3018" spans="1:90">
      <c r="A3018" t="s">
        <v>72</v>
      </c>
      <c r="B3018" t="s">
        <v>73</v>
      </c>
      <c r="C3018" t="s">
        <v>74</v>
      </c>
      <c r="E3018" t="str">
        <f>"FES1162725048"</f>
        <v>FES1162725048</v>
      </c>
      <c r="F3018" s="3">
        <v>43794</v>
      </c>
      <c r="G3018">
        <v>202005</v>
      </c>
      <c r="H3018" t="s">
        <v>75</v>
      </c>
      <c r="I3018" t="s">
        <v>76</v>
      </c>
      <c r="J3018" t="s">
        <v>77</v>
      </c>
      <c r="K3018" t="s">
        <v>78</v>
      </c>
      <c r="L3018" t="s">
        <v>624</v>
      </c>
      <c r="M3018" t="s">
        <v>625</v>
      </c>
      <c r="N3018" t="s">
        <v>626</v>
      </c>
      <c r="O3018" t="s">
        <v>82</v>
      </c>
      <c r="P3018" t="str">
        <f>"2170718793                    "</f>
        <v xml:space="preserve">2170718793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16.63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 s="4">
        <v>97.75</v>
      </c>
      <c r="BM3018" s="4">
        <v>14.66</v>
      </c>
      <c r="BN3018" s="4">
        <v>112.41</v>
      </c>
      <c r="BO3018" s="4">
        <v>112.41</v>
      </c>
      <c r="BQ3018" t="s">
        <v>142</v>
      </c>
      <c r="BR3018" t="s">
        <v>84</v>
      </c>
      <c r="BS3018" s="3">
        <v>43795</v>
      </c>
      <c r="BT3018" s="5">
        <v>0.5</v>
      </c>
      <c r="BU3018" t="s">
        <v>2987</v>
      </c>
      <c r="BV3018" t="s">
        <v>86</v>
      </c>
      <c r="BY3018">
        <v>1200</v>
      </c>
      <c r="CA3018" t="s">
        <v>628</v>
      </c>
      <c r="CC3018" t="s">
        <v>625</v>
      </c>
      <c r="CD3018">
        <v>4170</v>
      </c>
      <c r="CE3018" t="s">
        <v>147</v>
      </c>
      <c r="CF3018" s="3">
        <v>43797</v>
      </c>
      <c r="CI3018">
        <v>1</v>
      </c>
      <c r="CJ3018">
        <v>1</v>
      </c>
      <c r="CK3018">
        <v>23</v>
      </c>
      <c r="CL3018" t="s">
        <v>89</v>
      </c>
    </row>
    <row r="3019" spans="1:90">
      <c r="A3019" t="s">
        <v>72</v>
      </c>
      <c r="B3019" t="s">
        <v>73</v>
      </c>
      <c r="C3019" t="s">
        <v>74</v>
      </c>
      <c r="E3019" t="str">
        <f>"FES1162724798"</f>
        <v>FES1162724798</v>
      </c>
      <c r="F3019" s="3">
        <v>43794</v>
      </c>
      <c r="G3019">
        <v>202005</v>
      </c>
      <c r="H3019" t="s">
        <v>75</v>
      </c>
      <c r="I3019" t="s">
        <v>76</v>
      </c>
      <c r="J3019" t="s">
        <v>77</v>
      </c>
      <c r="K3019" t="s">
        <v>78</v>
      </c>
      <c r="L3019" t="s">
        <v>270</v>
      </c>
      <c r="M3019" t="s">
        <v>271</v>
      </c>
      <c r="N3019" t="s">
        <v>618</v>
      </c>
      <c r="O3019" t="s">
        <v>82</v>
      </c>
      <c r="P3019" t="str">
        <f>"2170716494                    "</f>
        <v xml:space="preserve">2170716494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8.58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 s="4">
        <v>50.45</v>
      </c>
      <c r="BM3019" s="4">
        <v>7.57</v>
      </c>
      <c r="BN3019" s="4">
        <v>58.02</v>
      </c>
      <c r="BO3019" s="4">
        <v>58.02</v>
      </c>
      <c r="BQ3019" t="s">
        <v>121</v>
      </c>
      <c r="BR3019" t="s">
        <v>84</v>
      </c>
      <c r="BS3019" s="3">
        <v>43795</v>
      </c>
      <c r="BT3019" s="5">
        <v>0.42708333333333331</v>
      </c>
      <c r="BU3019" t="s">
        <v>619</v>
      </c>
      <c r="BV3019" t="s">
        <v>86</v>
      </c>
      <c r="BY3019">
        <v>1200</v>
      </c>
      <c r="CA3019" t="s">
        <v>773</v>
      </c>
      <c r="CC3019" t="s">
        <v>271</v>
      </c>
      <c r="CD3019">
        <v>6220</v>
      </c>
      <c r="CE3019" t="s">
        <v>147</v>
      </c>
      <c r="CF3019" s="3">
        <v>43796</v>
      </c>
      <c r="CI3019">
        <v>1</v>
      </c>
      <c r="CJ3019">
        <v>1</v>
      </c>
      <c r="CK3019">
        <v>21</v>
      </c>
      <c r="CL3019" t="s">
        <v>89</v>
      </c>
    </row>
    <row r="3020" spans="1:90">
      <c r="A3020" t="s">
        <v>72</v>
      </c>
      <c r="B3020" t="s">
        <v>73</v>
      </c>
      <c r="C3020" t="s">
        <v>74</v>
      </c>
      <c r="E3020" t="str">
        <f>"FES1162724978"</f>
        <v>FES1162724978</v>
      </c>
      <c r="F3020" s="3">
        <v>43794</v>
      </c>
      <c r="G3020">
        <v>202005</v>
      </c>
      <c r="H3020" t="s">
        <v>75</v>
      </c>
      <c r="I3020" t="s">
        <v>76</v>
      </c>
      <c r="J3020" t="s">
        <v>77</v>
      </c>
      <c r="K3020" t="s">
        <v>78</v>
      </c>
      <c r="L3020" t="s">
        <v>90</v>
      </c>
      <c r="M3020" t="s">
        <v>91</v>
      </c>
      <c r="N3020" t="s">
        <v>2988</v>
      </c>
      <c r="O3020" t="s">
        <v>82</v>
      </c>
      <c r="P3020" t="str">
        <f>"2170718685                    "</f>
        <v xml:space="preserve">2170718685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8.58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 s="4">
        <v>50.45</v>
      </c>
      <c r="BM3020" s="4">
        <v>7.57</v>
      </c>
      <c r="BN3020" s="4">
        <v>58.02</v>
      </c>
      <c r="BO3020" s="4">
        <v>58.02</v>
      </c>
      <c r="BQ3020" t="s">
        <v>109</v>
      </c>
      <c r="BR3020" t="s">
        <v>84</v>
      </c>
      <c r="BS3020" s="3">
        <v>43795</v>
      </c>
      <c r="BT3020" s="5">
        <v>0.45555555555555555</v>
      </c>
      <c r="BU3020" t="s">
        <v>2989</v>
      </c>
      <c r="BV3020" t="s">
        <v>89</v>
      </c>
      <c r="BW3020" t="s">
        <v>1691</v>
      </c>
      <c r="BX3020" t="s">
        <v>365</v>
      </c>
      <c r="BY3020">
        <v>1200</v>
      </c>
      <c r="CA3020" t="s">
        <v>2541</v>
      </c>
      <c r="CC3020" t="s">
        <v>91</v>
      </c>
      <c r="CD3020">
        <v>8001</v>
      </c>
      <c r="CE3020" t="s">
        <v>147</v>
      </c>
      <c r="CF3020" s="3">
        <v>43796</v>
      </c>
      <c r="CI3020">
        <v>1</v>
      </c>
      <c r="CJ3020">
        <v>1</v>
      </c>
      <c r="CK3020">
        <v>21</v>
      </c>
      <c r="CL3020" t="s">
        <v>89</v>
      </c>
    </row>
    <row r="3021" spans="1:90">
      <c r="A3021" t="s">
        <v>72</v>
      </c>
      <c r="B3021" t="s">
        <v>73</v>
      </c>
      <c r="C3021" t="s">
        <v>74</v>
      </c>
      <c r="E3021" t="str">
        <f>"FES116272487"</f>
        <v>FES116272487</v>
      </c>
      <c r="F3021" s="3">
        <v>43794</v>
      </c>
      <c r="G3021">
        <v>202005</v>
      </c>
      <c r="H3021" t="s">
        <v>75</v>
      </c>
      <c r="I3021" t="s">
        <v>76</v>
      </c>
      <c r="J3021" t="s">
        <v>77</v>
      </c>
      <c r="K3021" t="s">
        <v>78</v>
      </c>
      <c r="L3021" t="s">
        <v>133</v>
      </c>
      <c r="M3021" t="s">
        <v>134</v>
      </c>
      <c r="N3021" t="s">
        <v>135</v>
      </c>
      <c r="O3021" t="s">
        <v>82</v>
      </c>
      <c r="P3021" t="str">
        <f>"2170718021                    "</f>
        <v xml:space="preserve">2170718021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8.58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 s="4">
        <v>50.45</v>
      </c>
      <c r="BM3021" s="4">
        <v>7.57</v>
      </c>
      <c r="BN3021" s="4">
        <v>58.02</v>
      </c>
      <c r="BO3021" s="4">
        <v>58.02</v>
      </c>
      <c r="BQ3021" t="s">
        <v>109</v>
      </c>
      <c r="BR3021" t="s">
        <v>84</v>
      </c>
      <c r="BS3021" s="3">
        <v>43795</v>
      </c>
      <c r="BT3021" s="5">
        <v>0.41666666666666669</v>
      </c>
      <c r="BU3021" t="s">
        <v>2990</v>
      </c>
      <c r="BV3021" t="s">
        <v>86</v>
      </c>
      <c r="BY3021">
        <v>1200</v>
      </c>
      <c r="CA3021" t="s">
        <v>912</v>
      </c>
      <c r="CC3021" t="s">
        <v>134</v>
      </c>
      <c r="CD3021">
        <v>5201</v>
      </c>
      <c r="CE3021" t="s">
        <v>147</v>
      </c>
      <c r="CF3021" s="3">
        <v>43797</v>
      </c>
      <c r="CI3021">
        <v>1</v>
      </c>
      <c r="CJ3021">
        <v>1</v>
      </c>
      <c r="CK3021">
        <v>21</v>
      </c>
      <c r="CL3021" t="s">
        <v>89</v>
      </c>
    </row>
    <row r="3022" spans="1:90">
      <c r="A3022" t="s">
        <v>72</v>
      </c>
      <c r="B3022" t="s">
        <v>73</v>
      </c>
      <c r="C3022" t="s">
        <v>74</v>
      </c>
      <c r="E3022" t="str">
        <f>"FES1162724945"</f>
        <v>FES1162724945</v>
      </c>
      <c r="F3022" s="3">
        <v>43794</v>
      </c>
      <c r="G3022">
        <v>202005</v>
      </c>
      <c r="H3022" t="s">
        <v>75</v>
      </c>
      <c r="I3022" t="s">
        <v>76</v>
      </c>
      <c r="J3022" t="s">
        <v>77</v>
      </c>
      <c r="K3022" t="s">
        <v>78</v>
      </c>
      <c r="L3022" t="s">
        <v>133</v>
      </c>
      <c r="M3022" t="s">
        <v>134</v>
      </c>
      <c r="N3022" t="s">
        <v>696</v>
      </c>
      <c r="O3022" t="s">
        <v>82</v>
      </c>
      <c r="P3022" t="str">
        <f>"2170718631                    "</f>
        <v xml:space="preserve">2170718631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8.58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 s="4">
        <v>50.45</v>
      </c>
      <c r="BM3022" s="4">
        <v>7.57</v>
      </c>
      <c r="BN3022" s="4">
        <v>58.02</v>
      </c>
      <c r="BO3022" s="4">
        <v>58.02</v>
      </c>
      <c r="BQ3022" t="s">
        <v>121</v>
      </c>
      <c r="BR3022" t="s">
        <v>84</v>
      </c>
      <c r="BS3022" s="3">
        <v>43795</v>
      </c>
      <c r="BT3022" s="5">
        <v>0.3444444444444445</v>
      </c>
      <c r="BU3022" t="s">
        <v>2991</v>
      </c>
      <c r="BV3022" t="s">
        <v>86</v>
      </c>
      <c r="BY3022">
        <v>1200</v>
      </c>
      <c r="CA3022" t="s">
        <v>698</v>
      </c>
      <c r="CC3022" t="s">
        <v>134</v>
      </c>
      <c r="CD3022">
        <v>5201</v>
      </c>
      <c r="CE3022" t="s">
        <v>147</v>
      </c>
      <c r="CF3022" s="3">
        <v>43797</v>
      </c>
      <c r="CI3022">
        <v>1</v>
      </c>
      <c r="CJ3022">
        <v>1</v>
      </c>
      <c r="CK3022">
        <v>21</v>
      </c>
      <c r="CL3022" t="s">
        <v>89</v>
      </c>
    </row>
    <row r="3023" spans="1:90">
      <c r="A3023" t="s">
        <v>72</v>
      </c>
      <c r="B3023" t="s">
        <v>73</v>
      </c>
      <c r="C3023" t="s">
        <v>74</v>
      </c>
      <c r="E3023" t="str">
        <f>"FES1162725058"</f>
        <v>FES1162725058</v>
      </c>
      <c r="F3023" s="3">
        <v>43794</v>
      </c>
      <c r="G3023">
        <v>202005</v>
      </c>
      <c r="H3023" t="s">
        <v>75</v>
      </c>
      <c r="I3023" t="s">
        <v>76</v>
      </c>
      <c r="J3023" t="s">
        <v>77</v>
      </c>
      <c r="K3023" t="s">
        <v>78</v>
      </c>
      <c r="L3023" t="s">
        <v>176</v>
      </c>
      <c r="M3023" t="s">
        <v>177</v>
      </c>
      <c r="N3023" t="s">
        <v>600</v>
      </c>
      <c r="O3023" t="s">
        <v>82</v>
      </c>
      <c r="P3023" t="str">
        <f>"2170718794                    "</f>
        <v xml:space="preserve">2170718794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8.58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 s="4">
        <v>50.45</v>
      </c>
      <c r="BM3023" s="4">
        <v>7.57</v>
      </c>
      <c r="BN3023" s="4">
        <v>58.02</v>
      </c>
      <c r="BO3023" s="4">
        <v>58.02</v>
      </c>
      <c r="BQ3023" t="s">
        <v>109</v>
      </c>
      <c r="BR3023" t="s">
        <v>84</v>
      </c>
      <c r="BS3023" s="3">
        <v>43795</v>
      </c>
      <c r="BT3023" s="5">
        <v>0.3125</v>
      </c>
      <c r="BU3023" t="s">
        <v>2992</v>
      </c>
      <c r="BV3023" t="s">
        <v>86</v>
      </c>
      <c r="BY3023">
        <v>1200</v>
      </c>
      <c r="CA3023" t="s">
        <v>224</v>
      </c>
      <c r="CC3023" t="s">
        <v>177</v>
      </c>
      <c r="CD3023">
        <v>3610</v>
      </c>
      <c r="CE3023" t="s">
        <v>147</v>
      </c>
      <c r="CF3023" s="3">
        <v>43796</v>
      </c>
      <c r="CI3023">
        <v>1</v>
      </c>
      <c r="CJ3023">
        <v>1</v>
      </c>
      <c r="CK3023">
        <v>21</v>
      </c>
      <c r="CL3023" t="s">
        <v>89</v>
      </c>
    </row>
    <row r="3024" spans="1:90">
      <c r="A3024" t="s">
        <v>72</v>
      </c>
      <c r="B3024" t="s">
        <v>73</v>
      </c>
      <c r="C3024" t="s">
        <v>74</v>
      </c>
      <c r="E3024" t="str">
        <f>"FES1162724828"</f>
        <v>FES1162724828</v>
      </c>
      <c r="F3024" s="3">
        <v>43794</v>
      </c>
      <c r="G3024">
        <v>202005</v>
      </c>
      <c r="H3024" t="s">
        <v>75</v>
      </c>
      <c r="I3024" t="s">
        <v>76</v>
      </c>
      <c r="J3024" t="s">
        <v>77</v>
      </c>
      <c r="K3024" t="s">
        <v>78</v>
      </c>
      <c r="L3024" t="s">
        <v>90</v>
      </c>
      <c r="M3024" t="s">
        <v>91</v>
      </c>
      <c r="N3024" t="s">
        <v>218</v>
      </c>
      <c r="O3024" t="s">
        <v>82</v>
      </c>
      <c r="P3024" t="str">
        <f>"2170716709                    "</f>
        <v xml:space="preserve">2170716709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12.87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2.9</v>
      </c>
      <c r="BJ3024">
        <v>1.1000000000000001</v>
      </c>
      <c r="BK3024">
        <v>3</v>
      </c>
      <c r="BL3024" s="4">
        <v>75.66</v>
      </c>
      <c r="BM3024" s="4">
        <v>11.35</v>
      </c>
      <c r="BN3024" s="4">
        <v>87.01</v>
      </c>
      <c r="BO3024" s="4">
        <v>87.01</v>
      </c>
      <c r="BR3024" t="s">
        <v>84</v>
      </c>
      <c r="BS3024" s="3">
        <v>43795</v>
      </c>
      <c r="BT3024" s="5">
        <v>0.31736111111111115</v>
      </c>
      <c r="BU3024" t="s">
        <v>1406</v>
      </c>
      <c r="BV3024" t="s">
        <v>86</v>
      </c>
      <c r="BY3024">
        <v>5564.16</v>
      </c>
      <c r="CA3024" t="s">
        <v>221</v>
      </c>
      <c r="CC3024" t="s">
        <v>91</v>
      </c>
      <c r="CD3024">
        <v>8001</v>
      </c>
      <c r="CE3024" t="s">
        <v>88</v>
      </c>
      <c r="CF3024" s="3">
        <v>43796</v>
      </c>
      <c r="CI3024">
        <v>1</v>
      </c>
      <c r="CJ3024">
        <v>1</v>
      </c>
      <c r="CK3024">
        <v>21</v>
      </c>
      <c r="CL3024" t="s">
        <v>89</v>
      </c>
    </row>
    <row r="3025" spans="1:90">
      <c r="A3025" t="s">
        <v>72</v>
      </c>
      <c r="B3025" t="s">
        <v>73</v>
      </c>
      <c r="C3025" t="s">
        <v>74</v>
      </c>
      <c r="E3025" t="str">
        <f>"FES1162725054"</f>
        <v>FES1162725054</v>
      </c>
      <c r="F3025" s="3">
        <v>43794</v>
      </c>
      <c r="G3025">
        <v>202005</v>
      </c>
      <c r="H3025" t="s">
        <v>75</v>
      </c>
      <c r="I3025" t="s">
        <v>76</v>
      </c>
      <c r="J3025" t="s">
        <v>77</v>
      </c>
      <c r="K3025" t="s">
        <v>78</v>
      </c>
      <c r="L3025" t="s">
        <v>124</v>
      </c>
      <c r="M3025" t="s">
        <v>125</v>
      </c>
      <c r="N3025" t="s">
        <v>2993</v>
      </c>
      <c r="O3025" t="s">
        <v>82</v>
      </c>
      <c r="P3025" t="str">
        <f>"2170718373                    "</f>
        <v xml:space="preserve">2170718373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7.51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2.4</v>
      </c>
      <c r="BJ3025">
        <v>1.6</v>
      </c>
      <c r="BK3025">
        <v>2.5</v>
      </c>
      <c r="BL3025" s="4">
        <v>44.14</v>
      </c>
      <c r="BM3025" s="4">
        <v>6.62</v>
      </c>
      <c r="BN3025" s="4">
        <v>50.76</v>
      </c>
      <c r="BO3025" s="4">
        <v>50.76</v>
      </c>
      <c r="BR3025" t="s">
        <v>84</v>
      </c>
      <c r="BS3025" s="3">
        <v>43795</v>
      </c>
      <c r="BT3025" s="5">
        <v>0.33333333333333331</v>
      </c>
      <c r="BU3025" t="s">
        <v>2994</v>
      </c>
      <c r="BV3025" t="s">
        <v>86</v>
      </c>
      <c r="BY3025">
        <v>7795.04</v>
      </c>
      <c r="CA3025" t="s">
        <v>1494</v>
      </c>
      <c r="CC3025" t="s">
        <v>125</v>
      </c>
      <c r="CD3025">
        <v>2192</v>
      </c>
      <c r="CE3025" t="s">
        <v>1598</v>
      </c>
      <c r="CF3025" s="3">
        <v>43796</v>
      </c>
      <c r="CI3025">
        <v>1</v>
      </c>
      <c r="CJ3025">
        <v>1</v>
      </c>
      <c r="CK3025">
        <v>22</v>
      </c>
      <c r="CL3025" t="s">
        <v>89</v>
      </c>
    </row>
    <row r="3026" spans="1:90">
      <c r="A3026" t="s">
        <v>72</v>
      </c>
      <c r="B3026" t="s">
        <v>73</v>
      </c>
      <c r="C3026" t="s">
        <v>74</v>
      </c>
      <c r="E3026" t="str">
        <f>"FES1162724954"</f>
        <v>FES1162724954</v>
      </c>
      <c r="F3026" s="3">
        <v>43794</v>
      </c>
      <c r="G3026">
        <v>202005</v>
      </c>
      <c r="H3026" t="s">
        <v>75</v>
      </c>
      <c r="I3026" t="s">
        <v>76</v>
      </c>
      <c r="J3026" t="s">
        <v>77</v>
      </c>
      <c r="K3026" t="s">
        <v>78</v>
      </c>
      <c r="L3026" t="s">
        <v>344</v>
      </c>
      <c r="M3026" t="s">
        <v>345</v>
      </c>
      <c r="N3026" t="s">
        <v>550</v>
      </c>
      <c r="O3026" t="s">
        <v>82</v>
      </c>
      <c r="P3026" t="str">
        <f>"2170718641                    "</f>
        <v xml:space="preserve">2170718641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6.71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1.9</v>
      </c>
      <c r="BJ3026">
        <v>1.2</v>
      </c>
      <c r="BK3026">
        <v>2</v>
      </c>
      <c r="BL3026" s="4">
        <v>39.42</v>
      </c>
      <c r="BM3026" s="4">
        <v>5.91</v>
      </c>
      <c r="BN3026" s="4">
        <v>45.33</v>
      </c>
      <c r="BO3026" s="4">
        <v>45.33</v>
      </c>
      <c r="BQ3026" t="s">
        <v>109</v>
      </c>
      <c r="BR3026" t="s">
        <v>84</v>
      </c>
      <c r="BS3026" s="3">
        <v>43795</v>
      </c>
      <c r="BT3026" s="5">
        <v>0.40763888888888888</v>
      </c>
      <c r="BU3026" t="s">
        <v>1163</v>
      </c>
      <c r="BV3026" t="s">
        <v>86</v>
      </c>
      <c r="BY3026">
        <v>6126.12</v>
      </c>
      <c r="CA3026" t="s">
        <v>348</v>
      </c>
      <c r="CC3026" t="s">
        <v>345</v>
      </c>
      <c r="CD3026">
        <v>2163</v>
      </c>
      <c r="CE3026" t="s">
        <v>88</v>
      </c>
      <c r="CF3026" s="3">
        <v>43796</v>
      </c>
      <c r="CI3026">
        <v>1</v>
      </c>
      <c r="CJ3026">
        <v>1</v>
      </c>
      <c r="CK3026">
        <v>22</v>
      </c>
      <c r="CL3026" t="s">
        <v>89</v>
      </c>
    </row>
    <row r="3027" spans="1:90">
      <c r="A3027" t="s">
        <v>72</v>
      </c>
      <c r="B3027" t="s">
        <v>73</v>
      </c>
      <c r="C3027" t="s">
        <v>74</v>
      </c>
      <c r="E3027" t="str">
        <f>"FES1162724806"</f>
        <v>FES1162724806</v>
      </c>
      <c r="F3027" s="3">
        <v>43794</v>
      </c>
      <c r="G3027">
        <v>202005</v>
      </c>
      <c r="H3027" t="s">
        <v>75</v>
      </c>
      <c r="I3027" t="s">
        <v>76</v>
      </c>
      <c r="J3027" t="s">
        <v>77</v>
      </c>
      <c r="K3027" t="s">
        <v>78</v>
      </c>
      <c r="L3027" t="s">
        <v>133</v>
      </c>
      <c r="M3027" t="s">
        <v>134</v>
      </c>
      <c r="N3027" t="s">
        <v>1694</v>
      </c>
      <c r="O3027" t="s">
        <v>82</v>
      </c>
      <c r="P3027" t="str">
        <f>"2170716553                    "</f>
        <v xml:space="preserve">2170716553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8.58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 s="4">
        <v>50.45</v>
      </c>
      <c r="BM3027" s="4">
        <v>7.57</v>
      </c>
      <c r="BN3027" s="4">
        <v>58.02</v>
      </c>
      <c r="BO3027" s="4">
        <v>58.02</v>
      </c>
      <c r="BQ3027" t="s">
        <v>121</v>
      </c>
      <c r="BR3027" t="s">
        <v>84</v>
      </c>
      <c r="BS3027" s="3">
        <v>43795</v>
      </c>
      <c r="BT3027" s="5">
        <v>0.3576388888888889</v>
      </c>
      <c r="BU3027" t="s">
        <v>2995</v>
      </c>
      <c r="BV3027" t="s">
        <v>86</v>
      </c>
      <c r="BY3027">
        <v>1200</v>
      </c>
      <c r="CA3027" t="s">
        <v>698</v>
      </c>
      <c r="CC3027" t="s">
        <v>134</v>
      </c>
      <c r="CD3027">
        <v>5201</v>
      </c>
      <c r="CE3027" t="s">
        <v>147</v>
      </c>
      <c r="CF3027" s="3">
        <v>43797</v>
      </c>
      <c r="CI3027">
        <v>1</v>
      </c>
      <c r="CJ3027">
        <v>1</v>
      </c>
      <c r="CK3027">
        <v>21</v>
      </c>
      <c r="CL3027" t="s">
        <v>89</v>
      </c>
    </row>
    <row r="3028" spans="1:90">
      <c r="A3028" t="s">
        <v>72</v>
      </c>
      <c r="B3028" t="s">
        <v>73</v>
      </c>
      <c r="C3028" t="s">
        <v>74</v>
      </c>
      <c r="E3028" t="str">
        <f>"FES1162724794"</f>
        <v>FES1162724794</v>
      </c>
      <c r="F3028" s="3">
        <v>43794</v>
      </c>
      <c r="G3028">
        <v>202005</v>
      </c>
      <c r="H3028" t="s">
        <v>75</v>
      </c>
      <c r="I3028" t="s">
        <v>76</v>
      </c>
      <c r="J3028" t="s">
        <v>77</v>
      </c>
      <c r="K3028" t="s">
        <v>78</v>
      </c>
      <c r="L3028" t="s">
        <v>90</v>
      </c>
      <c r="M3028" t="s">
        <v>91</v>
      </c>
      <c r="N3028" t="s">
        <v>675</v>
      </c>
      <c r="O3028" t="s">
        <v>82</v>
      </c>
      <c r="P3028" t="str">
        <f>"2170716470                    "</f>
        <v xml:space="preserve">2170716470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8.58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 s="4">
        <v>50.45</v>
      </c>
      <c r="BM3028" s="4">
        <v>7.57</v>
      </c>
      <c r="BN3028" s="4">
        <v>58.02</v>
      </c>
      <c r="BO3028" s="4">
        <v>58.02</v>
      </c>
      <c r="BQ3028" t="s">
        <v>109</v>
      </c>
      <c r="BR3028" t="s">
        <v>84</v>
      </c>
      <c r="BS3028" s="3">
        <v>43795</v>
      </c>
      <c r="BT3028" s="5">
        <v>0.3611111111111111</v>
      </c>
      <c r="BU3028" t="s">
        <v>2996</v>
      </c>
      <c r="BV3028" t="s">
        <v>86</v>
      </c>
      <c r="BY3028">
        <v>1200</v>
      </c>
      <c r="CA3028" t="s">
        <v>1281</v>
      </c>
      <c r="CC3028" t="s">
        <v>91</v>
      </c>
      <c r="CD3028">
        <v>7945</v>
      </c>
      <c r="CE3028" t="s">
        <v>147</v>
      </c>
      <c r="CF3028" s="3">
        <v>43796</v>
      </c>
      <c r="CI3028">
        <v>1</v>
      </c>
      <c r="CJ3028">
        <v>1</v>
      </c>
      <c r="CK3028">
        <v>21</v>
      </c>
      <c r="CL3028" t="s">
        <v>89</v>
      </c>
    </row>
    <row r="3029" spans="1:90">
      <c r="A3029" t="s">
        <v>72</v>
      </c>
      <c r="B3029" t="s">
        <v>73</v>
      </c>
      <c r="C3029" t="s">
        <v>74</v>
      </c>
      <c r="E3029" t="str">
        <f>"FES1162724788"</f>
        <v>FES1162724788</v>
      </c>
      <c r="F3029" s="3">
        <v>43794</v>
      </c>
      <c r="G3029">
        <v>202005</v>
      </c>
      <c r="H3029" t="s">
        <v>75</v>
      </c>
      <c r="I3029" t="s">
        <v>76</v>
      </c>
      <c r="J3029" t="s">
        <v>77</v>
      </c>
      <c r="K3029" t="s">
        <v>78</v>
      </c>
      <c r="L3029" t="s">
        <v>75</v>
      </c>
      <c r="M3029" t="s">
        <v>76</v>
      </c>
      <c r="N3029" t="s">
        <v>989</v>
      </c>
      <c r="O3029" t="s">
        <v>82</v>
      </c>
      <c r="P3029" t="str">
        <f>"2170716425                    "</f>
        <v xml:space="preserve">2170716425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6.71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 s="4">
        <v>39.42</v>
      </c>
      <c r="BM3029" s="4">
        <v>5.91</v>
      </c>
      <c r="BN3029" s="4">
        <v>45.33</v>
      </c>
      <c r="BO3029" s="4">
        <v>45.33</v>
      </c>
      <c r="BQ3029" t="s">
        <v>121</v>
      </c>
      <c r="BR3029" t="s">
        <v>84</v>
      </c>
      <c r="BS3029" s="3">
        <v>43795</v>
      </c>
      <c r="BT3029" s="5">
        <v>0.3298611111111111</v>
      </c>
      <c r="BU3029" t="s">
        <v>1340</v>
      </c>
      <c r="BV3029" t="s">
        <v>86</v>
      </c>
      <c r="BY3029">
        <v>1200</v>
      </c>
      <c r="CA3029" t="s">
        <v>368</v>
      </c>
      <c r="CC3029" t="s">
        <v>76</v>
      </c>
      <c r="CD3029">
        <v>1600</v>
      </c>
      <c r="CE3029" t="s">
        <v>147</v>
      </c>
      <c r="CF3029" s="3">
        <v>43796</v>
      </c>
      <c r="CI3029">
        <v>1</v>
      </c>
      <c r="CJ3029">
        <v>1</v>
      </c>
      <c r="CK3029">
        <v>22</v>
      </c>
      <c r="CL3029" t="s">
        <v>89</v>
      </c>
    </row>
    <row r="3030" spans="1:90">
      <c r="A3030" t="s">
        <v>72</v>
      </c>
      <c r="B3030" t="s">
        <v>73</v>
      </c>
      <c r="C3030" t="s">
        <v>74</v>
      </c>
      <c r="E3030" t="str">
        <f>"FES1162724814"</f>
        <v>FES1162724814</v>
      </c>
      <c r="F3030" s="3">
        <v>43794</v>
      </c>
      <c r="G3030">
        <v>202005</v>
      </c>
      <c r="H3030" t="s">
        <v>75</v>
      </c>
      <c r="I3030" t="s">
        <v>76</v>
      </c>
      <c r="J3030" t="s">
        <v>77</v>
      </c>
      <c r="K3030" t="s">
        <v>78</v>
      </c>
      <c r="L3030" t="s">
        <v>118</v>
      </c>
      <c r="M3030" t="s">
        <v>119</v>
      </c>
      <c r="N3030" t="s">
        <v>248</v>
      </c>
      <c r="O3030" t="s">
        <v>82</v>
      </c>
      <c r="P3030" t="str">
        <f>"2170716619                    "</f>
        <v xml:space="preserve">2170716619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8.58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 s="4">
        <v>50.45</v>
      </c>
      <c r="BM3030" s="4">
        <v>7.57</v>
      </c>
      <c r="BN3030" s="4">
        <v>58.02</v>
      </c>
      <c r="BO3030" s="4">
        <v>58.02</v>
      </c>
      <c r="BQ3030" t="s">
        <v>121</v>
      </c>
      <c r="BR3030" t="s">
        <v>84</v>
      </c>
      <c r="BS3030" s="3">
        <v>43795</v>
      </c>
      <c r="BT3030" s="5">
        <v>0.37152777777777773</v>
      </c>
      <c r="BU3030" t="s">
        <v>2338</v>
      </c>
      <c r="BV3030" t="s">
        <v>86</v>
      </c>
      <c r="BY3030">
        <v>1200</v>
      </c>
      <c r="CA3030" t="s">
        <v>435</v>
      </c>
      <c r="CC3030" t="s">
        <v>119</v>
      </c>
      <c r="CD3030">
        <v>3212</v>
      </c>
      <c r="CE3030" t="s">
        <v>147</v>
      </c>
      <c r="CF3030" s="3">
        <v>43796</v>
      </c>
      <c r="CI3030">
        <v>1</v>
      </c>
      <c r="CJ3030">
        <v>1</v>
      </c>
      <c r="CK3030">
        <v>21</v>
      </c>
      <c r="CL3030" t="s">
        <v>89</v>
      </c>
    </row>
    <row r="3031" spans="1:90">
      <c r="A3031" t="s">
        <v>72</v>
      </c>
      <c r="B3031" t="s">
        <v>73</v>
      </c>
      <c r="C3031" t="s">
        <v>74</v>
      </c>
      <c r="E3031" t="str">
        <f>"FES1162724863"</f>
        <v>FES1162724863</v>
      </c>
      <c r="F3031" s="3">
        <v>43794</v>
      </c>
      <c r="G3031">
        <v>202005</v>
      </c>
      <c r="H3031" t="s">
        <v>75</v>
      </c>
      <c r="I3031" t="s">
        <v>76</v>
      </c>
      <c r="J3031" t="s">
        <v>77</v>
      </c>
      <c r="K3031" t="s">
        <v>78</v>
      </c>
      <c r="L3031" t="s">
        <v>106</v>
      </c>
      <c r="M3031" t="s">
        <v>107</v>
      </c>
      <c r="N3031" t="s">
        <v>700</v>
      </c>
      <c r="O3031" t="s">
        <v>82</v>
      </c>
      <c r="P3031" t="str">
        <f>"2170717522                    "</f>
        <v xml:space="preserve">2170717522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8.58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 s="4">
        <v>50.45</v>
      </c>
      <c r="BM3031" s="4">
        <v>7.57</v>
      </c>
      <c r="BN3031" s="4">
        <v>58.02</v>
      </c>
      <c r="BO3031" s="4">
        <v>58.02</v>
      </c>
      <c r="BQ3031" t="s">
        <v>109</v>
      </c>
      <c r="BR3031" t="s">
        <v>84</v>
      </c>
      <c r="BS3031" s="3">
        <v>43795</v>
      </c>
      <c r="BT3031" s="5">
        <v>0.34375</v>
      </c>
      <c r="BU3031" t="s">
        <v>564</v>
      </c>
      <c r="BV3031" t="s">
        <v>86</v>
      </c>
      <c r="BY3031">
        <v>1200</v>
      </c>
      <c r="CA3031" t="s">
        <v>773</v>
      </c>
      <c r="CC3031" t="s">
        <v>107</v>
      </c>
      <c r="CD3031">
        <v>6001</v>
      </c>
      <c r="CE3031" t="s">
        <v>147</v>
      </c>
      <c r="CF3031" s="3">
        <v>43796</v>
      </c>
      <c r="CI3031">
        <v>1</v>
      </c>
      <c r="CJ3031">
        <v>1</v>
      </c>
      <c r="CK3031">
        <v>21</v>
      </c>
      <c r="CL3031" t="s">
        <v>89</v>
      </c>
    </row>
    <row r="3032" spans="1:90">
      <c r="A3032" t="s">
        <v>72</v>
      </c>
      <c r="B3032" t="s">
        <v>73</v>
      </c>
      <c r="C3032" t="s">
        <v>74</v>
      </c>
      <c r="E3032" t="str">
        <f>"FES1162724956"</f>
        <v>FES1162724956</v>
      </c>
      <c r="F3032" s="3">
        <v>43794</v>
      </c>
      <c r="G3032">
        <v>202005</v>
      </c>
      <c r="H3032" t="s">
        <v>75</v>
      </c>
      <c r="I3032" t="s">
        <v>76</v>
      </c>
      <c r="J3032" t="s">
        <v>77</v>
      </c>
      <c r="K3032" t="s">
        <v>78</v>
      </c>
      <c r="L3032" t="s">
        <v>106</v>
      </c>
      <c r="M3032" t="s">
        <v>107</v>
      </c>
      <c r="N3032" t="s">
        <v>574</v>
      </c>
      <c r="O3032" t="s">
        <v>82</v>
      </c>
      <c r="P3032" t="str">
        <f>"2170718647                    "</f>
        <v xml:space="preserve">2170718647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8.58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 s="4">
        <v>50.45</v>
      </c>
      <c r="BM3032" s="4">
        <v>7.57</v>
      </c>
      <c r="BN3032" s="4">
        <v>58.02</v>
      </c>
      <c r="BO3032" s="4">
        <v>58.02</v>
      </c>
      <c r="BQ3032" t="s">
        <v>142</v>
      </c>
      <c r="BR3032" t="s">
        <v>84</v>
      </c>
      <c r="BS3032" s="3">
        <v>43795</v>
      </c>
      <c r="BT3032" s="5">
        <v>0.43472222222222223</v>
      </c>
      <c r="BU3032" t="s">
        <v>2969</v>
      </c>
      <c r="BV3032" t="s">
        <v>86</v>
      </c>
      <c r="BY3032">
        <v>1200</v>
      </c>
      <c r="CA3032" t="s">
        <v>773</v>
      </c>
      <c r="CC3032" t="s">
        <v>107</v>
      </c>
      <c r="CD3032">
        <v>6012</v>
      </c>
      <c r="CE3032" t="s">
        <v>147</v>
      </c>
      <c r="CF3032" s="3">
        <v>43796</v>
      </c>
      <c r="CI3032">
        <v>1</v>
      </c>
      <c r="CJ3032">
        <v>1</v>
      </c>
      <c r="CK3032">
        <v>21</v>
      </c>
      <c r="CL3032" t="s">
        <v>89</v>
      </c>
    </row>
    <row r="3033" spans="1:90">
      <c r="A3033" t="s">
        <v>72</v>
      </c>
      <c r="B3033" t="s">
        <v>73</v>
      </c>
      <c r="C3033" t="s">
        <v>74</v>
      </c>
      <c r="E3033" t="str">
        <f>"FES1162724406"</f>
        <v>FES1162724406</v>
      </c>
      <c r="F3033" s="3">
        <v>43794</v>
      </c>
      <c r="G3033">
        <v>202005</v>
      </c>
      <c r="H3033" t="s">
        <v>75</v>
      </c>
      <c r="I3033" t="s">
        <v>76</v>
      </c>
      <c r="J3033" t="s">
        <v>77</v>
      </c>
      <c r="K3033" t="s">
        <v>78</v>
      </c>
      <c r="L3033" t="s">
        <v>482</v>
      </c>
      <c r="M3033" t="s">
        <v>483</v>
      </c>
      <c r="N3033" t="s">
        <v>1054</v>
      </c>
      <c r="O3033" t="s">
        <v>82</v>
      </c>
      <c r="P3033" t="str">
        <f>"2170716328                    "</f>
        <v xml:space="preserve">2170716328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6.71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 s="4">
        <v>39.42</v>
      </c>
      <c r="BM3033" s="4">
        <v>5.91</v>
      </c>
      <c r="BN3033" s="4">
        <v>45.33</v>
      </c>
      <c r="BO3033" s="4">
        <v>45.33</v>
      </c>
      <c r="BQ3033" t="s">
        <v>109</v>
      </c>
      <c r="BR3033" t="s">
        <v>84</v>
      </c>
      <c r="BS3033" s="3">
        <v>43795</v>
      </c>
      <c r="BT3033" s="5">
        <v>0.3444444444444445</v>
      </c>
      <c r="BU3033" t="s">
        <v>2997</v>
      </c>
      <c r="BV3033" t="s">
        <v>86</v>
      </c>
      <c r="BY3033">
        <v>1200</v>
      </c>
      <c r="CA3033" t="s">
        <v>486</v>
      </c>
      <c r="CC3033" t="s">
        <v>483</v>
      </c>
      <c r="CD3033">
        <v>1459</v>
      </c>
      <c r="CE3033" t="s">
        <v>147</v>
      </c>
      <c r="CF3033" s="3">
        <v>43796</v>
      </c>
      <c r="CI3033">
        <v>1</v>
      </c>
      <c r="CJ3033">
        <v>1</v>
      </c>
      <c r="CK3033">
        <v>22</v>
      </c>
      <c r="CL3033" t="s">
        <v>89</v>
      </c>
    </row>
    <row r="3034" spans="1:90">
      <c r="A3034" t="s">
        <v>72</v>
      </c>
      <c r="B3034" t="s">
        <v>73</v>
      </c>
      <c r="C3034" t="s">
        <v>74</v>
      </c>
      <c r="E3034" t="str">
        <f>"FES1162724775"</f>
        <v>FES1162724775</v>
      </c>
      <c r="F3034" s="3">
        <v>43794</v>
      </c>
      <c r="G3034">
        <v>202005</v>
      </c>
      <c r="H3034" t="s">
        <v>75</v>
      </c>
      <c r="I3034" t="s">
        <v>76</v>
      </c>
      <c r="J3034" t="s">
        <v>77</v>
      </c>
      <c r="K3034" t="s">
        <v>78</v>
      </c>
      <c r="L3034" t="s">
        <v>482</v>
      </c>
      <c r="M3034" t="s">
        <v>483</v>
      </c>
      <c r="N3034" t="s">
        <v>544</v>
      </c>
      <c r="O3034" t="s">
        <v>82</v>
      </c>
      <c r="P3034" t="str">
        <f>"2170714900                    "</f>
        <v xml:space="preserve">2170714900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6.71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 s="4">
        <v>39.42</v>
      </c>
      <c r="BM3034" s="4">
        <v>5.91</v>
      </c>
      <c r="BN3034" s="4">
        <v>45.33</v>
      </c>
      <c r="BO3034" s="4">
        <v>45.33</v>
      </c>
      <c r="BQ3034" t="s">
        <v>545</v>
      </c>
      <c r="BR3034" t="s">
        <v>84</v>
      </c>
      <c r="BS3034" s="3">
        <v>43795</v>
      </c>
      <c r="BT3034" s="5">
        <v>0.4236111111111111</v>
      </c>
      <c r="BU3034" t="s">
        <v>231</v>
      </c>
      <c r="BV3034" t="s">
        <v>86</v>
      </c>
      <c r="BY3034">
        <v>1200</v>
      </c>
      <c r="CC3034" t="s">
        <v>483</v>
      </c>
      <c r="CD3034">
        <v>1459</v>
      </c>
      <c r="CE3034" t="s">
        <v>147</v>
      </c>
      <c r="CF3034" s="3">
        <v>43796</v>
      </c>
      <c r="CI3034">
        <v>1</v>
      </c>
      <c r="CJ3034">
        <v>1</v>
      </c>
      <c r="CK3034">
        <v>22</v>
      </c>
      <c r="CL3034" t="s">
        <v>89</v>
      </c>
    </row>
    <row r="3035" spans="1:90">
      <c r="A3035" t="s">
        <v>72</v>
      </c>
      <c r="B3035" t="s">
        <v>73</v>
      </c>
      <c r="C3035" t="s">
        <v>74</v>
      </c>
      <c r="E3035" t="str">
        <f>"FES1162724914"</f>
        <v>FES1162724914</v>
      </c>
      <c r="F3035" s="3">
        <v>43794</v>
      </c>
      <c r="G3035">
        <v>202005</v>
      </c>
      <c r="H3035" t="s">
        <v>75</v>
      </c>
      <c r="I3035" t="s">
        <v>76</v>
      </c>
      <c r="J3035" t="s">
        <v>77</v>
      </c>
      <c r="K3035" t="s">
        <v>78</v>
      </c>
      <c r="L3035" t="s">
        <v>202</v>
      </c>
      <c r="M3035" t="s">
        <v>203</v>
      </c>
      <c r="N3035" t="s">
        <v>479</v>
      </c>
      <c r="O3035" t="s">
        <v>82</v>
      </c>
      <c r="P3035" t="str">
        <f>"2170717807                    "</f>
        <v xml:space="preserve">2170717807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6.71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 s="4">
        <v>39.42</v>
      </c>
      <c r="BM3035" s="4">
        <v>5.91</v>
      </c>
      <c r="BN3035" s="4">
        <v>45.33</v>
      </c>
      <c r="BO3035" s="4">
        <v>45.33</v>
      </c>
      <c r="BQ3035" t="s">
        <v>142</v>
      </c>
      <c r="BR3035" t="s">
        <v>84</v>
      </c>
      <c r="BS3035" s="3">
        <v>43795</v>
      </c>
      <c r="BT3035" s="5">
        <v>0.43611111111111112</v>
      </c>
      <c r="BU3035" t="s">
        <v>2884</v>
      </c>
      <c r="BV3035" t="s">
        <v>86</v>
      </c>
      <c r="BY3035">
        <v>1200</v>
      </c>
      <c r="CA3035" t="s">
        <v>1181</v>
      </c>
      <c r="CC3035" t="s">
        <v>203</v>
      </c>
      <c r="CD3035">
        <v>1401</v>
      </c>
      <c r="CE3035" t="s">
        <v>147</v>
      </c>
      <c r="CF3035" s="3">
        <v>43796</v>
      </c>
      <c r="CI3035">
        <v>1</v>
      </c>
      <c r="CJ3035">
        <v>1</v>
      </c>
      <c r="CK3035">
        <v>22</v>
      </c>
      <c r="CL3035" t="s">
        <v>89</v>
      </c>
    </row>
    <row r="3036" spans="1:90">
      <c r="A3036" t="s">
        <v>72</v>
      </c>
      <c r="B3036" t="s">
        <v>73</v>
      </c>
      <c r="C3036" t="s">
        <v>74</v>
      </c>
      <c r="E3036" t="str">
        <f>"FES1162724930"</f>
        <v>FES1162724930</v>
      </c>
      <c r="F3036" s="3">
        <v>43794</v>
      </c>
      <c r="G3036">
        <v>202005</v>
      </c>
      <c r="H3036" t="s">
        <v>75</v>
      </c>
      <c r="I3036" t="s">
        <v>76</v>
      </c>
      <c r="J3036" t="s">
        <v>77</v>
      </c>
      <c r="K3036" t="s">
        <v>78</v>
      </c>
      <c r="L3036" t="s">
        <v>124</v>
      </c>
      <c r="M3036" t="s">
        <v>125</v>
      </c>
      <c r="N3036" t="s">
        <v>218</v>
      </c>
      <c r="O3036" t="s">
        <v>82</v>
      </c>
      <c r="P3036" t="str">
        <f>"2170718609                    "</f>
        <v xml:space="preserve">2170718609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6.71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 s="4">
        <v>39.42</v>
      </c>
      <c r="BM3036" s="4">
        <v>5.91</v>
      </c>
      <c r="BN3036" s="4">
        <v>45.33</v>
      </c>
      <c r="BO3036" s="4">
        <v>45.33</v>
      </c>
      <c r="BQ3036" t="s">
        <v>121</v>
      </c>
      <c r="BR3036" t="s">
        <v>84</v>
      </c>
      <c r="BS3036" s="3">
        <v>43795</v>
      </c>
      <c r="BT3036" s="5">
        <v>0.37222222222222223</v>
      </c>
      <c r="BU3036" t="s">
        <v>1659</v>
      </c>
      <c r="BV3036" t="s">
        <v>86</v>
      </c>
      <c r="BY3036">
        <v>1200</v>
      </c>
      <c r="CC3036" t="s">
        <v>125</v>
      </c>
      <c r="CD3036">
        <v>2094</v>
      </c>
      <c r="CE3036" t="s">
        <v>147</v>
      </c>
      <c r="CF3036" s="3">
        <v>43796</v>
      </c>
      <c r="CI3036">
        <v>1</v>
      </c>
      <c r="CJ3036">
        <v>1</v>
      </c>
      <c r="CK3036">
        <v>22</v>
      </c>
      <c r="CL3036" t="s">
        <v>89</v>
      </c>
    </row>
    <row r="3037" spans="1:90">
      <c r="A3037" t="s">
        <v>72</v>
      </c>
      <c r="B3037" t="s">
        <v>73</v>
      </c>
      <c r="C3037" t="s">
        <v>74</v>
      </c>
      <c r="E3037" t="str">
        <f>"FES1162724886"</f>
        <v>FES1162724886</v>
      </c>
      <c r="F3037" s="3">
        <v>43794</v>
      </c>
      <c r="G3037">
        <v>202005</v>
      </c>
      <c r="H3037" t="s">
        <v>75</v>
      </c>
      <c r="I3037" t="s">
        <v>76</v>
      </c>
      <c r="J3037" t="s">
        <v>77</v>
      </c>
      <c r="K3037" t="s">
        <v>78</v>
      </c>
      <c r="L3037" t="s">
        <v>75</v>
      </c>
      <c r="M3037" t="s">
        <v>76</v>
      </c>
      <c r="N3037" t="s">
        <v>516</v>
      </c>
      <c r="O3037" t="s">
        <v>82</v>
      </c>
      <c r="P3037" t="str">
        <f>"2170718308                    "</f>
        <v xml:space="preserve">2170718308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6.71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 s="4">
        <v>39.42</v>
      </c>
      <c r="BM3037" s="4">
        <v>5.91</v>
      </c>
      <c r="BN3037" s="4">
        <v>45.33</v>
      </c>
      <c r="BO3037" s="4">
        <v>45.33</v>
      </c>
      <c r="BQ3037" t="s">
        <v>109</v>
      </c>
      <c r="BR3037" t="s">
        <v>84</v>
      </c>
      <c r="BS3037" s="3">
        <v>43795</v>
      </c>
      <c r="BT3037" s="5">
        <v>0.34027777777777773</v>
      </c>
      <c r="BU3037" t="s">
        <v>2998</v>
      </c>
      <c r="BV3037" t="s">
        <v>86</v>
      </c>
      <c r="BY3037">
        <v>1200</v>
      </c>
      <c r="CA3037" t="s">
        <v>2334</v>
      </c>
      <c r="CC3037" t="s">
        <v>76</v>
      </c>
      <c r="CD3037">
        <v>1601</v>
      </c>
      <c r="CE3037" t="s">
        <v>147</v>
      </c>
      <c r="CF3037" s="3">
        <v>43796</v>
      </c>
      <c r="CI3037">
        <v>1</v>
      </c>
      <c r="CJ3037">
        <v>1</v>
      </c>
      <c r="CK3037">
        <v>22</v>
      </c>
      <c r="CL3037" t="s">
        <v>89</v>
      </c>
    </row>
    <row r="3038" spans="1:90">
      <c r="A3038" t="s">
        <v>72</v>
      </c>
      <c r="B3038" t="s">
        <v>73</v>
      </c>
      <c r="C3038" t="s">
        <v>74</v>
      </c>
      <c r="E3038" t="str">
        <f>"FES1162724866"</f>
        <v>FES1162724866</v>
      </c>
      <c r="F3038" s="3">
        <v>43794</v>
      </c>
      <c r="G3038">
        <v>202005</v>
      </c>
      <c r="H3038" t="s">
        <v>75</v>
      </c>
      <c r="I3038" t="s">
        <v>76</v>
      </c>
      <c r="J3038" t="s">
        <v>77</v>
      </c>
      <c r="K3038" t="s">
        <v>78</v>
      </c>
      <c r="L3038" t="s">
        <v>90</v>
      </c>
      <c r="M3038" t="s">
        <v>91</v>
      </c>
      <c r="N3038" t="s">
        <v>393</v>
      </c>
      <c r="O3038" t="s">
        <v>82</v>
      </c>
      <c r="P3038" t="str">
        <f>"2170717683                    "</f>
        <v xml:space="preserve">2170717683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8.58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 s="4">
        <v>50.45</v>
      </c>
      <c r="BM3038" s="4">
        <v>7.57</v>
      </c>
      <c r="BN3038" s="4">
        <v>58.02</v>
      </c>
      <c r="BO3038" s="4">
        <v>58.02</v>
      </c>
      <c r="BQ3038" t="s">
        <v>1630</v>
      </c>
      <c r="BR3038" t="s">
        <v>84</v>
      </c>
      <c r="BS3038" s="3">
        <v>43795</v>
      </c>
      <c r="BT3038" s="5">
        <v>0.40416666666666662</v>
      </c>
      <c r="BU3038" t="s">
        <v>2360</v>
      </c>
      <c r="BV3038" t="s">
        <v>86</v>
      </c>
      <c r="BY3038">
        <v>1200</v>
      </c>
      <c r="CA3038" t="s">
        <v>221</v>
      </c>
      <c r="CC3038" t="s">
        <v>91</v>
      </c>
      <c r="CD3038">
        <v>7405</v>
      </c>
      <c r="CE3038" t="s">
        <v>147</v>
      </c>
      <c r="CF3038" s="3">
        <v>43796</v>
      </c>
      <c r="CI3038">
        <v>1</v>
      </c>
      <c r="CJ3038">
        <v>1</v>
      </c>
      <c r="CK3038">
        <v>21</v>
      </c>
      <c r="CL3038" t="s">
        <v>89</v>
      </c>
    </row>
    <row r="3039" spans="1:90">
      <c r="A3039" t="s">
        <v>72</v>
      </c>
      <c r="B3039" t="s">
        <v>73</v>
      </c>
      <c r="C3039" t="s">
        <v>74</v>
      </c>
      <c r="E3039" t="str">
        <f>"FES1162724847"</f>
        <v>FES1162724847</v>
      </c>
      <c r="F3039" s="3">
        <v>43794</v>
      </c>
      <c r="G3039">
        <v>202005</v>
      </c>
      <c r="H3039" t="s">
        <v>75</v>
      </c>
      <c r="I3039" t="s">
        <v>76</v>
      </c>
      <c r="J3039" t="s">
        <v>77</v>
      </c>
      <c r="K3039" t="s">
        <v>78</v>
      </c>
      <c r="L3039" t="s">
        <v>176</v>
      </c>
      <c r="M3039" t="s">
        <v>177</v>
      </c>
      <c r="N3039" t="s">
        <v>598</v>
      </c>
      <c r="O3039" t="s">
        <v>82</v>
      </c>
      <c r="P3039" t="str">
        <f>"2170716884                    "</f>
        <v xml:space="preserve">2170716884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8.58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 s="4">
        <v>50.45</v>
      </c>
      <c r="BM3039" s="4">
        <v>7.57</v>
      </c>
      <c r="BN3039" s="4">
        <v>58.02</v>
      </c>
      <c r="BO3039" s="4">
        <v>58.02</v>
      </c>
      <c r="BQ3039" t="s">
        <v>121</v>
      </c>
      <c r="BR3039" t="s">
        <v>84</v>
      </c>
      <c r="BS3039" s="3">
        <v>43795</v>
      </c>
      <c r="BT3039" s="5">
        <v>0.40625</v>
      </c>
      <c r="BU3039" t="s">
        <v>599</v>
      </c>
      <c r="BV3039" t="s">
        <v>86</v>
      </c>
      <c r="BY3039">
        <v>1200</v>
      </c>
      <c r="CA3039" t="s">
        <v>224</v>
      </c>
      <c r="CC3039" t="s">
        <v>177</v>
      </c>
      <c r="CD3039">
        <v>3610</v>
      </c>
      <c r="CE3039" t="s">
        <v>147</v>
      </c>
      <c r="CF3039" s="3">
        <v>43796</v>
      </c>
      <c r="CI3039">
        <v>1</v>
      </c>
      <c r="CJ3039">
        <v>1</v>
      </c>
      <c r="CK3039">
        <v>21</v>
      </c>
      <c r="CL3039" t="s">
        <v>89</v>
      </c>
    </row>
    <row r="3040" spans="1:90">
      <c r="A3040" t="s">
        <v>72</v>
      </c>
      <c r="B3040" t="s">
        <v>73</v>
      </c>
      <c r="C3040" t="s">
        <v>74</v>
      </c>
      <c r="E3040" t="str">
        <f>"FES1162724924"</f>
        <v>FES1162724924</v>
      </c>
      <c r="F3040" s="3">
        <v>43794</v>
      </c>
      <c r="G3040">
        <v>202005</v>
      </c>
      <c r="H3040" t="s">
        <v>75</v>
      </c>
      <c r="I3040" t="s">
        <v>76</v>
      </c>
      <c r="J3040" t="s">
        <v>77</v>
      </c>
      <c r="K3040" t="s">
        <v>78</v>
      </c>
      <c r="L3040" t="s">
        <v>90</v>
      </c>
      <c r="M3040" t="s">
        <v>91</v>
      </c>
      <c r="N3040" t="s">
        <v>2052</v>
      </c>
      <c r="O3040" t="s">
        <v>82</v>
      </c>
      <c r="P3040" t="str">
        <f>"2170718604                    "</f>
        <v xml:space="preserve">2170718604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8.58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 s="4">
        <v>50.45</v>
      </c>
      <c r="BM3040" s="4">
        <v>7.57</v>
      </c>
      <c r="BN3040" s="4">
        <v>58.02</v>
      </c>
      <c r="BO3040" s="4">
        <v>58.02</v>
      </c>
      <c r="BQ3040" t="s">
        <v>109</v>
      </c>
      <c r="BR3040" t="s">
        <v>84</v>
      </c>
      <c r="BS3040" s="3">
        <v>43795</v>
      </c>
      <c r="BT3040" s="5">
        <v>0.39444444444444443</v>
      </c>
      <c r="BU3040" t="s">
        <v>2053</v>
      </c>
      <c r="BV3040" t="s">
        <v>86</v>
      </c>
      <c r="BY3040">
        <v>1200</v>
      </c>
      <c r="CA3040" t="s">
        <v>717</v>
      </c>
      <c r="CC3040" t="s">
        <v>91</v>
      </c>
      <c r="CD3040">
        <v>7925</v>
      </c>
      <c r="CE3040" t="s">
        <v>147</v>
      </c>
      <c r="CF3040" s="3">
        <v>43796</v>
      </c>
      <c r="CI3040">
        <v>1</v>
      </c>
      <c r="CJ3040">
        <v>1</v>
      </c>
      <c r="CK3040">
        <v>21</v>
      </c>
      <c r="CL3040" t="s">
        <v>89</v>
      </c>
    </row>
    <row r="3041" spans="1:90">
      <c r="A3041" t="s">
        <v>72</v>
      </c>
      <c r="B3041" t="s">
        <v>73</v>
      </c>
      <c r="C3041" t="s">
        <v>74</v>
      </c>
      <c r="E3041" t="str">
        <f>"FES1162725028"</f>
        <v>FES1162725028</v>
      </c>
      <c r="F3041" s="3">
        <v>43794</v>
      </c>
      <c r="G3041">
        <v>202005</v>
      </c>
      <c r="H3041" t="s">
        <v>75</v>
      </c>
      <c r="I3041" t="s">
        <v>76</v>
      </c>
      <c r="J3041" t="s">
        <v>77</v>
      </c>
      <c r="K3041" t="s">
        <v>78</v>
      </c>
      <c r="L3041" t="s">
        <v>118</v>
      </c>
      <c r="M3041" t="s">
        <v>119</v>
      </c>
      <c r="N3041" t="s">
        <v>439</v>
      </c>
      <c r="O3041" t="s">
        <v>82</v>
      </c>
      <c r="P3041" t="str">
        <f>"2170717295                    "</f>
        <v xml:space="preserve">2170717295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77.2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10.1</v>
      </c>
      <c r="BJ3041">
        <v>17.600000000000001</v>
      </c>
      <c r="BK3041">
        <v>18</v>
      </c>
      <c r="BL3041" s="4">
        <v>453.79</v>
      </c>
      <c r="BM3041" s="4">
        <v>68.069999999999993</v>
      </c>
      <c r="BN3041" s="4">
        <v>521.86</v>
      </c>
      <c r="BO3041" s="4">
        <v>521.86</v>
      </c>
      <c r="BQ3041" t="s">
        <v>121</v>
      </c>
      <c r="BR3041" t="s">
        <v>84</v>
      </c>
      <c r="BS3041" s="3">
        <v>43795</v>
      </c>
      <c r="BT3041" s="5">
        <v>0.39583333333333331</v>
      </c>
      <c r="BU3041" t="s">
        <v>1192</v>
      </c>
      <c r="BV3041" t="s">
        <v>86</v>
      </c>
      <c r="BY3041">
        <v>87978.13</v>
      </c>
      <c r="CA3041" t="s">
        <v>132</v>
      </c>
      <c r="CC3041" t="s">
        <v>119</v>
      </c>
      <c r="CD3041">
        <v>3201</v>
      </c>
      <c r="CE3041" t="s">
        <v>88</v>
      </c>
      <c r="CF3041" s="3">
        <v>43796</v>
      </c>
      <c r="CI3041">
        <v>1</v>
      </c>
      <c r="CJ3041">
        <v>1</v>
      </c>
      <c r="CK3041">
        <v>21</v>
      </c>
      <c r="CL3041" t="s">
        <v>89</v>
      </c>
    </row>
    <row r="3042" spans="1:90">
      <c r="A3042" t="s">
        <v>72</v>
      </c>
      <c r="B3042" t="s">
        <v>73</v>
      </c>
      <c r="C3042" t="s">
        <v>74</v>
      </c>
      <c r="E3042" t="str">
        <f>"FES1162724781"</f>
        <v>FES1162724781</v>
      </c>
      <c r="F3042" s="3">
        <v>43794</v>
      </c>
      <c r="G3042">
        <v>202005</v>
      </c>
      <c r="H3042" t="s">
        <v>75</v>
      </c>
      <c r="I3042" t="s">
        <v>76</v>
      </c>
      <c r="J3042" t="s">
        <v>77</v>
      </c>
      <c r="K3042" t="s">
        <v>78</v>
      </c>
      <c r="L3042" t="s">
        <v>90</v>
      </c>
      <c r="M3042" t="s">
        <v>91</v>
      </c>
      <c r="N3042" t="s">
        <v>401</v>
      </c>
      <c r="O3042" t="s">
        <v>82</v>
      </c>
      <c r="P3042" t="str">
        <f>"2170715878                    "</f>
        <v xml:space="preserve">2170715878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8.58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0.9</v>
      </c>
      <c r="BJ3042">
        <v>1.7</v>
      </c>
      <c r="BK3042">
        <v>2</v>
      </c>
      <c r="BL3042" s="4">
        <v>50.45</v>
      </c>
      <c r="BM3042" s="4">
        <v>7.57</v>
      </c>
      <c r="BN3042" s="4">
        <v>58.02</v>
      </c>
      <c r="BO3042" s="4">
        <v>58.02</v>
      </c>
      <c r="BQ3042" t="s">
        <v>109</v>
      </c>
      <c r="BR3042" t="s">
        <v>84</v>
      </c>
      <c r="BS3042" s="3">
        <v>43795</v>
      </c>
      <c r="BT3042" s="5">
        <v>0.34652777777777777</v>
      </c>
      <c r="BU3042" t="s">
        <v>402</v>
      </c>
      <c r="BV3042" t="s">
        <v>86</v>
      </c>
      <c r="BY3042">
        <v>8748.0400000000009</v>
      </c>
      <c r="CA3042" t="s">
        <v>221</v>
      </c>
      <c r="CC3042" t="s">
        <v>91</v>
      </c>
      <c r="CD3042">
        <v>7441</v>
      </c>
      <c r="CE3042" t="s">
        <v>88</v>
      </c>
      <c r="CF3042" s="3">
        <v>43796</v>
      </c>
      <c r="CI3042">
        <v>1</v>
      </c>
      <c r="CJ3042">
        <v>1</v>
      </c>
      <c r="CK3042">
        <v>21</v>
      </c>
      <c r="CL3042" t="s">
        <v>89</v>
      </c>
    </row>
    <row r="3043" spans="1:90">
      <c r="A3043" t="s">
        <v>72</v>
      </c>
      <c r="B3043" t="s">
        <v>73</v>
      </c>
      <c r="C3043" t="s">
        <v>74</v>
      </c>
      <c r="E3043" t="str">
        <f>"FES1162724768"</f>
        <v>FES1162724768</v>
      </c>
      <c r="F3043" s="3">
        <v>43794</v>
      </c>
      <c r="G3043">
        <v>202005</v>
      </c>
      <c r="H3043" t="s">
        <v>75</v>
      </c>
      <c r="I3043" t="s">
        <v>76</v>
      </c>
      <c r="J3043" t="s">
        <v>77</v>
      </c>
      <c r="K3043" t="s">
        <v>78</v>
      </c>
      <c r="L3043" t="s">
        <v>90</v>
      </c>
      <c r="M3043" t="s">
        <v>91</v>
      </c>
      <c r="N3043" t="s">
        <v>538</v>
      </c>
      <c r="O3043" t="s">
        <v>82</v>
      </c>
      <c r="P3043" t="str">
        <f>"2170718561                    "</f>
        <v xml:space="preserve">2170718561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8.58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 s="4">
        <v>50.45</v>
      </c>
      <c r="BM3043" s="4">
        <v>7.57</v>
      </c>
      <c r="BN3043" s="4">
        <v>58.02</v>
      </c>
      <c r="BO3043" s="4">
        <v>58.02</v>
      </c>
      <c r="BQ3043" t="s">
        <v>109</v>
      </c>
      <c r="BR3043" t="s">
        <v>84</v>
      </c>
      <c r="BS3043" s="3">
        <v>43795</v>
      </c>
      <c r="BT3043" s="5">
        <v>0.32916666666666666</v>
      </c>
      <c r="BU3043" t="s">
        <v>2999</v>
      </c>
      <c r="BV3043" t="s">
        <v>86</v>
      </c>
      <c r="BY3043">
        <v>1200</v>
      </c>
      <c r="CA3043" t="s">
        <v>140</v>
      </c>
      <c r="CC3043" t="s">
        <v>91</v>
      </c>
      <c r="CD3043">
        <v>7530</v>
      </c>
      <c r="CE3043" t="s">
        <v>147</v>
      </c>
      <c r="CF3043" s="3">
        <v>43796</v>
      </c>
      <c r="CI3043">
        <v>1</v>
      </c>
      <c r="CJ3043">
        <v>1</v>
      </c>
      <c r="CK3043">
        <v>21</v>
      </c>
      <c r="CL3043" t="s">
        <v>89</v>
      </c>
    </row>
    <row r="3044" spans="1:90">
      <c r="A3044" t="s">
        <v>72</v>
      </c>
      <c r="B3044" t="s">
        <v>73</v>
      </c>
      <c r="C3044" t="s">
        <v>74</v>
      </c>
      <c r="E3044" t="str">
        <f>"FES1162724953"</f>
        <v>FES1162724953</v>
      </c>
      <c r="F3044" s="3">
        <v>43794</v>
      </c>
      <c r="G3044">
        <v>202005</v>
      </c>
      <c r="H3044" t="s">
        <v>75</v>
      </c>
      <c r="I3044" t="s">
        <v>76</v>
      </c>
      <c r="J3044" t="s">
        <v>77</v>
      </c>
      <c r="K3044" t="s">
        <v>78</v>
      </c>
      <c r="L3044" t="s">
        <v>133</v>
      </c>
      <c r="M3044" t="s">
        <v>134</v>
      </c>
      <c r="N3044" t="s">
        <v>310</v>
      </c>
      <c r="O3044" t="s">
        <v>82</v>
      </c>
      <c r="P3044" t="str">
        <f>"2170717531                    "</f>
        <v xml:space="preserve">2170717531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17.16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4</v>
      </c>
      <c r="BJ3044">
        <v>1.6</v>
      </c>
      <c r="BK3044">
        <v>4</v>
      </c>
      <c r="BL3044" s="4">
        <v>100.87</v>
      </c>
      <c r="BM3044" s="4">
        <v>15.13</v>
      </c>
      <c r="BN3044" s="4">
        <v>116</v>
      </c>
      <c r="BO3044" s="4">
        <v>116</v>
      </c>
      <c r="BQ3044" t="s">
        <v>121</v>
      </c>
      <c r="BR3044" t="s">
        <v>84</v>
      </c>
      <c r="BS3044" s="3">
        <v>43795</v>
      </c>
      <c r="BT3044" s="5">
        <v>0.3527777777777778</v>
      </c>
      <c r="BU3044" t="s">
        <v>2182</v>
      </c>
      <c r="BV3044" t="s">
        <v>86</v>
      </c>
      <c r="BY3044">
        <v>7910.3</v>
      </c>
      <c r="CA3044" t="s">
        <v>912</v>
      </c>
      <c r="CC3044" t="s">
        <v>134</v>
      </c>
      <c r="CD3044">
        <v>5201</v>
      </c>
      <c r="CE3044" t="s">
        <v>88</v>
      </c>
      <c r="CF3044" s="3">
        <v>43796</v>
      </c>
      <c r="CI3044">
        <v>1</v>
      </c>
      <c r="CJ3044">
        <v>1</v>
      </c>
      <c r="CK3044">
        <v>21</v>
      </c>
      <c r="CL3044" t="s">
        <v>89</v>
      </c>
    </row>
    <row r="3045" spans="1:90">
      <c r="A3045" t="s">
        <v>72</v>
      </c>
      <c r="B3045" t="s">
        <v>73</v>
      </c>
      <c r="C3045" t="s">
        <v>74</v>
      </c>
      <c r="E3045" t="str">
        <f>"FES1162724937"</f>
        <v>FES1162724937</v>
      </c>
      <c r="F3045" s="3">
        <v>43794</v>
      </c>
      <c r="G3045">
        <v>202005</v>
      </c>
      <c r="H3045" t="s">
        <v>75</v>
      </c>
      <c r="I3045" t="s">
        <v>76</v>
      </c>
      <c r="J3045" t="s">
        <v>77</v>
      </c>
      <c r="K3045" t="s">
        <v>78</v>
      </c>
      <c r="L3045" t="s">
        <v>1204</v>
      </c>
      <c r="M3045" t="s">
        <v>1205</v>
      </c>
      <c r="N3045" t="s">
        <v>1206</v>
      </c>
      <c r="O3045" t="s">
        <v>82</v>
      </c>
      <c r="P3045" t="str">
        <f>"2170718618                    "</f>
        <v xml:space="preserve">2170718618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8.58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1.3</v>
      </c>
      <c r="BJ3045">
        <v>1</v>
      </c>
      <c r="BK3045">
        <v>1.5</v>
      </c>
      <c r="BL3045" s="4">
        <v>50.45</v>
      </c>
      <c r="BM3045" s="4">
        <v>7.57</v>
      </c>
      <c r="BN3045" s="4">
        <v>58.02</v>
      </c>
      <c r="BO3045" s="4">
        <v>58.02</v>
      </c>
      <c r="BQ3045" t="s">
        <v>109</v>
      </c>
      <c r="BR3045" t="s">
        <v>84</v>
      </c>
      <c r="BS3045" s="3">
        <v>43796</v>
      </c>
      <c r="BT3045" s="5">
        <v>0.55486111111111114</v>
      </c>
      <c r="BU3045" t="s">
        <v>3000</v>
      </c>
      <c r="BV3045" t="s">
        <v>86</v>
      </c>
      <c r="BY3045">
        <v>4775.5200000000004</v>
      </c>
      <c r="CA3045" t="s">
        <v>250</v>
      </c>
      <c r="CC3045" t="s">
        <v>1205</v>
      </c>
      <c r="CD3045">
        <v>3760</v>
      </c>
      <c r="CE3045" t="s">
        <v>88</v>
      </c>
      <c r="CF3045" s="3">
        <v>43797</v>
      </c>
      <c r="CI3045">
        <v>4</v>
      </c>
      <c r="CJ3045">
        <v>2</v>
      </c>
      <c r="CK3045">
        <v>21</v>
      </c>
      <c r="CL3045" t="s">
        <v>89</v>
      </c>
    </row>
    <row r="3046" spans="1:90">
      <c r="A3046" t="s">
        <v>72</v>
      </c>
      <c r="B3046" t="s">
        <v>73</v>
      </c>
      <c r="C3046" t="s">
        <v>74</v>
      </c>
      <c r="E3046" t="str">
        <f>"FES1162724844"</f>
        <v>FES1162724844</v>
      </c>
      <c r="F3046" s="3">
        <v>43794</v>
      </c>
      <c r="G3046">
        <v>202005</v>
      </c>
      <c r="H3046" t="s">
        <v>75</v>
      </c>
      <c r="I3046" t="s">
        <v>76</v>
      </c>
      <c r="J3046" t="s">
        <v>77</v>
      </c>
      <c r="K3046" t="s">
        <v>78</v>
      </c>
      <c r="L3046" t="s">
        <v>578</v>
      </c>
      <c r="M3046" t="s">
        <v>579</v>
      </c>
      <c r="N3046" t="s">
        <v>3001</v>
      </c>
      <c r="O3046" t="s">
        <v>82</v>
      </c>
      <c r="P3046" t="str">
        <f>"2170716874                    "</f>
        <v xml:space="preserve">2170716874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8.58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2</v>
      </c>
      <c r="BJ3046">
        <v>0.9</v>
      </c>
      <c r="BK3046">
        <v>2</v>
      </c>
      <c r="BL3046" s="4">
        <v>50.45</v>
      </c>
      <c r="BM3046" s="4">
        <v>7.57</v>
      </c>
      <c r="BN3046" s="4">
        <v>58.02</v>
      </c>
      <c r="BO3046" s="4">
        <v>58.02</v>
      </c>
      <c r="BQ3046" t="s">
        <v>3002</v>
      </c>
      <c r="BR3046" t="s">
        <v>84</v>
      </c>
      <c r="BS3046" s="3">
        <v>43796</v>
      </c>
      <c r="BT3046" s="5">
        <v>0.55347222222222225</v>
      </c>
      <c r="BU3046" t="s">
        <v>3003</v>
      </c>
      <c r="BV3046" t="s">
        <v>89</v>
      </c>
      <c r="BW3046" t="s">
        <v>3004</v>
      </c>
      <c r="BX3046" t="s">
        <v>591</v>
      </c>
      <c r="BY3046">
        <v>4749.12</v>
      </c>
      <c r="CA3046" t="s">
        <v>1022</v>
      </c>
      <c r="CC3046" t="s">
        <v>579</v>
      </c>
      <c r="CD3046">
        <v>7600</v>
      </c>
      <c r="CE3046" t="s">
        <v>88</v>
      </c>
      <c r="CF3046" s="3">
        <v>43797</v>
      </c>
      <c r="CI3046">
        <v>1</v>
      </c>
      <c r="CJ3046">
        <v>2</v>
      </c>
      <c r="CK3046">
        <v>21</v>
      </c>
      <c r="CL3046" t="s">
        <v>89</v>
      </c>
    </row>
    <row r="3047" spans="1:90">
      <c r="A3047" t="s">
        <v>72</v>
      </c>
      <c r="B3047" t="s">
        <v>73</v>
      </c>
      <c r="C3047" t="s">
        <v>74</v>
      </c>
      <c r="E3047" t="str">
        <f>"FES1162724852"</f>
        <v>FES1162724852</v>
      </c>
      <c r="F3047" s="3">
        <v>43794</v>
      </c>
      <c r="G3047">
        <v>202005</v>
      </c>
      <c r="H3047" t="s">
        <v>75</v>
      </c>
      <c r="I3047" t="s">
        <v>76</v>
      </c>
      <c r="J3047" t="s">
        <v>77</v>
      </c>
      <c r="K3047" t="s">
        <v>78</v>
      </c>
      <c r="L3047" t="s">
        <v>124</v>
      </c>
      <c r="M3047" t="s">
        <v>125</v>
      </c>
      <c r="N3047" t="s">
        <v>218</v>
      </c>
      <c r="O3047" t="s">
        <v>82</v>
      </c>
      <c r="P3047" t="str">
        <f>"2170716932                    "</f>
        <v xml:space="preserve">2170716932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6.71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 s="4">
        <v>39.42</v>
      </c>
      <c r="BM3047" s="4">
        <v>5.91</v>
      </c>
      <c r="BN3047" s="4">
        <v>45.33</v>
      </c>
      <c r="BO3047" s="4">
        <v>45.33</v>
      </c>
      <c r="BQ3047" t="s">
        <v>121</v>
      </c>
      <c r="BR3047" t="s">
        <v>84</v>
      </c>
      <c r="BS3047" s="3">
        <v>43795</v>
      </c>
      <c r="BT3047" s="5">
        <v>0.37152777777777773</v>
      </c>
      <c r="BU3047" t="s">
        <v>1659</v>
      </c>
      <c r="BV3047" t="s">
        <v>86</v>
      </c>
      <c r="BY3047">
        <v>1200</v>
      </c>
      <c r="CC3047" t="s">
        <v>125</v>
      </c>
      <c r="CD3047">
        <v>2094</v>
      </c>
      <c r="CE3047" t="s">
        <v>147</v>
      </c>
      <c r="CF3047" s="3">
        <v>43796</v>
      </c>
      <c r="CI3047">
        <v>1</v>
      </c>
      <c r="CJ3047">
        <v>1</v>
      </c>
      <c r="CK3047">
        <v>22</v>
      </c>
      <c r="CL3047" t="s">
        <v>89</v>
      </c>
    </row>
    <row r="3048" spans="1:90">
      <c r="A3048" t="s">
        <v>72</v>
      </c>
      <c r="B3048" t="s">
        <v>73</v>
      </c>
      <c r="C3048" t="s">
        <v>74</v>
      </c>
      <c r="E3048" t="str">
        <f>"FES1162724882"</f>
        <v>FES1162724882</v>
      </c>
      <c r="F3048" s="3">
        <v>43794</v>
      </c>
      <c r="G3048">
        <v>202005</v>
      </c>
      <c r="H3048" t="s">
        <v>75</v>
      </c>
      <c r="I3048" t="s">
        <v>76</v>
      </c>
      <c r="J3048" t="s">
        <v>77</v>
      </c>
      <c r="K3048" t="s">
        <v>78</v>
      </c>
      <c r="L3048" t="s">
        <v>106</v>
      </c>
      <c r="M3048" t="s">
        <v>107</v>
      </c>
      <c r="N3048" t="s">
        <v>108</v>
      </c>
      <c r="O3048" t="s">
        <v>82</v>
      </c>
      <c r="P3048" t="str">
        <f>"2170718278                    "</f>
        <v xml:space="preserve">2170718278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8.58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 s="4">
        <v>50.45</v>
      </c>
      <c r="BM3048" s="4">
        <v>7.57</v>
      </c>
      <c r="BN3048" s="4">
        <v>58.02</v>
      </c>
      <c r="BO3048" s="4">
        <v>58.02</v>
      </c>
      <c r="BQ3048" t="s">
        <v>109</v>
      </c>
      <c r="BR3048" t="s">
        <v>84</v>
      </c>
      <c r="BS3048" s="3">
        <v>43795</v>
      </c>
      <c r="BT3048" s="5">
        <v>0.43402777777777773</v>
      </c>
      <c r="BU3048" t="s">
        <v>3005</v>
      </c>
      <c r="BV3048" t="s">
        <v>86</v>
      </c>
      <c r="BY3048">
        <v>1200</v>
      </c>
      <c r="CA3048" t="s">
        <v>111</v>
      </c>
      <c r="CC3048" t="s">
        <v>107</v>
      </c>
      <c r="CD3048">
        <v>6001</v>
      </c>
      <c r="CE3048" t="s">
        <v>147</v>
      </c>
      <c r="CF3048" s="3">
        <v>43796</v>
      </c>
      <c r="CI3048">
        <v>1</v>
      </c>
      <c r="CJ3048">
        <v>1</v>
      </c>
      <c r="CK3048">
        <v>21</v>
      </c>
      <c r="CL3048" t="s">
        <v>89</v>
      </c>
    </row>
    <row r="3049" spans="1:90">
      <c r="A3049" t="s">
        <v>72</v>
      </c>
      <c r="B3049" t="s">
        <v>73</v>
      </c>
      <c r="C3049" t="s">
        <v>74</v>
      </c>
      <c r="E3049" t="str">
        <f>"FES1162724823"</f>
        <v>FES1162724823</v>
      </c>
      <c r="F3049" s="3">
        <v>43794</v>
      </c>
      <c r="G3049">
        <v>202005</v>
      </c>
      <c r="H3049" t="s">
        <v>75</v>
      </c>
      <c r="I3049" t="s">
        <v>76</v>
      </c>
      <c r="J3049" t="s">
        <v>77</v>
      </c>
      <c r="K3049" t="s">
        <v>78</v>
      </c>
      <c r="L3049" t="s">
        <v>492</v>
      </c>
      <c r="M3049" t="s">
        <v>493</v>
      </c>
      <c r="N3049" t="s">
        <v>494</v>
      </c>
      <c r="O3049" t="s">
        <v>82</v>
      </c>
      <c r="P3049" t="str">
        <f>"2170716678                    "</f>
        <v xml:space="preserve">2170716678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16.63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 s="4">
        <v>97.75</v>
      </c>
      <c r="BM3049" s="4">
        <v>14.66</v>
      </c>
      <c r="BN3049" s="4">
        <v>112.41</v>
      </c>
      <c r="BO3049" s="4">
        <v>112.41</v>
      </c>
      <c r="BQ3049" t="s">
        <v>109</v>
      </c>
      <c r="BR3049" t="s">
        <v>84</v>
      </c>
      <c r="BS3049" s="3">
        <v>43795</v>
      </c>
      <c r="BT3049" s="5">
        <v>0.58333333333333337</v>
      </c>
      <c r="BU3049" t="s">
        <v>3006</v>
      </c>
      <c r="BV3049" t="s">
        <v>86</v>
      </c>
      <c r="BY3049">
        <v>1200</v>
      </c>
      <c r="CC3049" t="s">
        <v>493</v>
      </c>
      <c r="CD3049">
        <v>5850</v>
      </c>
      <c r="CE3049" t="s">
        <v>147</v>
      </c>
      <c r="CF3049" s="3">
        <v>43798</v>
      </c>
      <c r="CI3049">
        <v>3</v>
      </c>
      <c r="CJ3049">
        <v>1</v>
      </c>
      <c r="CK3049">
        <v>23</v>
      </c>
      <c r="CL3049" t="s">
        <v>89</v>
      </c>
    </row>
    <row r="3050" spans="1:90">
      <c r="A3050" t="s">
        <v>72</v>
      </c>
      <c r="B3050" t="s">
        <v>73</v>
      </c>
      <c r="C3050" t="s">
        <v>74</v>
      </c>
      <c r="E3050" t="str">
        <f>"FES1162724817"</f>
        <v>FES1162724817</v>
      </c>
      <c r="F3050" s="3">
        <v>43794</v>
      </c>
      <c r="G3050">
        <v>202005</v>
      </c>
      <c r="H3050" t="s">
        <v>75</v>
      </c>
      <c r="I3050" t="s">
        <v>76</v>
      </c>
      <c r="J3050" t="s">
        <v>77</v>
      </c>
      <c r="K3050" t="s">
        <v>78</v>
      </c>
      <c r="L3050" t="s">
        <v>251</v>
      </c>
      <c r="M3050" t="s">
        <v>252</v>
      </c>
      <c r="N3050" t="s">
        <v>3007</v>
      </c>
      <c r="O3050" t="s">
        <v>82</v>
      </c>
      <c r="P3050" t="str">
        <f>"2170716646                    "</f>
        <v xml:space="preserve">2170716646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8.58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 s="4">
        <v>50.45</v>
      </c>
      <c r="BM3050" s="4">
        <v>7.57</v>
      </c>
      <c r="BN3050" s="4">
        <v>58.02</v>
      </c>
      <c r="BO3050" s="4">
        <v>58.02</v>
      </c>
      <c r="BQ3050" t="s">
        <v>121</v>
      </c>
      <c r="BR3050" t="s">
        <v>84</v>
      </c>
      <c r="BS3050" s="3">
        <v>43795</v>
      </c>
      <c r="BT3050" s="5">
        <v>0.38680555555555557</v>
      </c>
      <c r="BU3050" t="s">
        <v>1607</v>
      </c>
      <c r="BV3050" t="s">
        <v>86</v>
      </c>
      <c r="BY3050">
        <v>1200</v>
      </c>
      <c r="CC3050" t="s">
        <v>252</v>
      </c>
      <c r="CD3050">
        <v>4113</v>
      </c>
      <c r="CE3050" t="s">
        <v>147</v>
      </c>
      <c r="CF3050" s="3">
        <v>43797</v>
      </c>
      <c r="CI3050">
        <v>1</v>
      </c>
      <c r="CJ3050">
        <v>1</v>
      </c>
      <c r="CK3050">
        <v>21</v>
      </c>
      <c r="CL3050" t="s">
        <v>89</v>
      </c>
    </row>
    <row r="3051" spans="1:90">
      <c r="A3051" t="s">
        <v>72</v>
      </c>
      <c r="B3051" t="s">
        <v>73</v>
      </c>
      <c r="C3051" t="s">
        <v>74</v>
      </c>
      <c r="E3051" t="str">
        <f>"FES1162724793"</f>
        <v>FES1162724793</v>
      </c>
      <c r="F3051" s="3">
        <v>43794</v>
      </c>
      <c r="G3051">
        <v>202005</v>
      </c>
      <c r="H3051" t="s">
        <v>75</v>
      </c>
      <c r="I3051" t="s">
        <v>76</v>
      </c>
      <c r="J3051" t="s">
        <v>77</v>
      </c>
      <c r="K3051" t="s">
        <v>78</v>
      </c>
      <c r="L3051" t="s">
        <v>90</v>
      </c>
      <c r="M3051" t="s">
        <v>91</v>
      </c>
      <c r="N3051" t="s">
        <v>675</v>
      </c>
      <c r="O3051" t="s">
        <v>82</v>
      </c>
      <c r="P3051" t="str">
        <f>"2170716469                    "</f>
        <v xml:space="preserve">2170716469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8.58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 s="4">
        <v>50.45</v>
      </c>
      <c r="BM3051" s="4">
        <v>7.57</v>
      </c>
      <c r="BN3051" s="4">
        <v>58.02</v>
      </c>
      <c r="BO3051" s="4">
        <v>58.02</v>
      </c>
      <c r="BQ3051" t="s">
        <v>109</v>
      </c>
      <c r="BR3051" t="s">
        <v>84</v>
      </c>
      <c r="BS3051" s="3">
        <v>43795</v>
      </c>
      <c r="BT3051" s="5">
        <v>0.36041666666666666</v>
      </c>
      <c r="BU3051" t="s">
        <v>2996</v>
      </c>
      <c r="BV3051" t="s">
        <v>86</v>
      </c>
      <c r="BY3051">
        <v>1200</v>
      </c>
      <c r="CA3051" t="s">
        <v>1281</v>
      </c>
      <c r="CC3051" t="s">
        <v>91</v>
      </c>
      <c r="CD3051">
        <v>7945</v>
      </c>
      <c r="CE3051" t="s">
        <v>147</v>
      </c>
      <c r="CF3051" s="3">
        <v>43796</v>
      </c>
      <c r="CI3051">
        <v>1</v>
      </c>
      <c r="CJ3051">
        <v>1</v>
      </c>
      <c r="CK3051">
        <v>21</v>
      </c>
      <c r="CL3051" t="s">
        <v>89</v>
      </c>
    </row>
    <row r="3052" spans="1:90">
      <c r="A3052" t="s">
        <v>72</v>
      </c>
      <c r="B3052" t="s">
        <v>73</v>
      </c>
      <c r="C3052" t="s">
        <v>74</v>
      </c>
      <c r="E3052" t="str">
        <f>"FES1162724820"</f>
        <v>FES1162724820</v>
      </c>
      <c r="F3052" s="3">
        <v>43794</v>
      </c>
      <c r="G3052">
        <v>202005</v>
      </c>
      <c r="H3052" t="s">
        <v>75</v>
      </c>
      <c r="I3052" t="s">
        <v>76</v>
      </c>
      <c r="J3052" t="s">
        <v>77</v>
      </c>
      <c r="K3052" t="s">
        <v>78</v>
      </c>
      <c r="L3052" t="s">
        <v>133</v>
      </c>
      <c r="M3052" t="s">
        <v>134</v>
      </c>
      <c r="N3052" t="s">
        <v>1635</v>
      </c>
      <c r="O3052" t="s">
        <v>82</v>
      </c>
      <c r="P3052" t="str">
        <f>"2170716664                    "</f>
        <v xml:space="preserve">2170716664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8.58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 s="4">
        <v>50.45</v>
      </c>
      <c r="BM3052" s="4">
        <v>7.57</v>
      </c>
      <c r="BN3052" s="4">
        <v>58.02</v>
      </c>
      <c r="BO3052" s="4">
        <v>58.02</v>
      </c>
      <c r="BQ3052" t="s">
        <v>121</v>
      </c>
      <c r="BR3052" t="s">
        <v>84</v>
      </c>
      <c r="BS3052" s="3">
        <v>43795</v>
      </c>
      <c r="BT3052" s="5">
        <v>0.3756944444444445</v>
      </c>
      <c r="BU3052" t="s">
        <v>764</v>
      </c>
      <c r="BV3052" t="s">
        <v>86</v>
      </c>
      <c r="BY3052">
        <v>1200</v>
      </c>
      <c r="CA3052" t="s">
        <v>698</v>
      </c>
      <c r="CC3052" t="s">
        <v>134</v>
      </c>
      <c r="CD3052">
        <v>5201</v>
      </c>
      <c r="CE3052" t="s">
        <v>147</v>
      </c>
      <c r="CF3052" s="3">
        <v>43797</v>
      </c>
      <c r="CI3052">
        <v>1</v>
      </c>
      <c r="CJ3052">
        <v>1</v>
      </c>
      <c r="CK3052">
        <v>21</v>
      </c>
      <c r="CL3052" t="s">
        <v>89</v>
      </c>
    </row>
    <row r="3053" spans="1:90">
      <c r="A3053" t="s">
        <v>72</v>
      </c>
      <c r="B3053" t="s">
        <v>73</v>
      </c>
      <c r="C3053" t="s">
        <v>74</v>
      </c>
      <c r="E3053" t="str">
        <f>"FES1162724836"</f>
        <v>FES1162724836</v>
      </c>
      <c r="F3053" s="3">
        <v>43794</v>
      </c>
      <c r="G3053">
        <v>202005</v>
      </c>
      <c r="H3053" t="s">
        <v>75</v>
      </c>
      <c r="I3053" t="s">
        <v>76</v>
      </c>
      <c r="J3053" t="s">
        <v>77</v>
      </c>
      <c r="K3053" t="s">
        <v>78</v>
      </c>
      <c r="L3053" t="s">
        <v>270</v>
      </c>
      <c r="M3053" t="s">
        <v>271</v>
      </c>
      <c r="N3053" t="s">
        <v>330</v>
      </c>
      <c r="O3053" t="s">
        <v>82</v>
      </c>
      <c r="P3053" t="str">
        <f>"2170716785                    "</f>
        <v xml:space="preserve">2170716785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8.58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 s="4">
        <v>50.45</v>
      </c>
      <c r="BM3053" s="4">
        <v>7.57</v>
      </c>
      <c r="BN3053" s="4">
        <v>58.02</v>
      </c>
      <c r="BO3053" s="4">
        <v>58.02</v>
      </c>
      <c r="BQ3053" t="s">
        <v>109</v>
      </c>
      <c r="BR3053" t="s">
        <v>84</v>
      </c>
      <c r="BS3053" s="3">
        <v>43795</v>
      </c>
      <c r="BT3053" s="5">
        <v>0.42569444444444443</v>
      </c>
      <c r="BU3053" t="s">
        <v>985</v>
      </c>
      <c r="BV3053" t="s">
        <v>86</v>
      </c>
      <c r="BY3053">
        <v>1200</v>
      </c>
      <c r="CA3053" t="s">
        <v>3008</v>
      </c>
      <c r="CC3053" t="s">
        <v>271</v>
      </c>
      <c r="CD3053">
        <v>6220</v>
      </c>
      <c r="CE3053" t="s">
        <v>147</v>
      </c>
      <c r="CF3053" s="3">
        <v>43796</v>
      </c>
      <c r="CI3053">
        <v>1</v>
      </c>
      <c r="CJ3053">
        <v>1</v>
      </c>
      <c r="CK3053">
        <v>21</v>
      </c>
      <c r="CL3053" t="s">
        <v>89</v>
      </c>
    </row>
    <row r="3054" spans="1:90">
      <c r="A3054" t="s">
        <v>72</v>
      </c>
      <c r="B3054" t="s">
        <v>73</v>
      </c>
      <c r="C3054" t="s">
        <v>74</v>
      </c>
      <c r="E3054" t="str">
        <f>"FES1162724968"</f>
        <v>FES1162724968</v>
      </c>
      <c r="F3054" s="3">
        <v>43794</v>
      </c>
      <c r="G3054">
        <v>202005</v>
      </c>
      <c r="H3054" t="s">
        <v>75</v>
      </c>
      <c r="I3054" t="s">
        <v>76</v>
      </c>
      <c r="J3054" t="s">
        <v>77</v>
      </c>
      <c r="K3054" t="s">
        <v>78</v>
      </c>
      <c r="L3054" t="s">
        <v>106</v>
      </c>
      <c r="M3054" t="s">
        <v>107</v>
      </c>
      <c r="N3054" t="s">
        <v>771</v>
      </c>
      <c r="O3054" t="s">
        <v>82</v>
      </c>
      <c r="P3054" t="str">
        <f>"2170718668                    "</f>
        <v xml:space="preserve">2170718668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8.58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 s="4">
        <v>50.45</v>
      </c>
      <c r="BM3054" s="4">
        <v>7.57</v>
      </c>
      <c r="BN3054" s="4">
        <v>58.02</v>
      </c>
      <c r="BO3054" s="4">
        <v>58.02</v>
      </c>
      <c r="BQ3054" t="s">
        <v>109</v>
      </c>
      <c r="BR3054" t="s">
        <v>84</v>
      </c>
      <c r="BS3054" s="3">
        <v>43795</v>
      </c>
      <c r="BT3054" s="5">
        <v>0.42499999999999999</v>
      </c>
      <c r="BU3054" t="s">
        <v>1816</v>
      </c>
      <c r="BV3054" t="s">
        <v>86</v>
      </c>
      <c r="BY3054">
        <v>1200</v>
      </c>
      <c r="CA3054" t="s">
        <v>773</v>
      </c>
      <c r="CC3054" t="s">
        <v>107</v>
      </c>
      <c r="CD3054">
        <v>6012</v>
      </c>
      <c r="CE3054" t="s">
        <v>147</v>
      </c>
      <c r="CF3054" s="3">
        <v>43796</v>
      </c>
      <c r="CI3054">
        <v>1</v>
      </c>
      <c r="CJ3054">
        <v>1</v>
      </c>
      <c r="CK3054">
        <v>21</v>
      </c>
      <c r="CL3054" t="s">
        <v>89</v>
      </c>
    </row>
    <row r="3055" spans="1:90">
      <c r="A3055" t="s">
        <v>72</v>
      </c>
      <c r="B3055" t="s">
        <v>73</v>
      </c>
      <c r="C3055" t="s">
        <v>74</v>
      </c>
      <c r="E3055" t="str">
        <f>"FES1162724827"</f>
        <v>FES1162724827</v>
      </c>
      <c r="F3055" s="3">
        <v>43794</v>
      </c>
      <c r="G3055">
        <v>202005</v>
      </c>
      <c r="H3055" t="s">
        <v>75</v>
      </c>
      <c r="I3055" t="s">
        <v>76</v>
      </c>
      <c r="J3055" t="s">
        <v>77</v>
      </c>
      <c r="K3055" t="s">
        <v>78</v>
      </c>
      <c r="L3055" t="s">
        <v>106</v>
      </c>
      <c r="M3055" t="s">
        <v>107</v>
      </c>
      <c r="N3055" t="s">
        <v>1311</v>
      </c>
      <c r="O3055" t="s">
        <v>82</v>
      </c>
      <c r="P3055" t="str">
        <f>"2170716701                    "</f>
        <v xml:space="preserve">2170716701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8.58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 s="4">
        <v>50.45</v>
      </c>
      <c r="BM3055" s="4">
        <v>7.57</v>
      </c>
      <c r="BN3055" s="4">
        <v>58.02</v>
      </c>
      <c r="BO3055" s="4">
        <v>58.02</v>
      </c>
      <c r="BQ3055" t="s">
        <v>109</v>
      </c>
      <c r="BR3055" t="s">
        <v>84</v>
      </c>
      <c r="BS3055" s="3">
        <v>43795</v>
      </c>
      <c r="BT3055" s="5">
        <v>0.42222222222222222</v>
      </c>
      <c r="BU3055" t="s">
        <v>3009</v>
      </c>
      <c r="BV3055" t="s">
        <v>86</v>
      </c>
      <c r="BY3055">
        <v>1200</v>
      </c>
      <c r="CA3055" t="s">
        <v>773</v>
      </c>
      <c r="CC3055" t="s">
        <v>107</v>
      </c>
      <c r="CD3055">
        <v>6001</v>
      </c>
      <c r="CE3055" t="s">
        <v>147</v>
      </c>
      <c r="CF3055" s="3">
        <v>43796</v>
      </c>
      <c r="CI3055">
        <v>1</v>
      </c>
      <c r="CJ3055">
        <v>1</v>
      </c>
      <c r="CK3055">
        <v>21</v>
      </c>
      <c r="CL3055" t="s">
        <v>89</v>
      </c>
    </row>
    <row r="3056" spans="1:90">
      <c r="A3056" t="s">
        <v>72</v>
      </c>
      <c r="B3056" t="s">
        <v>73</v>
      </c>
      <c r="C3056" t="s">
        <v>74</v>
      </c>
      <c r="E3056" t="str">
        <f>"FES1162724856"</f>
        <v>FES1162724856</v>
      </c>
      <c r="F3056" s="3">
        <v>43794</v>
      </c>
      <c r="G3056">
        <v>202005</v>
      </c>
      <c r="H3056" t="s">
        <v>75</v>
      </c>
      <c r="I3056" t="s">
        <v>76</v>
      </c>
      <c r="J3056" t="s">
        <v>77</v>
      </c>
      <c r="K3056" t="s">
        <v>78</v>
      </c>
      <c r="L3056" t="s">
        <v>106</v>
      </c>
      <c r="M3056" t="s">
        <v>107</v>
      </c>
      <c r="N3056" t="s">
        <v>108</v>
      </c>
      <c r="O3056" t="s">
        <v>82</v>
      </c>
      <c r="P3056" t="str">
        <f>"2170717044                    "</f>
        <v xml:space="preserve">2170717044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8.58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 s="4">
        <v>50.45</v>
      </c>
      <c r="BM3056" s="4">
        <v>7.57</v>
      </c>
      <c r="BN3056" s="4">
        <v>58.02</v>
      </c>
      <c r="BO3056" s="4">
        <v>58.02</v>
      </c>
      <c r="BQ3056" t="s">
        <v>109</v>
      </c>
      <c r="BR3056" t="s">
        <v>84</v>
      </c>
      <c r="BS3056" s="3">
        <v>43795</v>
      </c>
      <c r="BT3056" s="5">
        <v>0.43402777777777773</v>
      </c>
      <c r="BU3056" t="s">
        <v>3005</v>
      </c>
      <c r="BV3056" t="s">
        <v>86</v>
      </c>
      <c r="BY3056">
        <v>1200</v>
      </c>
      <c r="CA3056" t="s">
        <v>111</v>
      </c>
      <c r="CC3056" t="s">
        <v>107</v>
      </c>
      <c r="CD3056">
        <v>6001</v>
      </c>
      <c r="CE3056" t="s">
        <v>147</v>
      </c>
      <c r="CF3056" s="3">
        <v>43796</v>
      </c>
      <c r="CI3056">
        <v>1</v>
      </c>
      <c r="CJ3056">
        <v>1</v>
      </c>
      <c r="CK3056">
        <v>21</v>
      </c>
      <c r="CL3056" t="s">
        <v>89</v>
      </c>
    </row>
    <row r="3057" spans="1:90">
      <c r="A3057" t="s">
        <v>72</v>
      </c>
      <c r="B3057" t="s">
        <v>73</v>
      </c>
      <c r="C3057" t="s">
        <v>74</v>
      </c>
      <c r="E3057" t="str">
        <f>"FES1162724936"</f>
        <v>FES1162724936</v>
      </c>
      <c r="F3057" s="3">
        <v>43794</v>
      </c>
      <c r="G3057">
        <v>202005</v>
      </c>
      <c r="H3057" t="s">
        <v>75</v>
      </c>
      <c r="I3057" t="s">
        <v>76</v>
      </c>
      <c r="J3057" t="s">
        <v>77</v>
      </c>
      <c r="K3057" t="s">
        <v>78</v>
      </c>
      <c r="L3057" t="s">
        <v>270</v>
      </c>
      <c r="M3057" t="s">
        <v>271</v>
      </c>
      <c r="N3057" t="s">
        <v>618</v>
      </c>
      <c r="O3057" t="s">
        <v>82</v>
      </c>
      <c r="P3057" t="str">
        <f>"2170718617                    "</f>
        <v xml:space="preserve">2170718617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8.58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 s="4">
        <v>50.45</v>
      </c>
      <c r="BM3057" s="4">
        <v>7.57</v>
      </c>
      <c r="BN3057" s="4">
        <v>58.02</v>
      </c>
      <c r="BO3057" s="4">
        <v>58.02</v>
      </c>
      <c r="BQ3057" t="s">
        <v>121</v>
      </c>
      <c r="BR3057" t="s">
        <v>84</v>
      </c>
      <c r="BS3057" s="3">
        <v>43795</v>
      </c>
      <c r="BT3057" s="5">
        <v>0.42708333333333331</v>
      </c>
      <c r="BU3057" t="s">
        <v>619</v>
      </c>
      <c r="BV3057" t="s">
        <v>86</v>
      </c>
      <c r="BY3057">
        <v>1200</v>
      </c>
      <c r="CA3057" t="s">
        <v>773</v>
      </c>
      <c r="CC3057" t="s">
        <v>271</v>
      </c>
      <c r="CD3057">
        <v>6220</v>
      </c>
      <c r="CE3057" t="s">
        <v>147</v>
      </c>
      <c r="CF3057" s="3">
        <v>43796</v>
      </c>
      <c r="CI3057">
        <v>1</v>
      </c>
      <c r="CJ3057">
        <v>1</v>
      </c>
      <c r="CK3057">
        <v>21</v>
      </c>
      <c r="CL3057" t="s">
        <v>89</v>
      </c>
    </row>
    <row r="3058" spans="1:90">
      <c r="A3058" t="s">
        <v>72</v>
      </c>
      <c r="B3058" t="s">
        <v>73</v>
      </c>
      <c r="C3058" t="s">
        <v>74</v>
      </c>
      <c r="E3058" t="str">
        <f>"FES1162724894"</f>
        <v>FES1162724894</v>
      </c>
      <c r="F3058" s="3">
        <v>43794</v>
      </c>
      <c r="G3058">
        <v>202005</v>
      </c>
      <c r="H3058" t="s">
        <v>75</v>
      </c>
      <c r="I3058" t="s">
        <v>76</v>
      </c>
      <c r="J3058" t="s">
        <v>77</v>
      </c>
      <c r="K3058" t="s">
        <v>78</v>
      </c>
      <c r="L3058" t="s">
        <v>339</v>
      </c>
      <c r="M3058" t="s">
        <v>340</v>
      </c>
      <c r="N3058" t="s">
        <v>341</v>
      </c>
      <c r="O3058" t="s">
        <v>82</v>
      </c>
      <c r="P3058" t="str">
        <f>"2170718563                    "</f>
        <v xml:space="preserve">2170718563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8.58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 s="4">
        <v>50.45</v>
      </c>
      <c r="BM3058" s="4">
        <v>7.57</v>
      </c>
      <c r="BN3058" s="4">
        <v>58.02</v>
      </c>
      <c r="BO3058" s="4">
        <v>58.02</v>
      </c>
      <c r="BQ3058" t="s">
        <v>109</v>
      </c>
      <c r="BR3058" t="s">
        <v>84</v>
      </c>
      <c r="BS3058" s="3">
        <v>43795</v>
      </c>
      <c r="BT3058" s="5">
        <v>0.42708333333333331</v>
      </c>
      <c r="BU3058" t="s">
        <v>342</v>
      </c>
      <c r="BV3058" t="s">
        <v>86</v>
      </c>
      <c r="BY3058">
        <v>1200</v>
      </c>
      <c r="CA3058" t="s">
        <v>3010</v>
      </c>
      <c r="CC3058" t="s">
        <v>340</v>
      </c>
      <c r="CD3058">
        <v>157</v>
      </c>
      <c r="CE3058" t="s">
        <v>147</v>
      </c>
      <c r="CF3058" s="3">
        <v>43796</v>
      </c>
      <c r="CI3058">
        <v>1</v>
      </c>
      <c r="CJ3058">
        <v>1</v>
      </c>
      <c r="CK3058">
        <v>21</v>
      </c>
      <c r="CL3058" t="s">
        <v>89</v>
      </c>
    </row>
    <row r="3059" spans="1:90">
      <c r="A3059" t="s">
        <v>72</v>
      </c>
      <c r="B3059" t="s">
        <v>73</v>
      </c>
      <c r="C3059" t="s">
        <v>74</v>
      </c>
      <c r="E3059" t="str">
        <f>"FES1162724664"</f>
        <v>FES1162724664</v>
      </c>
      <c r="F3059" s="3">
        <v>43794</v>
      </c>
      <c r="G3059">
        <v>202005</v>
      </c>
      <c r="H3059" t="s">
        <v>75</v>
      </c>
      <c r="I3059" t="s">
        <v>76</v>
      </c>
      <c r="J3059" t="s">
        <v>77</v>
      </c>
      <c r="K3059" t="s">
        <v>78</v>
      </c>
      <c r="L3059" t="s">
        <v>106</v>
      </c>
      <c r="M3059" t="s">
        <v>107</v>
      </c>
      <c r="N3059" t="s">
        <v>262</v>
      </c>
      <c r="O3059" t="s">
        <v>82</v>
      </c>
      <c r="P3059" t="str">
        <f>"2170718453                    "</f>
        <v xml:space="preserve">2170718453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8.58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 s="4">
        <v>50.45</v>
      </c>
      <c r="BM3059" s="4">
        <v>7.57</v>
      </c>
      <c r="BN3059" s="4">
        <v>58.02</v>
      </c>
      <c r="BO3059" s="4">
        <v>58.02</v>
      </c>
      <c r="BQ3059" t="s">
        <v>1357</v>
      </c>
      <c r="BR3059" t="s">
        <v>84</v>
      </c>
      <c r="BS3059" s="3">
        <v>43795</v>
      </c>
      <c r="BT3059" s="5">
        <v>0.30833333333333335</v>
      </c>
      <c r="BU3059" t="s">
        <v>2143</v>
      </c>
      <c r="BV3059" t="s">
        <v>86</v>
      </c>
      <c r="BY3059">
        <v>1200</v>
      </c>
      <c r="CA3059" t="s">
        <v>1247</v>
      </c>
      <c r="CC3059" t="s">
        <v>107</v>
      </c>
      <c r="CD3059">
        <v>6045</v>
      </c>
      <c r="CE3059" t="s">
        <v>147</v>
      </c>
      <c r="CF3059" s="3">
        <v>43796</v>
      </c>
      <c r="CI3059">
        <v>1</v>
      </c>
      <c r="CJ3059">
        <v>1</v>
      </c>
      <c r="CK3059">
        <v>21</v>
      </c>
      <c r="CL3059" t="s">
        <v>89</v>
      </c>
    </row>
    <row r="3060" spans="1:90">
      <c r="A3060" t="s">
        <v>72</v>
      </c>
      <c r="B3060" t="s">
        <v>73</v>
      </c>
      <c r="C3060" t="s">
        <v>74</v>
      </c>
      <c r="E3060" t="str">
        <f>"FES21162724853"</f>
        <v>FES21162724853</v>
      </c>
      <c r="F3060" s="3">
        <v>43794</v>
      </c>
      <c r="G3060">
        <v>202005</v>
      </c>
      <c r="H3060" t="s">
        <v>75</v>
      </c>
      <c r="I3060" t="s">
        <v>76</v>
      </c>
      <c r="J3060" t="s">
        <v>77</v>
      </c>
      <c r="K3060" t="s">
        <v>78</v>
      </c>
      <c r="L3060" t="s">
        <v>783</v>
      </c>
      <c r="M3060" t="s">
        <v>784</v>
      </c>
      <c r="N3060" t="s">
        <v>785</v>
      </c>
      <c r="O3060" t="s">
        <v>82</v>
      </c>
      <c r="P3060" t="str">
        <f>"2170716964                    "</f>
        <v xml:space="preserve">2170716964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16.63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 s="4">
        <v>97.75</v>
      </c>
      <c r="BM3060" s="4">
        <v>14.66</v>
      </c>
      <c r="BN3060" s="4">
        <v>112.41</v>
      </c>
      <c r="BO3060" s="4">
        <v>112.41</v>
      </c>
      <c r="BQ3060" t="s">
        <v>109</v>
      </c>
      <c r="BR3060" t="s">
        <v>84</v>
      </c>
      <c r="BS3060" s="3">
        <v>43795</v>
      </c>
      <c r="BT3060" s="5">
        <v>0.39583333333333331</v>
      </c>
      <c r="BU3060" t="s">
        <v>786</v>
      </c>
      <c r="BV3060" t="s">
        <v>86</v>
      </c>
      <c r="BY3060">
        <v>1200</v>
      </c>
      <c r="CA3060" t="s">
        <v>1801</v>
      </c>
      <c r="CC3060" t="s">
        <v>784</v>
      </c>
      <c r="CD3060">
        <v>9880</v>
      </c>
      <c r="CE3060" t="s">
        <v>147</v>
      </c>
      <c r="CI3060">
        <v>1</v>
      </c>
      <c r="CJ3060">
        <v>1</v>
      </c>
      <c r="CK3060">
        <v>23</v>
      </c>
      <c r="CL3060" t="s">
        <v>89</v>
      </c>
    </row>
    <row r="3061" spans="1:90">
      <c r="A3061" t="s">
        <v>72</v>
      </c>
      <c r="B3061" t="s">
        <v>73</v>
      </c>
      <c r="C3061" t="s">
        <v>74</v>
      </c>
      <c r="E3061" t="str">
        <f>"FES1162724809"</f>
        <v>FES1162724809</v>
      </c>
      <c r="F3061" s="3">
        <v>43794</v>
      </c>
      <c r="G3061">
        <v>202005</v>
      </c>
      <c r="H3061" t="s">
        <v>75</v>
      </c>
      <c r="I3061" t="s">
        <v>76</v>
      </c>
      <c r="J3061" t="s">
        <v>77</v>
      </c>
      <c r="K3061" t="s">
        <v>78</v>
      </c>
      <c r="L3061" t="s">
        <v>124</v>
      </c>
      <c r="M3061" t="s">
        <v>125</v>
      </c>
      <c r="N3061" t="s">
        <v>1603</v>
      </c>
      <c r="O3061" t="s">
        <v>82</v>
      </c>
      <c r="P3061" t="str">
        <f>"2170716575                    "</f>
        <v xml:space="preserve">2170716575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6.71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 s="4">
        <v>39.42</v>
      </c>
      <c r="BM3061" s="4">
        <v>5.91</v>
      </c>
      <c r="BN3061" s="4">
        <v>45.33</v>
      </c>
      <c r="BO3061" s="4">
        <v>45.33</v>
      </c>
      <c r="BQ3061" t="s">
        <v>109</v>
      </c>
      <c r="BR3061" t="s">
        <v>84</v>
      </c>
      <c r="BS3061" s="3">
        <v>43795</v>
      </c>
      <c r="BT3061" s="5">
        <v>0.3743055555555555</v>
      </c>
      <c r="BU3061" t="s">
        <v>3011</v>
      </c>
      <c r="BV3061" t="s">
        <v>86</v>
      </c>
      <c r="BY3061">
        <v>1200</v>
      </c>
      <c r="CA3061" t="s">
        <v>123</v>
      </c>
      <c r="CC3061" t="s">
        <v>125</v>
      </c>
      <c r="CD3061">
        <v>1723</v>
      </c>
      <c r="CE3061" t="s">
        <v>147</v>
      </c>
      <c r="CF3061" s="3">
        <v>43796</v>
      </c>
      <c r="CI3061">
        <v>1</v>
      </c>
      <c r="CJ3061">
        <v>1</v>
      </c>
      <c r="CK3061">
        <v>22</v>
      </c>
      <c r="CL3061" t="s">
        <v>89</v>
      </c>
    </row>
    <row r="3062" spans="1:90">
      <c r="A3062" t="s">
        <v>72</v>
      </c>
      <c r="B3062" t="s">
        <v>73</v>
      </c>
      <c r="C3062" t="s">
        <v>74</v>
      </c>
      <c r="E3062" t="str">
        <f>"FES1162724881"</f>
        <v>FES1162724881</v>
      </c>
      <c r="F3062" s="3">
        <v>43794</v>
      </c>
      <c r="G3062">
        <v>202005</v>
      </c>
      <c r="H3062" t="s">
        <v>75</v>
      </c>
      <c r="I3062" t="s">
        <v>76</v>
      </c>
      <c r="J3062" t="s">
        <v>77</v>
      </c>
      <c r="K3062" t="s">
        <v>78</v>
      </c>
      <c r="L3062" t="s">
        <v>344</v>
      </c>
      <c r="M3062" t="s">
        <v>345</v>
      </c>
      <c r="N3062" t="s">
        <v>346</v>
      </c>
      <c r="O3062" t="s">
        <v>82</v>
      </c>
      <c r="P3062" t="str">
        <f>"2170718277                    "</f>
        <v xml:space="preserve">2170718277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6.71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 s="4">
        <v>39.42</v>
      </c>
      <c r="BM3062" s="4">
        <v>5.91</v>
      </c>
      <c r="BN3062" s="4">
        <v>45.33</v>
      </c>
      <c r="BO3062" s="4">
        <v>45.33</v>
      </c>
      <c r="BQ3062" t="s">
        <v>1931</v>
      </c>
      <c r="BR3062" t="s">
        <v>84</v>
      </c>
      <c r="BS3062" s="3">
        <v>43795</v>
      </c>
      <c r="BT3062" s="5">
        <v>0.35416666666666669</v>
      </c>
      <c r="BU3062" t="s">
        <v>347</v>
      </c>
      <c r="BV3062" t="s">
        <v>86</v>
      </c>
      <c r="BY3062">
        <v>1200</v>
      </c>
      <c r="CA3062" t="s">
        <v>348</v>
      </c>
      <c r="CC3062" t="s">
        <v>345</v>
      </c>
      <c r="CD3062">
        <v>2163</v>
      </c>
      <c r="CE3062" t="s">
        <v>147</v>
      </c>
      <c r="CF3062" s="3">
        <v>43796</v>
      </c>
      <c r="CI3062">
        <v>1</v>
      </c>
      <c r="CJ3062">
        <v>1</v>
      </c>
      <c r="CK3062">
        <v>22</v>
      </c>
      <c r="CL3062" t="s">
        <v>89</v>
      </c>
    </row>
    <row r="3063" spans="1:90">
      <c r="A3063" t="s">
        <v>72</v>
      </c>
      <c r="B3063" t="s">
        <v>73</v>
      </c>
      <c r="C3063" t="s">
        <v>74</v>
      </c>
      <c r="E3063" t="str">
        <f>"FES1162724854"</f>
        <v>FES1162724854</v>
      </c>
      <c r="F3063" s="3">
        <v>43794</v>
      </c>
      <c r="G3063">
        <v>202005</v>
      </c>
      <c r="H3063" t="s">
        <v>75</v>
      </c>
      <c r="I3063" t="s">
        <v>76</v>
      </c>
      <c r="J3063" t="s">
        <v>77</v>
      </c>
      <c r="K3063" t="s">
        <v>78</v>
      </c>
      <c r="L3063" t="s">
        <v>75</v>
      </c>
      <c r="M3063" t="s">
        <v>76</v>
      </c>
      <c r="N3063" t="s">
        <v>3012</v>
      </c>
      <c r="O3063" t="s">
        <v>82</v>
      </c>
      <c r="P3063" t="str">
        <f>"2170716994                    "</f>
        <v xml:space="preserve">2170716994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6.71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 s="4">
        <v>39.42</v>
      </c>
      <c r="BM3063" s="4">
        <v>5.91</v>
      </c>
      <c r="BN3063" s="4">
        <v>45.33</v>
      </c>
      <c r="BO3063" s="4">
        <v>45.33</v>
      </c>
      <c r="BR3063" t="s">
        <v>84</v>
      </c>
      <c r="BS3063" s="3">
        <v>43795</v>
      </c>
      <c r="BT3063" s="5">
        <v>0.33333333333333331</v>
      </c>
      <c r="BU3063" t="s">
        <v>3013</v>
      </c>
      <c r="BV3063" t="s">
        <v>86</v>
      </c>
      <c r="BY3063">
        <v>1200</v>
      </c>
      <c r="CA3063" t="s">
        <v>797</v>
      </c>
      <c r="CC3063" t="s">
        <v>76</v>
      </c>
      <c r="CD3063">
        <v>1610</v>
      </c>
      <c r="CE3063" t="s">
        <v>147</v>
      </c>
      <c r="CF3063" s="3">
        <v>43796</v>
      </c>
      <c r="CI3063">
        <v>1</v>
      </c>
      <c r="CJ3063">
        <v>1</v>
      </c>
      <c r="CK3063">
        <v>22</v>
      </c>
      <c r="CL3063" t="s">
        <v>89</v>
      </c>
    </row>
    <row r="3064" spans="1:90">
      <c r="A3064" t="s">
        <v>72</v>
      </c>
      <c r="B3064" t="s">
        <v>73</v>
      </c>
      <c r="C3064" t="s">
        <v>74</v>
      </c>
      <c r="E3064" t="str">
        <f>"FES1162724872"</f>
        <v>FES1162724872</v>
      </c>
      <c r="F3064" s="3">
        <v>43794</v>
      </c>
      <c r="G3064">
        <v>202005</v>
      </c>
      <c r="H3064" t="s">
        <v>75</v>
      </c>
      <c r="I3064" t="s">
        <v>76</v>
      </c>
      <c r="J3064" t="s">
        <v>77</v>
      </c>
      <c r="K3064" t="s">
        <v>78</v>
      </c>
      <c r="L3064" t="s">
        <v>176</v>
      </c>
      <c r="M3064" t="s">
        <v>177</v>
      </c>
      <c r="N3064" t="s">
        <v>2586</v>
      </c>
      <c r="O3064" t="s">
        <v>82</v>
      </c>
      <c r="P3064" t="str">
        <f>"2170717901                    "</f>
        <v xml:space="preserve">2170717901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8.58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 s="4">
        <v>50.45</v>
      </c>
      <c r="BM3064" s="4">
        <v>7.57</v>
      </c>
      <c r="BN3064" s="4">
        <v>58.02</v>
      </c>
      <c r="BO3064" s="4">
        <v>58.02</v>
      </c>
      <c r="BQ3064" t="s">
        <v>121</v>
      </c>
      <c r="BR3064" t="s">
        <v>84</v>
      </c>
      <c r="BS3064" s="3">
        <v>43795</v>
      </c>
      <c r="BT3064" s="5">
        <v>0.41388888888888892</v>
      </c>
      <c r="BU3064" t="s">
        <v>3014</v>
      </c>
      <c r="BV3064" t="s">
        <v>86</v>
      </c>
      <c r="BY3064">
        <v>1200</v>
      </c>
      <c r="CA3064" t="s">
        <v>224</v>
      </c>
      <c r="CC3064" t="s">
        <v>177</v>
      </c>
      <c r="CD3064">
        <v>3610</v>
      </c>
      <c r="CE3064" t="s">
        <v>147</v>
      </c>
      <c r="CF3064" s="3">
        <v>43796</v>
      </c>
      <c r="CI3064">
        <v>1</v>
      </c>
      <c r="CJ3064">
        <v>1</v>
      </c>
      <c r="CK3064">
        <v>21</v>
      </c>
      <c r="CL3064" t="s">
        <v>89</v>
      </c>
    </row>
    <row r="3065" spans="1:90">
      <c r="A3065" t="s">
        <v>72</v>
      </c>
      <c r="B3065" t="s">
        <v>73</v>
      </c>
      <c r="C3065" t="s">
        <v>74</v>
      </c>
      <c r="E3065" t="str">
        <f>"FES1162724599"</f>
        <v>FES1162724599</v>
      </c>
      <c r="F3065" s="3">
        <v>43794</v>
      </c>
      <c r="G3065">
        <v>202005</v>
      </c>
      <c r="H3065" t="s">
        <v>75</v>
      </c>
      <c r="I3065" t="s">
        <v>76</v>
      </c>
      <c r="J3065" t="s">
        <v>77</v>
      </c>
      <c r="K3065" t="s">
        <v>78</v>
      </c>
      <c r="L3065" t="s">
        <v>106</v>
      </c>
      <c r="M3065" t="s">
        <v>107</v>
      </c>
      <c r="N3065" t="s">
        <v>700</v>
      </c>
      <c r="O3065" t="s">
        <v>82</v>
      </c>
      <c r="P3065" t="str">
        <f>"21707134697                   "</f>
        <v xml:space="preserve">21707134697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77.2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2</v>
      </c>
      <c r="BI3065">
        <v>17.899999999999999</v>
      </c>
      <c r="BJ3065">
        <v>15.1</v>
      </c>
      <c r="BK3065">
        <v>18</v>
      </c>
      <c r="BL3065" s="4">
        <v>453.79</v>
      </c>
      <c r="BM3065" s="4">
        <v>68.069999999999993</v>
      </c>
      <c r="BN3065" s="4">
        <v>521.86</v>
      </c>
      <c r="BO3065" s="4">
        <v>521.86</v>
      </c>
      <c r="BQ3065" t="s">
        <v>109</v>
      </c>
      <c r="BR3065" t="s">
        <v>84</v>
      </c>
      <c r="BS3065" s="3">
        <v>43795</v>
      </c>
      <c r="BT3065" s="5">
        <v>0.3444444444444445</v>
      </c>
      <c r="BU3065" t="s">
        <v>564</v>
      </c>
      <c r="BV3065" t="s">
        <v>86</v>
      </c>
      <c r="BY3065">
        <v>75383.06</v>
      </c>
      <c r="CA3065" t="s">
        <v>773</v>
      </c>
      <c r="CC3065" t="s">
        <v>107</v>
      </c>
      <c r="CD3065">
        <v>6001</v>
      </c>
      <c r="CE3065" t="s">
        <v>2197</v>
      </c>
      <c r="CF3065" s="3">
        <v>43796</v>
      </c>
      <c r="CI3065">
        <v>1</v>
      </c>
      <c r="CJ3065">
        <v>1</v>
      </c>
      <c r="CK3065">
        <v>21</v>
      </c>
      <c r="CL3065" t="s">
        <v>89</v>
      </c>
    </row>
    <row r="3066" spans="1:90">
      <c r="A3066" t="s">
        <v>72</v>
      </c>
      <c r="B3066" t="s">
        <v>73</v>
      </c>
      <c r="C3066" t="s">
        <v>74</v>
      </c>
      <c r="E3066" t="str">
        <f>"FES1162724921"</f>
        <v>FES1162724921</v>
      </c>
      <c r="F3066" s="3">
        <v>43794</v>
      </c>
      <c r="G3066">
        <v>202005</v>
      </c>
      <c r="H3066" t="s">
        <v>75</v>
      </c>
      <c r="I3066" t="s">
        <v>76</v>
      </c>
      <c r="J3066" t="s">
        <v>77</v>
      </c>
      <c r="K3066" t="s">
        <v>78</v>
      </c>
      <c r="L3066" t="s">
        <v>133</v>
      </c>
      <c r="M3066" t="s">
        <v>134</v>
      </c>
      <c r="N3066" t="s">
        <v>310</v>
      </c>
      <c r="O3066" t="s">
        <v>82</v>
      </c>
      <c r="P3066" t="str">
        <f>"2170716693                    "</f>
        <v xml:space="preserve">2170716693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8.58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 s="4">
        <v>50.45</v>
      </c>
      <c r="BM3066" s="4">
        <v>7.57</v>
      </c>
      <c r="BN3066" s="4">
        <v>58.02</v>
      </c>
      <c r="BO3066" s="4">
        <v>58.02</v>
      </c>
      <c r="BQ3066" t="s">
        <v>121</v>
      </c>
      <c r="BR3066" t="s">
        <v>84</v>
      </c>
      <c r="BS3066" s="3">
        <v>43795</v>
      </c>
      <c r="BT3066" s="5">
        <v>0.34722222222222227</v>
      </c>
      <c r="BU3066" t="s">
        <v>2182</v>
      </c>
      <c r="BV3066" t="s">
        <v>86</v>
      </c>
      <c r="BY3066">
        <v>1200</v>
      </c>
      <c r="CA3066" t="s">
        <v>912</v>
      </c>
      <c r="CC3066" t="s">
        <v>134</v>
      </c>
      <c r="CD3066">
        <v>5201</v>
      </c>
      <c r="CE3066" t="s">
        <v>147</v>
      </c>
      <c r="CF3066" s="3">
        <v>43796</v>
      </c>
      <c r="CI3066">
        <v>1</v>
      </c>
      <c r="CJ3066">
        <v>1</v>
      </c>
      <c r="CK3066">
        <v>21</v>
      </c>
      <c r="CL3066" t="s">
        <v>89</v>
      </c>
    </row>
    <row r="3067" spans="1:90">
      <c r="A3067" t="s">
        <v>72</v>
      </c>
      <c r="B3067" t="s">
        <v>73</v>
      </c>
      <c r="C3067" t="s">
        <v>74</v>
      </c>
      <c r="E3067" t="str">
        <f>"FES1162724861"</f>
        <v>FES1162724861</v>
      </c>
      <c r="F3067" s="3">
        <v>43794</v>
      </c>
      <c r="G3067">
        <v>202005</v>
      </c>
      <c r="H3067" t="s">
        <v>75</v>
      </c>
      <c r="I3067" t="s">
        <v>76</v>
      </c>
      <c r="J3067" t="s">
        <v>77</v>
      </c>
      <c r="K3067" t="s">
        <v>78</v>
      </c>
      <c r="L3067" t="s">
        <v>90</v>
      </c>
      <c r="M3067" t="s">
        <v>91</v>
      </c>
      <c r="N3067" t="s">
        <v>650</v>
      </c>
      <c r="O3067" t="s">
        <v>82</v>
      </c>
      <c r="P3067" t="str">
        <f>"2170717427                    "</f>
        <v xml:space="preserve">2170717427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8.58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 s="4">
        <v>50.45</v>
      </c>
      <c r="BM3067" s="4">
        <v>7.57</v>
      </c>
      <c r="BN3067" s="4">
        <v>58.02</v>
      </c>
      <c r="BO3067" s="4">
        <v>58.02</v>
      </c>
      <c r="BQ3067" t="s">
        <v>121</v>
      </c>
      <c r="BR3067" t="s">
        <v>84</v>
      </c>
      <c r="BS3067" s="3">
        <v>43795</v>
      </c>
      <c r="BT3067" s="5">
        <v>0.3972222222222222</v>
      </c>
      <c r="BU3067" t="s">
        <v>3015</v>
      </c>
      <c r="BV3067" t="s">
        <v>86</v>
      </c>
      <c r="BY3067">
        <v>1200</v>
      </c>
      <c r="CA3067" t="s">
        <v>213</v>
      </c>
      <c r="CC3067" t="s">
        <v>91</v>
      </c>
      <c r="CD3067">
        <v>7441</v>
      </c>
      <c r="CE3067" t="s">
        <v>147</v>
      </c>
      <c r="CF3067" s="3">
        <v>43796</v>
      </c>
      <c r="CI3067">
        <v>1</v>
      </c>
      <c r="CJ3067">
        <v>1</v>
      </c>
      <c r="CK3067">
        <v>21</v>
      </c>
      <c r="CL3067" t="s">
        <v>89</v>
      </c>
    </row>
    <row r="3068" spans="1:90">
      <c r="A3068" t="s">
        <v>72</v>
      </c>
      <c r="B3068" t="s">
        <v>73</v>
      </c>
      <c r="C3068" t="s">
        <v>74</v>
      </c>
      <c r="E3068" t="str">
        <f>"FES1162724933"</f>
        <v>FES1162724933</v>
      </c>
      <c r="F3068" s="3">
        <v>43794</v>
      </c>
      <c r="G3068">
        <v>202005</v>
      </c>
      <c r="H3068" t="s">
        <v>75</v>
      </c>
      <c r="I3068" t="s">
        <v>76</v>
      </c>
      <c r="J3068" t="s">
        <v>77</v>
      </c>
      <c r="K3068" t="s">
        <v>78</v>
      </c>
      <c r="L3068" t="s">
        <v>349</v>
      </c>
      <c r="M3068" t="s">
        <v>350</v>
      </c>
      <c r="N3068" t="s">
        <v>351</v>
      </c>
      <c r="O3068" t="s">
        <v>82</v>
      </c>
      <c r="P3068" t="str">
        <f>"2170718613                    "</f>
        <v xml:space="preserve">2170718613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8.58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 s="4">
        <v>50.45</v>
      </c>
      <c r="BM3068" s="4">
        <v>7.57</v>
      </c>
      <c r="BN3068" s="4">
        <v>58.02</v>
      </c>
      <c r="BO3068" s="4">
        <v>58.02</v>
      </c>
      <c r="BQ3068" t="s">
        <v>109</v>
      </c>
      <c r="BR3068" t="s">
        <v>84</v>
      </c>
      <c r="BS3068" s="3">
        <v>43795</v>
      </c>
      <c r="BT3068" s="5">
        <v>0.41666666666666669</v>
      </c>
      <c r="BU3068" t="s">
        <v>1826</v>
      </c>
      <c r="BV3068" t="s">
        <v>86</v>
      </c>
      <c r="BY3068">
        <v>1200</v>
      </c>
      <c r="CC3068" t="s">
        <v>350</v>
      </c>
      <c r="CD3068">
        <v>6536</v>
      </c>
      <c r="CE3068" t="s">
        <v>147</v>
      </c>
      <c r="CF3068" s="3">
        <v>43797</v>
      </c>
      <c r="CI3068">
        <v>1</v>
      </c>
      <c r="CJ3068">
        <v>1</v>
      </c>
      <c r="CK3068">
        <v>21</v>
      </c>
      <c r="CL3068" t="s">
        <v>89</v>
      </c>
    </row>
    <row r="3069" spans="1:90">
      <c r="A3069" t="s">
        <v>72</v>
      </c>
      <c r="B3069" t="s">
        <v>73</v>
      </c>
      <c r="C3069" t="s">
        <v>74</v>
      </c>
      <c r="E3069" t="str">
        <f>"FES1162724484"</f>
        <v>FES1162724484</v>
      </c>
      <c r="F3069" s="3">
        <v>43794</v>
      </c>
      <c r="G3069">
        <v>202005</v>
      </c>
      <c r="H3069" t="s">
        <v>75</v>
      </c>
      <c r="I3069" t="s">
        <v>76</v>
      </c>
      <c r="J3069" t="s">
        <v>77</v>
      </c>
      <c r="K3069" t="s">
        <v>78</v>
      </c>
      <c r="L3069" t="s">
        <v>75</v>
      </c>
      <c r="M3069" t="s">
        <v>76</v>
      </c>
      <c r="N3069" t="s">
        <v>3016</v>
      </c>
      <c r="O3069" t="s">
        <v>82</v>
      </c>
      <c r="P3069" t="str">
        <f>"2170715125                    "</f>
        <v xml:space="preserve">2170715125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6.71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 s="4">
        <v>39.42</v>
      </c>
      <c r="BM3069" s="4">
        <v>5.91</v>
      </c>
      <c r="BN3069" s="4">
        <v>45.33</v>
      </c>
      <c r="BO3069" s="4">
        <v>45.33</v>
      </c>
      <c r="BQ3069" t="s">
        <v>109</v>
      </c>
      <c r="BR3069" t="s">
        <v>84</v>
      </c>
      <c r="BS3069" s="3">
        <v>43795</v>
      </c>
      <c r="BT3069" s="5">
        <v>0.41666666666666669</v>
      </c>
      <c r="BU3069" t="s">
        <v>2495</v>
      </c>
      <c r="BV3069" t="s">
        <v>86</v>
      </c>
      <c r="BY3069">
        <v>1200</v>
      </c>
      <c r="CA3069" t="s">
        <v>238</v>
      </c>
      <c r="CC3069" t="s">
        <v>76</v>
      </c>
      <c r="CD3069">
        <v>1665</v>
      </c>
      <c r="CE3069" t="s">
        <v>147</v>
      </c>
      <c r="CF3069" s="3">
        <v>43796</v>
      </c>
      <c r="CI3069">
        <v>1</v>
      </c>
      <c r="CJ3069">
        <v>1</v>
      </c>
      <c r="CK3069">
        <v>22</v>
      </c>
      <c r="CL3069" t="s">
        <v>89</v>
      </c>
    </row>
    <row r="3070" spans="1:90">
      <c r="A3070" t="s">
        <v>72</v>
      </c>
      <c r="B3070" t="s">
        <v>73</v>
      </c>
      <c r="C3070" t="s">
        <v>74</v>
      </c>
      <c r="E3070" t="str">
        <f>"009939460489"</f>
        <v>009939460489</v>
      </c>
      <c r="F3070" s="3">
        <v>43790</v>
      </c>
      <c r="G3070">
        <v>202005</v>
      </c>
      <c r="H3070" t="s">
        <v>118</v>
      </c>
      <c r="I3070" t="s">
        <v>119</v>
      </c>
      <c r="J3070" t="s">
        <v>3017</v>
      </c>
      <c r="K3070" t="s">
        <v>78</v>
      </c>
      <c r="L3070" t="s">
        <v>75</v>
      </c>
      <c r="M3070" t="s">
        <v>76</v>
      </c>
      <c r="N3070" t="s">
        <v>211</v>
      </c>
      <c r="O3070" t="s">
        <v>282</v>
      </c>
      <c r="P3070" t="str">
        <f>"                              "</f>
        <v xml:space="preserve">          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16.09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2</v>
      </c>
      <c r="BJ3070">
        <v>1.2</v>
      </c>
      <c r="BK3070">
        <v>2</v>
      </c>
      <c r="BL3070" s="4">
        <v>99.59</v>
      </c>
      <c r="BM3070" s="4">
        <v>14.94</v>
      </c>
      <c r="BN3070" s="4">
        <v>114.53</v>
      </c>
      <c r="BO3070" s="4">
        <v>114.53</v>
      </c>
      <c r="BQ3070" t="s">
        <v>3018</v>
      </c>
      <c r="BR3070" t="s">
        <v>3019</v>
      </c>
      <c r="BS3070" s="3">
        <v>43791</v>
      </c>
      <c r="BT3070" s="5">
        <v>0.31597222222222221</v>
      </c>
      <c r="BU3070" t="s">
        <v>2396</v>
      </c>
      <c r="BV3070" t="s">
        <v>86</v>
      </c>
      <c r="BY3070">
        <v>6000</v>
      </c>
      <c r="CA3070" t="s">
        <v>198</v>
      </c>
      <c r="CC3070" t="s">
        <v>76</v>
      </c>
      <c r="CD3070">
        <v>1600</v>
      </c>
      <c r="CE3070" t="s">
        <v>88</v>
      </c>
      <c r="CF3070" s="3">
        <v>43794</v>
      </c>
      <c r="CI3070">
        <v>1</v>
      </c>
      <c r="CJ3070">
        <v>1</v>
      </c>
      <c r="CK3070" t="s">
        <v>289</v>
      </c>
      <c r="CL3070" t="s">
        <v>89</v>
      </c>
    </row>
    <row r="3071" spans="1:90">
      <c r="A3071" t="s">
        <v>72</v>
      </c>
      <c r="B3071" t="s">
        <v>73</v>
      </c>
      <c r="C3071" t="s">
        <v>74</v>
      </c>
      <c r="E3071" t="str">
        <f>"FES1162724796"</f>
        <v>FES1162724796</v>
      </c>
      <c r="F3071" s="3">
        <v>43794</v>
      </c>
      <c r="G3071">
        <v>202005</v>
      </c>
      <c r="H3071" t="s">
        <v>75</v>
      </c>
      <c r="I3071" t="s">
        <v>76</v>
      </c>
      <c r="J3071" t="s">
        <v>77</v>
      </c>
      <c r="K3071" t="s">
        <v>78</v>
      </c>
      <c r="L3071" t="s">
        <v>101</v>
      </c>
      <c r="M3071" t="s">
        <v>102</v>
      </c>
      <c r="N3071" t="s">
        <v>471</v>
      </c>
      <c r="O3071" t="s">
        <v>82</v>
      </c>
      <c r="P3071" t="str">
        <f>"2170716480                    "</f>
        <v xml:space="preserve">2170716480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8.58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 s="4">
        <v>50.45</v>
      </c>
      <c r="BM3071" s="4">
        <v>7.57</v>
      </c>
      <c r="BN3071" s="4">
        <v>58.02</v>
      </c>
      <c r="BO3071" s="4">
        <v>58.02</v>
      </c>
      <c r="BQ3071" t="s">
        <v>142</v>
      </c>
      <c r="BR3071" t="s">
        <v>84</v>
      </c>
      <c r="BS3071" s="3">
        <v>43796</v>
      </c>
      <c r="BT3071" s="5">
        <v>0.54166666666666663</v>
      </c>
      <c r="BU3071" t="s">
        <v>3020</v>
      </c>
      <c r="BV3071" t="s">
        <v>89</v>
      </c>
      <c r="BW3071" t="s">
        <v>319</v>
      </c>
      <c r="BX3071" t="s">
        <v>474</v>
      </c>
      <c r="BY3071">
        <v>1200</v>
      </c>
      <c r="CC3071" t="s">
        <v>102</v>
      </c>
      <c r="CD3071">
        <v>200</v>
      </c>
      <c r="CE3071" t="s">
        <v>147</v>
      </c>
      <c r="CF3071" s="3">
        <v>43797</v>
      </c>
      <c r="CI3071">
        <v>1</v>
      </c>
      <c r="CJ3071">
        <v>2</v>
      </c>
      <c r="CK3071">
        <v>21</v>
      </c>
      <c r="CL3071" t="s">
        <v>89</v>
      </c>
    </row>
    <row r="3072" spans="1:90">
      <c r="A3072" t="s">
        <v>72</v>
      </c>
      <c r="B3072" t="s">
        <v>73</v>
      </c>
      <c r="C3072" t="s">
        <v>74</v>
      </c>
      <c r="E3072" t="str">
        <f>"FES1162724880"</f>
        <v>FES1162724880</v>
      </c>
      <c r="F3072" s="3">
        <v>43794</v>
      </c>
      <c r="G3072">
        <v>202005</v>
      </c>
      <c r="H3072" t="s">
        <v>75</v>
      </c>
      <c r="I3072" t="s">
        <v>76</v>
      </c>
      <c r="J3072" t="s">
        <v>77</v>
      </c>
      <c r="K3072" t="s">
        <v>78</v>
      </c>
      <c r="L3072" t="s">
        <v>214</v>
      </c>
      <c r="M3072" t="s">
        <v>214</v>
      </c>
      <c r="N3072" t="s">
        <v>1523</v>
      </c>
      <c r="O3072" t="s">
        <v>82</v>
      </c>
      <c r="P3072" t="str">
        <f>"2170718274                    "</f>
        <v xml:space="preserve">2170718274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16.63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 s="4">
        <v>97.75</v>
      </c>
      <c r="BM3072" s="4">
        <v>14.66</v>
      </c>
      <c r="BN3072" s="4">
        <v>112.41</v>
      </c>
      <c r="BO3072" s="4">
        <v>112.41</v>
      </c>
      <c r="BR3072" t="s">
        <v>84</v>
      </c>
      <c r="BS3072" s="3">
        <v>43795</v>
      </c>
      <c r="BT3072" s="5">
        <v>0.4604166666666667</v>
      </c>
      <c r="BU3072" t="s">
        <v>706</v>
      </c>
      <c r="BV3072" t="s">
        <v>86</v>
      </c>
      <c r="BY3072">
        <v>1200</v>
      </c>
      <c r="CA3072" t="s">
        <v>217</v>
      </c>
      <c r="CC3072" t="s">
        <v>214</v>
      </c>
      <c r="CD3072">
        <v>7646</v>
      </c>
      <c r="CE3072" t="s">
        <v>147</v>
      </c>
      <c r="CF3072" s="3">
        <v>43796</v>
      </c>
      <c r="CI3072">
        <v>1</v>
      </c>
      <c r="CJ3072">
        <v>1</v>
      </c>
      <c r="CK3072">
        <v>23</v>
      </c>
      <c r="CL3072" t="s">
        <v>89</v>
      </c>
    </row>
    <row r="3073" spans="1:90">
      <c r="A3073" t="s">
        <v>72</v>
      </c>
      <c r="B3073" t="s">
        <v>73</v>
      </c>
      <c r="C3073" t="s">
        <v>74</v>
      </c>
      <c r="E3073" t="str">
        <f>"FES1162724815"</f>
        <v>FES1162724815</v>
      </c>
      <c r="F3073" s="3">
        <v>43794</v>
      </c>
      <c r="G3073">
        <v>202005</v>
      </c>
      <c r="H3073" t="s">
        <v>75</v>
      </c>
      <c r="I3073" t="s">
        <v>76</v>
      </c>
      <c r="J3073" t="s">
        <v>77</v>
      </c>
      <c r="K3073" t="s">
        <v>78</v>
      </c>
      <c r="L3073" t="s">
        <v>101</v>
      </c>
      <c r="M3073" t="s">
        <v>102</v>
      </c>
      <c r="N3073" t="s">
        <v>923</v>
      </c>
      <c r="O3073" t="s">
        <v>82</v>
      </c>
      <c r="P3073" t="str">
        <f>"2170716622                    "</f>
        <v xml:space="preserve">2170716622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8.58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 s="4">
        <v>50.45</v>
      </c>
      <c r="BM3073" s="4">
        <v>7.57</v>
      </c>
      <c r="BN3073" s="4">
        <v>58.02</v>
      </c>
      <c r="BO3073" s="4">
        <v>58.02</v>
      </c>
      <c r="BQ3073" t="s">
        <v>109</v>
      </c>
      <c r="BR3073" t="s">
        <v>84</v>
      </c>
      <c r="BS3073" s="3">
        <v>43795</v>
      </c>
      <c r="BT3073" s="5">
        <v>0.41666666666666669</v>
      </c>
      <c r="BU3073" t="s">
        <v>1624</v>
      </c>
      <c r="BV3073" t="s">
        <v>86</v>
      </c>
      <c r="BY3073">
        <v>1200</v>
      </c>
      <c r="CC3073" t="s">
        <v>102</v>
      </c>
      <c r="CD3073">
        <v>2</v>
      </c>
      <c r="CE3073" t="s">
        <v>147</v>
      </c>
      <c r="CF3073" s="3">
        <v>43796</v>
      </c>
      <c r="CI3073">
        <v>1</v>
      </c>
      <c r="CJ3073">
        <v>1</v>
      </c>
      <c r="CK3073">
        <v>21</v>
      </c>
      <c r="CL3073" t="s">
        <v>89</v>
      </c>
    </row>
    <row r="3074" spans="1:90">
      <c r="A3074" t="s">
        <v>72</v>
      </c>
      <c r="B3074" t="s">
        <v>73</v>
      </c>
      <c r="C3074" t="s">
        <v>74</v>
      </c>
      <c r="E3074" t="str">
        <f>"FES1162724896"</f>
        <v>FES1162724896</v>
      </c>
      <c r="F3074" s="3">
        <v>43794</v>
      </c>
      <c r="G3074">
        <v>202005</v>
      </c>
      <c r="H3074" t="s">
        <v>75</v>
      </c>
      <c r="I3074" t="s">
        <v>76</v>
      </c>
      <c r="J3074" t="s">
        <v>77</v>
      </c>
      <c r="K3074" t="s">
        <v>78</v>
      </c>
      <c r="L3074" t="s">
        <v>106</v>
      </c>
      <c r="M3074" t="s">
        <v>107</v>
      </c>
      <c r="N3074" t="s">
        <v>108</v>
      </c>
      <c r="O3074" t="s">
        <v>82</v>
      </c>
      <c r="P3074" t="str">
        <f>"21707018569                   "</f>
        <v xml:space="preserve">21707018569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8.58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 s="4">
        <v>50.45</v>
      </c>
      <c r="BM3074" s="4">
        <v>7.57</v>
      </c>
      <c r="BN3074" s="4">
        <v>58.02</v>
      </c>
      <c r="BO3074" s="4">
        <v>58.02</v>
      </c>
      <c r="BQ3074" t="s">
        <v>109</v>
      </c>
      <c r="BR3074" t="s">
        <v>84</v>
      </c>
      <c r="BS3074" s="3">
        <v>43795</v>
      </c>
      <c r="BT3074" s="5">
        <v>0.42569444444444443</v>
      </c>
      <c r="BU3074" t="s">
        <v>3005</v>
      </c>
      <c r="BV3074" t="s">
        <v>86</v>
      </c>
      <c r="BY3074">
        <v>1200</v>
      </c>
      <c r="CA3074" t="s">
        <v>111</v>
      </c>
      <c r="CC3074" t="s">
        <v>107</v>
      </c>
      <c r="CD3074">
        <v>6001</v>
      </c>
      <c r="CE3074" t="s">
        <v>147</v>
      </c>
      <c r="CF3074" s="3">
        <v>43796</v>
      </c>
      <c r="CI3074">
        <v>1</v>
      </c>
      <c r="CJ3074">
        <v>1</v>
      </c>
      <c r="CK3074">
        <v>21</v>
      </c>
      <c r="CL3074" t="s">
        <v>89</v>
      </c>
    </row>
    <row r="3075" spans="1:90">
      <c r="A3075" t="s">
        <v>72</v>
      </c>
      <c r="B3075" t="s">
        <v>73</v>
      </c>
      <c r="C3075" t="s">
        <v>74</v>
      </c>
      <c r="E3075" t="str">
        <f>"FES1162724754"</f>
        <v>FES1162724754</v>
      </c>
      <c r="F3075" s="3">
        <v>43794</v>
      </c>
      <c r="G3075">
        <v>202005</v>
      </c>
      <c r="H3075" t="s">
        <v>75</v>
      </c>
      <c r="I3075" t="s">
        <v>76</v>
      </c>
      <c r="J3075" t="s">
        <v>77</v>
      </c>
      <c r="K3075" t="s">
        <v>78</v>
      </c>
      <c r="L3075" t="s">
        <v>75</v>
      </c>
      <c r="M3075" t="s">
        <v>76</v>
      </c>
      <c r="N3075" t="s">
        <v>3021</v>
      </c>
      <c r="O3075" t="s">
        <v>82</v>
      </c>
      <c r="P3075" t="str">
        <f>"2170718534                    "</f>
        <v xml:space="preserve">2170718534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6.71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 s="4">
        <v>39.42</v>
      </c>
      <c r="BM3075" s="4">
        <v>5.91</v>
      </c>
      <c r="BN3075" s="4">
        <v>45.33</v>
      </c>
      <c r="BO3075" s="4">
        <v>45.33</v>
      </c>
      <c r="BQ3075" t="s">
        <v>121</v>
      </c>
      <c r="BR3075" t="s">
        <v>84</v>
      </c>
      <c r="BS3075" s="3">
        <v>43795</v>
      </c>
      <c r="BT3075" s="5">
        <v>0.3125</v>
      </c>
      <c r="BU3075" t="s">
        <v>3022</v>
      </c>
      <c r="BV3075" t="s">
        <v>86</v>
      </c>
      <c r="BY3075">
        <v>1200</v>
      </c>
      <c r="CA3075" t="s">
        <v>238</v>
      </c>
      <c r="CC3075" t="s">
        <v>76</v>
      </c>
      <c r="CD3075">
        <v>1666</v>
      </c>
      <c r="CE3075" t="s">
        <v>147</v>
      </c>
      <c r="CF3075" s="3">
        <v>43796</v>
      </c>
      <c r="CI3075">
        <v>1</v>
      </c>
      <c r="CJ3075">
        <v>1</v>
      </c>
      <c r="CK3075">
        <v>22</v>
      </c>
      <c r="CL3075" t="s">
        <v>89</v>
      </c>
    </row>
    <row r="3076" spans="1:90">
      <c r="A3076" t="s">
        <v>72</v>
      </c>
      <c r="B3076" t="s">
        <v>73</v>
      </c>
      <c r="C3076" t="s">
        <v>74</v>
      </c>
      <c r="E3076" t="str">
        <f>"FES1162724889"</f>
        <v>FES1162724889</v>
      </c>
      <c r="F3076" s="3">
        <v>43794</v>
      </c>
      <c r="G3076">
        <v>202005</v>
      </c>
      <c r="H3076" t="s">
        <v>75</v>
      </c>
      <c r="I3076" t="s">
        <v>76</v>
      </c>
      <c r="J3076" t="s">
        <v>77</v>
      </c>
      <c r="K3076" t="s">
        <v>78</v>
      </c>
      <c r="L3076" t="s">
        <v>90</v>
      </c>
      <c r="M3076" t="s">
        <v>91</v>
      </c>
      <c r="N3076" t="s">
        <v>1632</v>
      </c>
      <c r="O3076" t="s">
        <v>82</v>
      </c>
      <c r="P3076" t="str">
        <f>"2170718363                    "</f>
        <v xml:space="preserve">2170718363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8.58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 s="4">
        <v>50.45</v>
      </c>
      <c r="BM3076" s="4">
        <v>7.57</v>
      </c>
      <c r="BN3076" s="4">
        <v>58.02</v>
      </c>
      <c r="BO3076" s="4">
        <v>58.02</v>
      </c>
      <c r="BQ3076" t="s">
        <v>109</v>
      </c>
      <c r="BR3076" t="s">
        <v>84</v>
      </c>
      <c r="BS3076" s="3">
        <v>43795</v>
      </c>
      <c r="BT3076" s="5">
        <v>0.35972222222222222</v>
      </c>
      <c r="BU3076" t="s">
        <v>1633</v>
      </c>
      <c r="BV3076" t="s">
        <v>86</v>
      </c>
      <c r="BY3076">
        <v>1200</v>
      </c>
      <c r="CA3076" t="s">
        <v>323</v>
      </c>
      <c r="CC3076" t="s">
        <v>91</v>
      </c>
      <c r="CD3076">
        <v>7460</v>
      </c>
      <c r="CE3076" t="s">
        <v>147</v>
      </c>
      <c r="CF3076" s="3">
        <v>43796</v>
      </c>
      <c r="CI3076">
        <v>1</v>
      </c>
      <c r="CJ3076">
        <v>1</v>
      </c>
      <c r="CK3076">
        <v>21</v>
      </c>
      <c r="CL3076" t="s">
        <v>89</v>
      </c>
    </row>
    <row r="3077" spans="1:90">
      <c r="A3077" t="s">
        <v>72</v>
      </c>
      <c r="B3077" t="s">
        <v>73</v>
      </c>
      <c r="C3077" t="s">
        <v>74</v>
      </c>
      <c r="E3077" t="str">
        <f>"FES1162724623"</f>
        <v>FES1162724623</v>
      </c>
      <c r="F3077" s="3">
        <v>43794</v>
      </c>
      <c r="G3077">
        <v>202005</v>
      </c>
      <c r="H3077" t="s">
        <v>75</v>
      </c>
      <c r="I3077" t="s">
        <v>76</v>
      </c>
      <c r="J3077" t="s">
        <v>77</v>
      </c>
      <c r="K3077" t="s">
        <v>78</v>
      </c>
      <c r="L3077" t="s">
        <v>101</v>
      </c>
      <c r="M3077" t="s">
        <v>102</v>
      </c>
      <c r="N3077" t="s">
        <v>707</v>
      </c>
      <c r="O3077" t="s">
        <v>82</v>
      </c>
      <c r="P3077" t="str">
        <f>"2170718413                    "</f>
        <v xml:space="preserve">2170718413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8.58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 s="4">
        <v>50.45</v>
      </c>
      <c r="BM3077" s="4">
        <v>7.57</v>
      </c>
      <c r="BN3077" s="4">
        <v>58.02</v>
      </c>
      <c r="BO3077" s="4">
        <v>58.02</v>
      </c>
      <c r="BQ3077" t="s">
        <v>121</v>
      </c>
      <c r="BR3077" t="s">
        <v>84</v>
      </c>
      <c r="BS3077" s="3">
        <v>43795</v>
      </c>
      <c r="BT3077" s="5">
        <v>0.37083333333333335</v>
      </c>
      <c r="BU3077" t="s">
        <v>708</v>
      </c>
      <c r="BV3077" t="s">
        <v>86</v>
      </c>
      <c r="BY3077">
        <v>1200</v>
      </c>
      <c r="CA3077" t="s">
        <v>709</v>
      </c>
      <c r="CC3077" t="s">
        <v>102</v>
      </c>
      <c r="CD3077">
        <v>1</v>
      </c>
      <c r="CE3077" t="s">
        <v>147</v>
      </c>
      <c r="CF3077" s="3">
        <v>43796</v>
      </c>
      <c r="CI3077">
        <v>1</v>
      </c>
      <c r="CJ3077">
        <v>1</v>
      </c>
      <c r="CK3077">
        <v>21</v>
      </c>
      <c r="CL3077" t="s">
        <v>89</v>
      </c>
    </row>
    <row r="3078" spans="1:90">
      <c r="A3078" t="s">
        <v>72</v>
      </c>
      <c r="B3078" t="s">
        <v>73</v>
      </c>
      <c r="C3078" t="s">
        <v>74</v>
      </c>
      <c r="E3078" t="str">
        <f>"FES1162724608"</f>
        <v>FES1162724608</v>
      </c>
      <c r="F3078" s="3">
        <v>43794</v>
      </c>
      <c r="G3078">
        <v>202005</v>
      </c>
      <c r="H3078" t="s">
        <v>75</v>
      </c>
      <c r="I3078" t="s">
        <v>76</v>
      </c>
      <c r="J3078" t="s">
        <v>77</v>
      </c>
      <c r="K3078" t="s">
        <v>78</v>
      </c>
      <c r="L3078" t="s">
        <v>101</v>
      </c>
      <c r="M3078" t="s">
        <v>102</v>
      </c>
      <c r="N3078" t="s">
        <v>768</v>
      </c>
      <c r="O3078" t="s">
        <v>82</v>
      </c>
      <c r="P3078" t="str">
        <f>"2170715821                    "</f>
        <v xml:space="preserve">2170715821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8.58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 s="4">
        <v>50.45</v>
      </c>
      <c r="BM3078" s="4">
        <v>7.57</v>
      </c>
      <c r="BN3078" s="4">
        <v>58.02</v>
      </c>
      <c r="BO3078" s="4">
        <v>58.02</v>
      </c>
      <c r="BQ3078" t="s">
        <v>769</v>
      </c>
      <c r="BR3078" t="s">
        <v>84</v>
      </c>
      <c r="BS3078" s="3">
        <v>43795</v>
      </c>
      <c r="BT3078" s="5">
        <v>0.3756944444444445</v>
      </c>
      <c r="BU3078" t="s">
        <v>2950</v>
      </c>
      <c r="BV3078" t="s">
        <v>86</v>
      </c>
      <c r="BY3078">
        <v>1200</v>
      </c>
      <c r="CA3078" t="s">
        <v>2946</v>
      </c>
      <c r="CC3078" t="s">
        <v>102</v>
      </c>
      <c r="CD3078">
        <v>117</v>
      </c>
      <c r="CE3078" t="s">
        <v>147</v>
      </c>
      <c r="CF3078" s="3">
        <v>43796</v>
      </c>
      <c r="CI3078">
        <v>1</v>
      </c>
      <c r="CJ3078">
        <v>1</v>
      </c>
      <c r="CK3078">
        <v>21</v>
      </c>
      <c r="CL3078" t="s">
        <v>89</v>
      </c>
    </row>
    <row r="3079" spans="1:90">
      <c r="A3079" t="s">
        <v>72</v>
      </c>
      <c r="B3079" t="s">
        <v>73</v>
      </c>
      <c r="C3079" t="s">
        <v>74</v>
      </c>
      <c r="E3079" t="str">
        <f>"FES1162724607"</f>
        <v>FES1162724607</v>
      </c>
      <c r="F3079" s="3">
        <v>43794</v>
      </c>
      <c r="G3079">
        <v>202005</v>
      </c>
      <c r="H3079" t="s">
        <v>75</v>
      </c>
      <c r="I3079" t="s">
        <v>76</v>
      </c>
      <c r="J3079" t="s">
        <v>77</v>
      </c>
      <c r="K3079" t="s">
        <v>78</v>
      </c>
      <c r="L3079" t="s">
        <v>925</v>
      </c>
      <c r="M3079" t="s">
        <v>926</v>
      </c>
      <c r="N3079" t="s">
        <v>927</v>
      </c>
      <c r="O3079" t="s">
        <v>82</v>
      </c>
      <c r="P3079" t="str">
        <f>"2170715765                    "</f>
        <v xml:space="preserve">2170715765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12.07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 s="4">
        <v>70.95</v>
      </c>
      <c r="BM3079" s="4">
        <v>10.64</v>
      </c>
      <c r="BN3079" s="4">
        <v>81.59</v>
      </c>
      <c r="BO3079" s="4">
        <v>81.59</v>
      </c>
      <c r="BQ3079" t="s">
        <v>109</v>
      </c>
      <c r="BR3079" t="s">
        <v>84</v>
      </c>
      <c r="BS3079" s="3">
        <v>43795</v>
      </c>
      <c r="BT3079" s="5">
        <v>0.61041666666666672</v>
      </c>
      <c r="BU3079" t="s">
        <v>928</v>
      </c>
      <c r="BV3079" t="s">
        <v>86</v>
      </c>
      <c r="BY3079">
        <v>1200</v>
      </c>
      <c r="CA3079" t="s">
        <v>929</v>
      </c>
      <c r="CC3079" t="s">
        <v>926</v>
      </c>
      <c r="CD3079">
        <v>1028</v>
      </c>
      <c r="CE3079" t="s">
        <v>147</v>
      </c>
      <c r="CF3079" s="3">
        <v>43796</v>
      </c>
      <c r="CI3079">
        <v>1</v>
      </c>
      <c r="CJ3079">
        <v>1</v>
      </c>
      <c r="CK3079">
        <v>24</v>
      </c>
      <c r="CL3079" t="s">
        <v>89</v>
      </c>
    </row>
    <row r="3080" spans="1:90">
      <c r="A3080" t="s">
        <v>72</v>
      </c>
      <c r="B3080" t="s">
        <v>73</v>
      </c>
      <c r="C3080" t="s">
        <v>74</v>
      </c>
      <c r="E3080" t="str">
        <f>"009935712107"</f>
        <v>009935712107</v>
      </c>
      <c r="F3080" s="3">
        <v>43794</v>
      </c>
      <c r="G3080">
        <v>202005</v>
      </c>
      <c r="H3080" t="s">
        <v>75</v>
      </c>
      <c r="I3080" t="s">
        <v>76</v>
      </c>
      <c r="J3080" t="s">
        <v>77</v>
      </c>
      <c r="K3080" t="s">
        <v>78</v>
      </c>
      <c r="L3080" t="s">
        <v>90</v>
      </c>
      <c r="M3080" t="s">
        <v>91</v>
      </c>
      <c r="N3080" t="s">
        <v>393</v>
      </c>
      <c r="O3080" t="s">
        <v>82</v>
      </c>
      <c r="P3080" t="str">
        <f>"KOENA                         "</f>
        <v xml:space="preserve">KOENA     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21.45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4.3</v>
      </c>
      <c r="BJ3080">
        <v>4.8</v>
      </c>
      <c r="BK3080">
        <v>5</v>
      </c>
      <c r="BL3080" s="4">
        <v>126.08</v>
      </c>
      <c r="BM3080" s="4">
        <v>18.91</v>
      </c>
      <c r="BN3080" s="4">
        <v>144.99</v>
      </c>
      <c r="BO3080" s="4">
        <v>144.99</v>
      </c>
      <c r="BQ3080" t="s">
        <v>1630</v>
      </c>
      <c r="BR3080" t="s">
        <v>84</v>
      </c>
      <c r="BS3080" s="3">
        <v>43795</v>
      </c>
      <c r="BT3080" s="5">
        <v>0.30833333333333335</v>
      </c>
      <c r="BU3080" t="s">
        <v>2033</v>
      </c>
      <c r="BV3080" t="s">
        <v>86</v>
      </c>
      <c r="BY3080">
        <v>23808.67</v>
      </c>
      <c r="CA3080" t="s">
        <v>221</v>
      </c>
      <c r="CC3080" t="s">
        <v>91</v>
      </c>
      <c r="CD3080">
        <v>7405</v>
      </c>
      <c r="CE3080" t="s">
        <v>1598</v>
      </c>
      <c r="CF3080" s="3">
        <v>43796</v>
      </c>
      <c r="CI3080">
        <v>1</v>
      </c>
      <c r="CJ3080">
        <v>1</v>
      </c>
      <c r="CK3080">
        <v>21</v>
      </c>
      <c r="CL3080" t="s">
        <v>89</v>
      </c>
    </row>
    <row r="3081" spans="1:90">
      <c r="A3081" t="s">
        <v>72</v>
      </c>
      <c r="B3081" t="s">
        <v>73</v>
      </c>
      <c r="C3081" t="s">
        <v>74</v>
      </c>
      <c r="E3081" t="str">
        <f>"FES1162724570"</f>
        <v>FES1162724570</v>
      </c>
      <c r="F3081" s="3">
        <v>43794</v>
      </c>
      <c r="G3081">
        <v>202005</v>
      </c>
      <c r="H3081" t="s">
        <v>75</v>
      </c>
      <c r="I3081" t="s">
        <v>76</v>
      </c>
      <c r="J3081" t="s">
        <v>77</v>
      </c>
      <c r="K3081" t="s">
        <v>78</v>
      </c>
      <c r="L3081" t="s">
        <v>101</v>
      </c>
      <c r="M3081" t="s">
        <v>102</v>
      </c>
      <c r="N3081" t="s">
        <v>181</v>
      </c>
      <c r="O3081" t="s">
        <v>82</v>
      </c>
      <c r="P3081" t="str">
        <f>"217718360                     "</f>
        <v xml:space="preserve">217718360 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8.58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0.6</v>
      </c>
      <c r="BJ3081">
        <v>1.3</v>
      </c>
      <c r="BK3081">
        <v>1.5</v>
      </c>
      <c r="BL3081" s="4">
        <v>50.45</v>
      </c>
      <c r="BM3081" s="4">
        <v>7.57</v>
      </c>
      <c r="BN3081" s="4">
        <v>58.02</v>
      </c>
      <c r="BO3081" s="4">
        <v>58.02</v>
      </c>
      <c r="BQ3081" t="s">
        <v>121</v>
      </c>
      <c r="BR3081" t="s">
        <v>84</v>
      </c>
      <c r="BS3081" s="3">
        <v>43795</v>
      </c>
      <c r="BT3081" s="5">
        <v>0.3923611111111111</v>
      </c>
      <c r="BU3081" t="s">
        <v>2850</v>
      </c>
      <c r="BV3081" t="s">
        <v>86</v>
      </c>
      <c r="BY3081">
        <v>6444.36</v>
      </c>
      <c r="CC3081" t="s">
        <v>102</v>
      </c>
      <c r="CD3081">
        <v>200</v>
      </c>
      <c r="CE3081" t="s">
        <v>88</v>
      </c>
      <c r="CF3081" s="3">
        <v>43796</v>
      </c>
      <c r="CI3081">
        <v>1</v>
      </c>
      <c r="CJ3081">
        <v>1</v>
      </c>
      <c r="CK3081">
        <v>21</v>
      </c>
      <c r="CL3081" t="s">
        <v>89</v>
      </c>
    </row>
    <row r="3082" spans="1:90">
      <c r="A3082" t="s">
        <v>72</v>
      </c>
      <c r="B3082" t="s">
        <v>73</v>
      </c>
      <c r="C3082" t="s">
        <v>74</v>
      </c>
      <c r="E3082" t="str">
        <f>"FES1162724969"</f>
        <v>FES1162724969</v>
      </c>
      <c r="F3082" s="3">
        <v>43794</v>
      </c>
      <c r="G3082">
        <v>202005</v>
      </c>
      <c r="H3082" t="s">
        <v>75</v>
      </c>
      <c r="I3082" t="s">
        <v>76</v>
      </c>
      <c r="J3082" t="s">
        <v>77</v>
      </c>
      <c r="K3082" t="s">
        <v>78</v>
      </c>
      <c r="L3082" t="s">
        <v>176</v>
      </c>
      <c r="M3082" t="s">
        <v>177</v>
      </c>
      <c r="N3082" t="s">
        <v>178</v>
      </c>
      <c r="O3082" t="s">
        <v>82</v>
      </c>
      <c r="P3082" t="str">
        <f>"2170718669                    "</f>
        <v xml:space="preserve">2170718669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8.58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 s="4">
        <v>50.45</v>
      </c>
      <c r="BM3082" s="4">
        <v>7.57</v>
      </c>
      <c r="BN3082" s="4">
        <v>58.02</v>
      </c>
      <c r="BO3082" s="4">
        <v>58.02</v>
      </c>
      <c r="BQ3082" t="s">
        <v>142</v>
      </c>
      <c r="BR3082" t="s">
        <v>84</v>
      </c>
      <c r="BS3082" s="3">
        <v>43795</v>
      </c>
      <c r="BT3082" s="5">
        <v>0.32777777777777778</v>
      </c>
      <c r="BU3082" t="s">
        <v>1053</v>
      </c>
      <c r="BV3082" t="s">
        <v>86</v>
      </c>
      <c r="BY3082">
        <v>1200</v>
      </c>
      <c r="CA3082" t="s">
        <v>180</v>
      </c>
      <c r="CC3082" t="s">
        <v>177</v>
      </c>
      <c r="CD3082">
        <v>3610</v>
      </c>
      <c r="CE3082" t="s">
        <v>147</v>
      </c>
      <c r="CF3082" s="3">
        <v>43796</v>
      </c>
      <c r="CI3082">
        <v>1</v>
      </c>
      <c r="CJ3082">
        <v>1</v>
      </c>
      <c r="CK3082">
        <v>21</v>
      </c>
      <c r="CL3082" t="s">
        <v>89</v>
      </c>
    </row>
    <row r="3083" spans="1:90">
      <c r="A3083" t="s">
        <v>72</v>
      </c>
      <c r="B3083" t="s">
        <v>73</v>
      </c>
      <c r="C3083" t="s">
        <v>74</v>
      </c>
      <c r="E3083" t="str">
        <f>"FES1162724851"</f>
        <v>FES1162724851</v>
      </c>
      <c r="F3083" s="3">
        <v>43794</v>
      </c>
      <c r="G3083">
        <v>202005</v>
      </c>
      <c r="H3083" t="s">
        <v>75</v>
      </c>
      <c r="I3083" t="s">
        <v>76</v>
      </c>
      <c r="J3083" t="s">
        <v>77</v>
      </c>
      <c r="K3083" t="s">
        <v>78</v>
      </c>
      <c r="L3083" t="s">
        <v>133</v>
      </c>
      <c r="M3083" t="s">
        <v>134</v>
      </c>
      <c r="N3083" t="s">
        <v>735</v>
      </c>
      <c r="O3083" t="s">
        <v>82</v>
      </c>
      <c r="P3083" t="str">
        <f>"2170716908                    "</f>
        <v xml:space="preserve">2170716908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8.58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 s="4">
        <v>50.45</v>
      </c>
      <c r="BM3083" s="4">
        <v>7.57</v>
      </c>
      <c r="BN3083" s="4">
        <v>58.02</v>
      </c>
      <c r="BO3083" s="4">
        <v>58.02</v>
      </c>
      <c r="BR3083" t="s">
        <v>84</v>
      </c>
      <c r="BS3083" s="3">
        <v>43795</v>
      </c>
      <c r="BT3083" s="5">
        <v>0.39374999999999999</v>
      </c>
      <c r="BU3083" t="s">
        <v>2808</v>
      </c>
      <c r="BV3083" t="s">
        <v>86</v>
      </c>
      <c r="BY3083">
        <v>1200</v>
      </c>
      <c r="CA3083" t="s">
        <v>698</v>
      </c>
      <c r="CC3083" t="s">
        <v>134</v>
      </c>
      <c r="CD3083">
        <v>5200</v>
      </c>
      <c r="CE3083" t="s">
        <v>147</v>
      </c>
      <c r="CF3083" s="3">
        <v>43797</v>
      </c>
      <c r="CI3083">
        <v>1</v>
      </c>
      <c r="CJ3083">
        <v>1</v>
      </c>
      <c r="CK3083">
        <v>21</v>
      </c>
      <c r="CL3083" t="s">
        <v>89</v>
      </c>
    </row>
    <row r="3084" spans="1:90">
      <c r="A3084" t="s">
        <v>72</v>
      </c>
      <c r="B3084" t="s">
        <v>73</v>
      </c>
      <c r="C3084" t="s">
        <v>74</v>
      </c>
      <c r="E3084" t="str">
        <f>"FES1162724834"</f>
        <v>FES1162724834</v>
      </c>
      <c r="F3084" s="3">
        <v>43794</v>
      </c>
      <c r="G3084">
        <v>202005</v>
      </c>
      <c r="H3084" t="s">
        <v>75</v>
      </c>
      <c r="I3084" t="s">
        <v>76</v>
      </c>
      <c r="J3084" t="s">
        <v>77</v>
      </c>
      <c r="K3084" t="s">
        <v>78</v>
      </c>
      <c r="L3084" t="s">
        <v>106</v>
      </c>
      <c r="M3084" t="s">
        <v>107</v>
      </c>
      <c r="N3084" t="s">
        <v>128</v>
      </c>
      <c r="O3084" t="s">
        <v>82</v>
      </c>
      <c r="P3084" t="str">
        <f>"2170716775                    "</f>
        <v xml:space="preserve">2170716775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8.58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 s="4">
        <v>50.45</v>
      </c>
      <c r="BM3084" s="4">
        <v>7.57</v>
      </c>
      <c r="BN3084" s="4">
        <v>58.02</v>
      </c>
      <c r="BO3084" s="4">
        <v>58.02</v>
      </c>
      <c r="BQ3084" t="s">
        <v>121</v>
      </c>
      <c r="BR3084" t="s">
        <v>84</v>
      </c>
      <c r="BS3084" s="3">
        <v>43795</v>
      </c>
      <c r="BT3084" s="5">
        <v>0.32847222222222222</v>
      </c>
      <c r="BU3084" t="s">
        <v>3023</v>
      </c>
      <c r="BV3084" t="s">
        <v>86</v>
      </c>
      <c r="BY3084">
        <v>1200</v>
      </c>
      <c r="CA3084" t="s">
        <v>87</v>
      </c>
      <c r="CC3084" t="s">
        <v>107</v>
      </c>
      <c r="CD3084">
        <v>6001</v>
      </c>
      <c r="CE3084" t="s">
        <v>147</v>
      </c>
      <c r="CF3084" s="3">
        <v>43796</v>
      </c>
      <c r="CI3084">
        <v>1</v>
      </c>
      <c r="CJ3084">
        <v>1</v>
      </c>
      <c r="CK3084">
        <v>21</v>
      </c>
      <c r="CL3084" t="s">
        <v>89</v>
      </c>
    </row>
    <row r="3085" spans="1:90">
      <c r="A3085" t="s">
        <v>72</v>
      </c>
      <c r="B3085" t="s">
        <v>73</v>
      </c>
      <c r="C3085" t="s">
        <v>74</v>
      </c>
      <c r="E3085" t="str">
        <f>"FES1162724734"</f>
        <v>FES1162724734</v>
      </c>
      <c r="F3085" s="3">
        <v>43794</v>
      </c>
      <c r="G3085">
        <v>202005</v>
      </c>
      <c r="H3085" t="s">
        <v>75</v>
      </c>
      <c r="I3085" t="s">
        <v>76</v>
      </c>
      <c r="J3085" t="s">
        <v>77</v>
      </c>
      <c r="K3085" t="s">
        <v>78</v>
      </c>
      <c r="L3085" t="s">
        <v>106</v>
      </c>
      <c r="M3085" t="s">
        <v>107</v>
      </c>
      <c r="N3085" t="s">
        <v>308</v>
      </c>
      <c r="O3085" t="s">
        <v>82</v>
      </c>
      <c r="P3085" t="str">
        <f>"2170718523                    "</f>
        <v xml:space="preserve">2170718523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8.58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 s="4">
        <v>50.45</v>
      </c>
      <c r="BM3085" s="4">
        <v>7.57</v>
      </c>
      <c r="BN3085" s="4">
        <v>58.02</v>
      </c>
      <c r="BO3085" s="4">
        <v>58.02</v>
      </c>
      <c r="BQ3085" t="s">
        <v>121</v>
      </c>
      <c r="BR3085" t="s">
        <v>84</v>
      </c>
      <c r="BS3085" s="3">
        <v>43795</v>
      </c>
      <c r="BT3085" s="5">
        <v>0.3888888888888889</v>
      </c>
      <c r="BU3085" t="s">
        <v>3024</v>
      </c>
      <c r="BV3085" t="s">
        <v>86</v>
      </c>
      <c r="BY3085">
        <v>1200</v>
      </c>
      <c r="CA3085" t="s">
        <v>111</v>
      </c>
      <c r="CC3085" t="s">
        <v>107</v>
      </c>
      <c r="CD3085">
        <v>6001</v>
      </c>
      <c r="CE3085" t="s">
        <v>147</v>
      </c>
      <c r="CF3085" s="3">
        <v>43796</v>
      </c>
      <c r="CI3085">
        <v>1</v>
      </c>
      <c r="CJ3085">
        <v>1</v>
      </c>
      <c r="CK3085">
        <v>21</v>
      </c>
      <c r="CL3085" t="s">
        <v>89</v>
      </c>
    </row>
    <row r="3086" spans="1:90">
      <c r="A3086" t="s">
        <v>72</v>
      </c>
      <c r="B3086" t="s">
        <v>73</v>
      </c>
      <c r="C3086" t="s">
        <v>74</v>
      </c>
      <c r="E3086" t="str">
        <f>"FES1162724724"</f>
        <v>FES1162724724</v>
      </c>
      <c r="F3086" s="3">
        <v>43794</v>
      </c>
      <c r="G3086">
        <v>202005</v>
      </c>
      <c r="H3086" t="s">
        <v>75</v>
      </c>
      <c r="I3086" t="s">
        <v>76</v>
      </c>
      <c r="J3086" t="s">
        <v>77</v>
      </c>
      <c r="K3086" t="s">
        <v>78</v>
      </c>
      <c r="L3086" t="s">
        <v>106</v>
      </c>
      <c r="M3086" t="s">
        <v>107</v>
      </c>
      <c r="N3086" t="s">
        <v>489</v>
      </c>
      <c r="O3086" t="s">
        <v>82</v>
      </c>
      <c r="P3086" t="str">
        <f>"2170718513                    "</f>
        <v xml:space="preserve">2170718513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8.58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 s="4">
        <v>50.45</v>
      </c>
      <c r="BM3086" s="4">
        <v>7.57</v>
      </c>
      <c r="BN3086" s="4">
        <v>58.02</v>
      </c>
      <c r="BO3086" s="4">
        <v>58.02</v>
      </c>
      <c r="BQ3086" t="s">
        <v>121</v>
      </c>
      <c r="BR3086" t="s">
        <v>84</v>
      </c>
      <c r="BS3086" s="3">
        <v>43795</v>
      </c>
      <c r="BT3086" s="5">
        <v>0.34375</v>
      </c>
      <c r="BU3086" t="s">
        <v>564</v>
      </c>
      <c r="BV3086" t="s">
        <v>86</v>
      </c>
      <c r="BY3086">
        <v>1200</v>
      </c>
      <c r="CA3086" t="s">
        <v>773</v>
      </c>
      <c r="CC3086" t="s">
        <v>107</v>
      </c>
      <c r="CD3086">
        <v>6001</v>
      </c>
      <c r="CE3086" t="s">
        <v>147</v>
      </c>
      <c r="CF3086" s="3">
        <v>43796</v>
      </c>
      <c r="CI3086">
        <v>1</v>
      </c>
      <c r="CJ3086">
        <v>1</v>
      </c>
      <c r="CK3086">
        <v>21</v>
      </c>
      <c r="CL3086" t="s">
        <v>89</v>
      </c>
    </row>
    <row r="3087" spans="1:90">
      <c r="A3087" t="s">
        <v>72</v>
      </c>
      <c r="B3087" t="s">
        <v>73</v>
      </c>
      <c r="C3087" t="s">
        <v>74</v>
      </c>
      <c r="E3087" t="str">
        <f>"FES1162724729"</f>
        <v>FES1162724729</v>
      </c>
      <c r="F3087" s="3">
        <v>43794</v>
      </c>
      <c r="G3087">
        <v>202005</v>
      </c>
      <c r="H3087" t="s">
        <v>75</v>
      </c>
      <c r="I3087" t="s">
        <v>76</v>
      </c>
      <c r="J3087" t="s">
        <v>77</v>
      </c>
      <c r="K3087" t="s">
        <v>78</v>
      </c>
      <c r="L3087" t="s">
        <v>2659</v>
      </c>
      <c r="M3087" t="s">
        <v>2660</v>
      </c>
      <c r="N3087" t="s">
        <v>2661</v>
      </c>
      <c r="O3087" t="s">
        <v>82</v>
      </c>
      <c r="P3087" t="str">
        <f>"2170718519                    "</f>
        <v xml:space="preserve">2170718519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16.63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 s="4">
        <v>97.75</v>
      </c>
      <c r="BM3087" s="4">
        <v>14.66</v>
      </c>
      <c r="BN3087" s="4">
        <v>112.41</v>
      </c>
      <c r="BO3087" s="4">
        <v>112.41</v>
      </c>
      <c r="BQ3087" t="s">
        <v>121</v>
      </c>
      <c r="BR3087" t="s">
        <v>84</v>
      </c>
      <c r="BS3087" s="3">
        <v>43796</v>
      </c>
      <c r="BT3087" s="5">
        <v>0.48472222222222222</v>
      </c>
      <c r="BU3087" t="s">
        <v>2881</v>
      </c>
      <c r="BV3087" t="s">
        <v>86</v>
      </c>
      <c r="BY3087">
        <v>1200</v>
      </c>
      <c r="CC3087" t="s">
        <v>2660</v>
      </c>
      <c r="CD3087">
        <v>6335</v>
      </c>
      <c r="CE3087" t="s">
        <v>147</v>
      </c>
      <c r="CI3087">
        <v>3</v>
      </c>
      <c r="CJ3087">
        <v>2</v>
      </c>
      <c r="CK3087">
        <v>23</v>
      </c>
      <c r="CL3087" t="s">
        <v>89</v>
      </c>
    </row>
    <row r="3088" spans="1:90">
      <c r="A3088" t="s">
        <v>72</v>
      </c>
      <c r="B3088" t="s">
        <v>73</v>
      </c>
      <c r="C3088" t="s">
        <v>74</v>
      </c>
      <c r="E3088" t="str">
        <f>"FES1162724807"</f>
        <v>FES1162724807</v>
      </c>
      <c r="F3088" s="3">
        <v>43794</v>
      </c>
      <c r="G3088">
        <v>202005</v>
      </c>
      <c r="H3088" t="s">
        <v>75</v>
      </c>
      <c r="I3088" t="s">
        <v>76</v>
      </c>
      <c r="J3088" t="s">
        <v>77</v>
      </c>
      <c r="K3088" t="s">
        <v>78</v>
      </c>
      <c r="L3088" t="s">
        <v>90</v>
      </c>
      <c r="M3088" t="s">
        <v>91</v>
      </c>
      <c r="N3088" t="s">
        <v>538</v>
      </c>
      <c r="O3088" t="s">
        <v>82</v>
      </c>
      <c r="P3088" t="str">
        <f>"2170716562                    "</f>
        <v xml:space="preserve">2170716562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8.58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0.9</v>
      </c>
      <c r="BJ3088">
        <v>0.8</v>
      </c>
      <c r="BK3088">
        <v>1</v>
      </c>
      <c r="BL3088" s="4">
        <v>50.45</v>
      </c>
      <c r="BM3088" s="4">
        <v>7.57</v>
      </c>
      <c r="BN3088" s="4">
        <v>58.02</v>
      </c>
      <c r="BO3088" s="4">
        <v>58.02</v>
      </c>
      <c r="BQ3088" t="s">
        <v>109</v>
      </c>
      <c r="BR3088" t="s">
        <v>84</v>
      </c>
      <c r="BS3088" s="3">
        <v>43795</v>
      </c>
      <c r="BT3088" s="5">
        <v>0.32916666666666666</v>
      </c>
      <c r="BU3088" t="s">
        <v>2999</v>
      </c>
      <c r="BV3088" t="s">
        <v>86</v>
      </c>
      <c r="BY3088">
        <v>3948.86</v>
      </c>
      <c r="CA3088" t="s">
        <v>140</v>
      </c>
      <c r="CC3088" t="s">
        <v>91</v>
      </c>
      <c r="CD3088">
        <v>7530</v>
      </c>
      <c r="CE3088" t="s">
        <v>1598</v>
      </c>
      <c r="CF3088" s="3">
        <v>43796</v>
      </c>
      <c r="CI3088">
        <v>1</v>
      </c>
      <c r="CJ3088">
        <v>1</v>
      </c>
      <c r="CK3088">
        <v>21</v>
      </c>
      <c r="CL3088" t="s">
        <v>89</v>
      </c>
    </row>
    <row r="3089" spans="1:90">
      <c r="A3089" t="s">
        <v>72</v>
      </c>
      <c r="B3089" t="s">
        <v>73</v>
      </c>
      <c r="C3089" t="s">
        <v>74</v>
      </c>
      <c r="E3089" t="str">
        <f>"FES1162724280"</f>
        <v>FES1162724280</v>
      </c>
      <c r="F3089" s="3">
        <v>43794</v>
      </c>
      <c r="G3089">
        <v>202005</v>
      </c>
      <c r="H3089" t="s">
        <v>75</v>
      </c>
      <c r="I3089" t="s">
        <v>76</v>
      </c>
      <c r="J3089" t="s">
        <v>77</v>
      </c>
      <c r="K3089" t="s">
        <v>78</v>
      </c>
      <c r="L3089" t="s">
        <v>118</v>
      </c>
      <c r="M3089" t="s">
        <v>119</v>
      </c>
      <c r="N3089" t="s">
        <v>248</v>
      </c>
      <c r="O3089" t="s">
        <v>82</v>
      </c>
      <c r="P3089" t="str">
        <f>"2170716827                    "</f>
        <v xml:space="preserve">2170716827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8.58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0.9</v>
      </c>
      <c r="BK3089">
        <v>1</v>
      </c>
      <c r="BL3089" s="4">
        <v>50.45</v>
      </c>
      <c r="BM3089" s="4">
        <v>7.57</v>
      </c>
      <c r="BN3089" s="4">
        <v>58.02</v>
      </c>
      <c r="BO3089" s="4">
        <v>58.02</v>
      </c>
      <c r="BQ3089" t="s">
        <v>121</v>
      </c>
      <c r="BR3089" t="s">
        <v>84</v>
      </c>
      <c r="BS3089" s="3">
        <v>43795</v>
      </c>
      <c r="BT3089" s="5">
        <v>0.37152777777777773</v>
      </c>
      <c r="BU3089" t="s">
        <v>3025</v>
      </c>
      <c r="BV3089" t="s">
        <v>86</v>
      </c>
      <c r="BY3089">
        <v>4552.3599999999997</v>
      </c>
      <c r="CA3089" t="s">
        <v>250</v>
      </c>
      <c r="CC3089" t="s">
        <v>119</v>
      </c>
      <c r="CD3089">
        <v>3212</v>
      </c>
      <c r="CE3089" t="s">
        <v>88</v>
      </c>
      <c r="CF3089" s="3">
        <v>43796</v>
      </c>
      <c r="CI3089">
        <v>1</v>
      </c>
      <c r="CJ3089">
        <v>1</v>
      </c>
      <c r="CK3089">
        <v>21</v>
      </c>
      <c r="CL3089" t="s">
        <v>89</v>
      </c>
    </row>
    <row r="3090" spans="1:90">
      <c r="A3090" t="s">
        <v>72</v>
      </c>
      <c r="B3090" t="s">
        <v>73</v>
      </c>
      <c r="C3090" t="s">
        <v>74</v>
      </c>
      <c r="E3090" t="str">
        <f>"FES1162724722"</f>
        <v>FES1162724722</v>
      </c>
      <c r="F3090" s="3">
        <v>43794</v>
      </c>
      <c r="G3090">
        <v>202005</v>
      </c>
      <c r="H3090" t="s">
        <v>75</v>
      </c>
      <c r="I3090" t="s">
        <v>76</v>
      </c>
      <c r="J3090" t="s">
        <v>77</v>
      </c>
      <c r="K3090" t="s">
        <v>78</v>
      </c>
      <c r="L3090" t="s">
        <v>106</v>
      </c>
      <c r="M3090" t="s">
        <v>107</v>
      </c>
      <c r="N3090" t="s">
        <v>489</v>
      </c>
      <c r="O3090" t="s">
        <v>82</v>
      </c>
      <c r="P3090" t="str">
        <f>"2170718511                    "</f>
        <v xml:space="preserve">2170718511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23.59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3.3</v>
      </c>
      <c r="BJ3090">
        <v>5.5</v>
      </c>
      <c r="BK3090">
        <v>5.5</v>
      </c>
      <c r="BL3090" s="4">
        <v>138.68</v>
      </c>
      <c r="BM3090" s="4">
        <v>20.8</v>
      </c>
      <c r="BN3090" s="4">
        <v>159.47999999999999</v>
      </c>
      <c r="BO3090" s="4">
        <v>159.47999999999999</v>
      </c>
      <c r="BQ3090" t="s">
        <v>121</v>
      </c>
      <c r="BR3090" t="s">
        <v>84</v>
      </c>
      <c r="BS3090" s="3">
        <v>43795</v>
      </c>
      <c r="BT3090" s="5">
        <v>0.34375</v>
      </c>
      <c r="BU3090" t="s">
        <v>564</v>
      </c>
      <c r="BV3090" t="s">
        <v>86</v>
      </c>
      <c r="BY3090">
        <v>27531.13</v>
      </c>
      <c r="CA3090" t="s">
        <v>773</v>
      </c>
      <c r="CC3090" t="s">
        <v>107</v>
      </c>
      <c r="CD3090">
        <v>6001</v>
      </c>
      <c r="CE3090" t="s">
        <v>88</v>
      </c>
      <c r="CF3090" s="3">
        <v>43796</v>
      </c>
      <c r="CI3090">
        <v>1</v>
      </c>
      <c r="CJ3090">
        <v>1</v>
      </c>
      <c r="CK3090">
        <v>21</v>
      </c>
      <c r="CL3090" t="s">
        <v>89</v>
      </c>
    </row>
    <row r="3091" spans="1:90">
      <c r="A3091" t="s">
        <v>72</v>
      </c>
      <c r="B3091" t="s">
        <v>73</v>
      </c>
      <c r="C3091" t="s">
        <v>74</v>
      </c>
      <c r="E3091" t="str">
        <f>"FES1162724770"</f>
        <v>FES1162724770</v>
      </c>
      <c r="F3091" s="3">
        <v>43794</v>
      </c>
      <c r="G3091">
        <v>202005</v>
      </c>
      <c r="H3091" t="s">
        <v>75</v>
      </c>
      <c r="I3091" t="s">
        <v>76</v>
      </c>
      <c r="J3091" t="s">
        <v>77</v>
      </c>
      <c r="K3091" t="s">
        <v>78</v>
      </c>
      <c r="L3091" t="s">
        <v>112</v>
      </c>
      <c r="M3091" t="s">
        <v>113</v>
      </c>
      <c r="N3091" t="s">
        <v>373</v>
      </c>
      <c r="O3091" t="s">
        <v>82</v>
      </c>
      <c r="P3091" t="str">
        <f>"2170712632                    "</f>
        <v xml:space="preserve">2170712632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19.3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4.5</v>
      </c>
      <c r="BJ3091">
        <v>3.7</v>
      </c>
      <c r="BK3091">
        <v>4.5</v>
      </c>
      <c r="BL3091" s="4">
        <v>113.47</v>
      </c>
      <c r="BM3091" s="4">
        <v>17.02</v>
      </c>
      <c r="BN3091" s="4">
        <v>130.49</v>
      </c>
      <c r="BO3091" s="4">
        <v>130.49</v>
      </c>
      <c r="BQ3091" t="s">
        <v>121</v>
      </c>
      <c r="BR3091" t="s">
        <v>84</v>
      </c>
      <c r="BS3091" s="3">
        <v>43795</v>
      </c>
      <c r="BT3091" s="5">
        <v>0.37777777777777777</v>
      </c>
      <c r="BU3091" t="s">
        <v>2836</v>
      </c>
      <c r="BV3091" t="s">
        <v>86</v>
      </c>
      <c r="BY3091">
        <v>18398.09</v>
      </c>
      <c r="CA3091" t="s">
        <v>255</v>
      </c>
      <c r="CC3091" t="s">
        <v>113</v>
      </c>
      <c r="CD3091">
        <v>4052</v>
      </c>
      <c r="CE3091" t="s">
        <v>88</v>
      </c>
      <c r="CF3091" s="3">
        <v>43797</v>
      </c>
      <c r="CI3091">
        <v>1</v>
      </c>
      <c r="CJ3091">
        <v>1</v>
      </c>
      <c r="CK3091">
        <v>21</v>
      </c>
      <c r="CL3091" t="s">
        <v>89</v>
      </c>
    </row>
    <row r="3092" spans="1:90">
      <c r="A3092" t="s">
        <v>72</v>
      </c>
      <c r="B3092" t="s">
        <v>73</v>
      </c>
      <c r="C3092" t="s">
        <v>74</v>
      </c>
      <c r="E3092" t="str">
        <f>"FES1162724960"</f>
        <v>FES1162724960</v>
      </c>
      <c r="F3092" s="3">
        <v>43794</v>
      </c>
      <c r="G3092">
        <v>202005</v>
      </c>
      <c r="H3092" t="s">
        <v>75</v>
      </c>
      <c r="I3092" t="s">
        <v>76</v>
      </c>
      <c r="J3092" t="s">
        <v>77</v>
      </c>
      <c r="K3092" t="s">
        <v>78</v>
      </c>
      <c r="L3092" t="s">
        <v>112</v>
      </c>
      <c r="M3092" t="s">
        <v>113</v>
      </c>
      <c r="N3092" t="s">
        <v>790</v>
      </c>
      <c r="O3092" t="s">
        <v>82</v>
      </c>
      <c r="P3092" t="str">
        <f>"2170718654                    "</f>
        <v xml:space="preserve">2170718654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30.03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4</v>
      </c>
      <c r="BJ3092">
        <v>7</v>
      </c>
      <c r="BK3092">
        <v>7</v>
      </c>
      <c r="BL3092" s="4">
        <v>176.5</v>
      </c>
      <c r="BM3092" s="4">
        <v>26.48</v>
      </c>
      <c r="BN3092" s="4">
        <v>202.98</v>
      </c>
      <c r="BO3092" s="4">
        <v>202.98</v>
      </c>
      <c r="BQ3092" t="s">
        <v>121</v>
      </c>
      <c r="BR3092" t="s">
        <v>84</v>
      </c>
      <c r="BS3092" s="3">
        <v>43795</v>
      </c>
      <c r="BT3092" s="5">
        <v>0.42083333333333334</v>
      </c>
      <c r="BU3092" t="s">
        <v>3026</v>
      </c>
      <c r="BV3092" t="s">
        <v>86</v>
      </c>
      <c r="BY3092">
        <v>34946.370000000003</v>
      </c>
      <c r="CA3092" t="s">
        <v>255</v>
      </c>
      <c r="CC3092" t="s">
        <v>113</v>
      </c>
      <c r="CD3092">
        <v>4068</v>
      </c>
      <c r="CE3092" t="s">
        <v>1598</v>
      </c>
      <c r="CF3092" s="3">
        <v>43797</v>
      </c>
      <c r="CI3092">
        <v>1</v>
      </c>
      <c r="CJ3092">
        <v>1</v>
      </c>
      <c r="CK3092">
        <v>21</v>
      </c>
      <c r="CL3092" t="s">
        <v>89</v>
      </c>
    </row>
    <row r="3093" spans="1:90">
      <c r="A3093" t="s">
        <v>72</v>
      </c>
      <c r="B3093" t="s">
        <v>73</v>
      </c>
      <c r="C3093" t="s">
        <v>74</v>
      </c>
      <c r="E3093" t="str">
        <f>"FES1162724865"</f>
        <v>FES1162724865</v>
      </c>
      <c r="F3093" s="3">
        <v>43794</v>
      </c>
      <c r="G3093">
        <v>202005</v>
      </c>
      <c r="H3093" t="s">
        <v>75</v>
      </c>
      <c r="I3093" t="s">
        <v>76</v>
      </c>
      <c r="J3093" t="s">
        <v>77</v>
      </c>
      <c r="K3093" t="s">
        <v>78</v>
      </c>
      <c r="L3093" t="s">
        <v>118</v>
      </c>
      <c r="M3093" t="s">
        <v>119</v>
      </c>
      <c r="N3093" t="s">
        <v>248</v>
      </c>
      <c r="O3093" t="s">
        <v>82</v>
      </c>
      <c r="P3093" t="str">
        <f>"2170717651                    "</f>
        <v xml:space="preserve">2170717651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27.88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6.5</v>
      </c>
      <c r="BJ3093">
        <v>4.8</v>
      </c>
      <c r="BK3093">
        <v>6.5</v>
      </c>
      <c r="BL3093" s="4">
        <v>163.89</v>
      </c>
      <c r="BM3093" s="4">
        <v>24.58</v>
      </c>
      <c r="BN3093" s="4">
        <v>188.47</v>
      </c>
      <c r="BO3093" s="4">
        <v>188.47</v>
      </c>
      <c r="BQ3093" t="s">
        <v>121</v>
      </c>
      <c r="BR3093" t="s">
        <v>84</v>
      </c>
      <c r="BS3093" s="3">
        <v>43795</v>
      </c>
      <c r="BT3093" s="5">
        <v>0.37152777777777773</v>
      </c>
      <c r="BU3093" t="s">
        <v>3025</v>
      </c>
      <c r="BV3093" t="s">
        <v>86</v>
      </c>
      <c r="BY3093">
        <v>24187.39</v>
      </c>
      <c r="CA3093" t="s">
        <v>250</v>
      </c>
      <c r="CC3093" t="s">
        <v>119</v>
      </c>
      <c r="CD3093">
        <v>3212</v>
      </c>
      <c r="CE3093" t="s">
        <v>88</v>
      </c>
      <c r="CF3093" s="3">
        <v>43796</v>
      </c>
      <c r="CI3093">
        <v>1</v>
      </c>
      <c r="CJ3093">
        <v>1</v>
      </c>
      <c r="CK3093">
        <v>21</v>
      </c>
      <c r="CL3093" t="s">
        <v>89</v>
      </c>
    </row>
    <row r="3094" spans="1:90">
      <c r="A3094" t="s">
        <v>72</v>
      </c>
      <c r="B3094" t="s">
        <v>73</v>
      </c>
      <c r="C3094" t="s">
        <v>74</v>
      </c>
      <c r="E3094" t="str">
        <f>"FES1162724883"</f>
        <v>FES1162724883</v>
      </c>
      <c r="F3094" s="3">
        <v>43794</v>
      </c>
      <c r="G3094">
        <v>202005</v>
      </c>
      <c r="H3094" t="s">
        <v>75</v>
      </c>
      <c r="I3094" t="s">
        <v>76</v>
      </c>
      <c r="J3094" t="s">
        <v>77</v>
      </c>
      <c r="K3094" t="s">
        <v>78</v>
      </c>
      <c r="L3094" t="s">
        <v>214</v>
      </c>
      <c r="M3094" t="s">
        <v>214</v>
      </c>
      <c r="N3094" t="s">
        <v>705</v>
      </c>
      <c r="O3094" t="s">
        <v>82</v>
      </c>
      <c r="P3094" t="str">
        <f>"2170718288                    "</f>
        <v xml:space="preserve">2170718288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110.52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14.2</v>
      </c>
      <c r="BJ3094">
        <v>9.6999999999999993</v>
      </c>
      <c r="BK3094">
        <v>14.5</v>
      </c>
      <c r="BL3094" s="4">
        <v>649.64</v>
      </c>
      <c r="BM3094" s="4">
        <v>97.45</v>
      </c>
      <c r="BN3094" s="4">
        <v>747.09</v>
      </c>
      <c r="BO3094" s="4">
        <v>747.09</v>
      </c>
      <c r="BQ3094" t="s">
        <v>142</v>
      </c>
      <c r="BR3094" t="s">
        <v>84</v>
      </c>
      <c r="BS3094" s="3">
        <v>43795</v>
      </c>
      <c r="BT3094" s="5">
        <v>0.4604166666666667</v>
      </c>
      <c r="BU3094" t="s">
        <v>706</v>
      </c>
      <c r="BV3094" t="s">
        <v>86</v>
      </c>
      <c r="BY3094">
        <v>48420.58</v>
      </c>
      <c r="CA3094" t="s">
        <v>217</v>
      </c>
      <c r="CC3094" t="s">
        <v>214</v>
      </c>
      <c r="CD3094">
        <v>7620</v>
      </c>
      <c r="CE3094" t="s">
        <v>1598</v>
      </c>
      <c r="CF3094" s="3">
        <v>43796</v>
      </c>
      <c r="CI3094">
        <v>1</v>
      </c>
      <c r="CJ3094">
        <v>1</v>
      </c>
      <c r="CK3094">
        <v>23</v>
      </c>
      <c r="CL3094" t="s">
        <v>89</v>
      </c>
    </row>
    <row r="3095" spans="1:90">
      <c r="A3095" t="s">
        <v>72</v>
      </c>
      <c r="B3095" t="s">
        <v>73</v>
      </c>
      <c r="C3095" t="s">
        <v>74</v>
      </c>
      <c r="E3095" t="str">
        <f>"FES1162724958"</f>
        <v>FES1162724958</v>
      </c>
      <c r="F3095" s="3">
        <v>43794</v>
      </c>
      <c r="G3095">
        <v>202005</v>
      </c>
      <c r="H3095" t="s">
        <v>75</v>
      </c>
      <c r="I3095" t="s">
        <v>76</v>
      </c>
      <c r="J3095" t="s">
        <v>77</v>
      </c>
      <c r="K3095" t="s">
        <v>78</v>
      </c>
      <c r="L3095" t="s">
        <v>90</v>
      </c>
      <c r="M3095" t="s">
        <v>91</v>
      </c>
      <c r="N3095" t="s">
        <v>1751</v>
      </c>
      <c r="O3095" t="s">
        <v>82</v>
      </c>
      <c r="P3095" t="str">
        <f>"2170718650                    "</f>
        <v xml:space="preserve">2170718650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42.89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10</v>
      </c>
      <c r="BJ3095">
        <v>0.7</v>
      </c>
      <c r="BK3095">
        <v>10</v>
      </c>
      <c r="BL3095" s="4">
        <v>252.12</v>
      </c>
      <c r="BM3095" s="4">
        <v>37.82</v>
      </c>
      <c r="BN3095" s="4">
        <v>289.94</v>
      </c>
      <c r="BO3095" s="4">
        <v>289.94</v>
      </c>
      <c r="BQ3095" t="s">
        <v>142</v>
      </c>
      <c r="BR3095" t="s">
        <v>84</v>
      </c>
      <c r="BS3095" s="3">
        <v>43795</v>
      </c>
      <c r="BT3095" s="5">
        <v>0.36388888888888887</v>
      </c>
      <c r="BU3095" t="s">
        <v>2629</v>
      </c>
      <c r="BV3095" t="s">
        <v>86</v>
      </c>
      <c r="BY3095">
        <v>3430</v>
      </c>
      <c r="CA3095" t="s">
        <v>1281</v>
      </c>
      <c r="CC3095" t="s">
        <v>91</v>
      </c>
      <c r="CD3095">
        <v>7800</v>
      </c>
      <c r="CE3095" t="s">
        <v>1598</v>
      </c>
      <c r="CF3095" s="3">
        <v>43796</v>
      </c>
      <c r="CI3095">
        <v>1</v>
      </c>
      <c r="CJ3095">
        <v>1</v>
      </c>
      <c r="CK3095">
        <v>21</v>
      </c>
      <c r="CL3095" t="s">
        <v>89</v>
      </c>
    </row>
    <row r="3096" spans="1:90">
      <c r="A3096" t="s">
        <v>72</v>
      </c>
      <c r="B3096" t="s">
        <v>73</v>
      </c>
      <c r="C3096" t="s">
        <v>74</v>
      </c>
      <c r="E3096" t="str">
        <f>"FES1162724726"</f>
        <v>FES1162724726</v>
      </c>
      <c r="F3096" s="3">
        <v>43794</v>
      </c>
      <c r="G3096">
        <v>202005</v>
      </c>
      <c r="H3096" t="s">
        <v>75</v>
      </c>
      <c r="I3096" t="s">
        <v>76</v>
      </c>
      <c r="J3096" t="s">
        <v>77</v>
      </c>
      <c r="K3096" t="s">
        <v>78</v>
      </c>
      <c r="L3096" t="s">
        <v>106</v>
      </c>
      <c r="M3096" t="s">
        <v>107</v>
      </c>
      <c r="N3096" t="s">
        <v>489</v>
      </c>
      <c r="O3096" t="s">
        <v>82</v>
      </c>
      <c r="P3096" t="str">
        <f>"2170718515                    "</f>
        <v xml:space="preserve">2170718515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8.58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 s="4">
        <v>50.45</v>
      </c>
      <c r="BM3096" s="4">
        <v>7.57</v>
      </c>
      <c r="BN3096" s="4">
        <v>58.02</v>
      </c>
      <c r="BO3096" s="4">
        <v>58.02</v>
      </c>
      <c r="BQ3096" t="s">
        <v>121</v>
      </c>
      <c r="BR3096" t="s">
        <v>84</v>
      </c>
      <c r="BS3096" s="3">
        <v>43795</v>
      </c>
      <c r="BT3096" s="5">
        <v>0.34375</v>
      </c>
      <c r="BU3096" t="s">
        <v>564</v>
      </c>
      <c r="BV3096" t="s">
        <v>86</v>
      </c>
      <c r="BY3096">
        <v>1200</v>
      </c>
      <c r="CA3096" t="s">
        <v>773</v>
      </c>
      <c r="CC3096" t="s">
        <v>107</v>
      </c>
      <c r="CD3096">
        <v>6001</v>
      </c>
      <c r="CE3096" t="s">
        <v>147</v>
      </c>
      <c r="CF3096" s="3">
        <v>43796</v>
      </c>
      <c r="CI3096">
        <v>1</v>
      </c>
      <c r="CJ3096">
        <v>1</v>
      </c>
      <c r="CK3096">
        <v>21</v>
      </c>
      <c r="CL3096" t="s">
        <v>89</v>
      </c>
    </row>
    <row r="3097" spans="1:90">
      <c r="A3097" t="s">
        <v>72</v>
      </c>
      <c r="B3097" t="s">
        <v>73</v>
      </c>
      <c r="C3097" t="s">
        <v>74</v>
      </c>
      <c r="E3097" t="str">
        <f>"FES1162724759"</f>
        <v>FES1162724759</v>
      </c>
      <c r="F3097" s="3">
        <v>43794</v>
      </c>
      <c r="G3097">
        <v>202005</v>
      </c>
      <c r="H3097" t="s">
        <v>75</v>
      </c>
      <c r="I3097" t="s">
        <v>76</v>
      </c>
      <c r="J3097" t="s">
        <v>77</v>
      </c>
      <c r="K3097" t="s">
        <v>78</v>
      </c>
      <c r="L3097" t="s">
        <v>133</v>
      </c>
      <c r="M3097" t="s">
        <v>134</v>
      </c>
      <c r="N3097" t="s">
        <v>1201</v>
      </c>
      <c r="O3097" t="s">
        <v>82</v>
      </c>
      <c r="P3097" t="str">
        <f>"2170717587                    "</f>
        <v xml:space="preserve">2170717587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8.58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 s="4">
        <v>50.45</v>
      </c>
      <c r="BM3097" s="4">
        <v>7.57</v>
      </c>
      <c r="BN3097" s="4">
        <v>58.02</v>
      </c>
      <c r="BO3097" s="4">
        <v>58.02</v>
      </c>
      <c r="BQ3097" t="s">
        <v>109</v>
      </c>
      <c r="BR3097" t="s">
        <v>84</v>
      </c>
      <c r="BS3097" s="3">
        <v>43795</v>
      </c>
      <c r="BT3097" s="5">
        <v>0.41666666666666669</v>
      </c>
      <c r="BU3097" t="s">
        <v>3027</v>
      </c>
      <c r="BV3097" t="s">
        <v>86</v>
      </c>
      <c r="BY3097">
        <v>1200</v>
      </c>
      <c r="CA3097" t="s">
        <v>988</v>
      </c>
      <c r="CC3097" t="s">
        <v>134</v>
      </c>
      <c r="CD3097">
        <v>5201</v>
      </c>
      <c r="CE3097" t="s">
        <v>147</v>
      </c>
      <c r="CF3097" s="3">
        <v>43797</v>
      </c>
      <c r="CI3097">
        <v>1</v>
      </c>
      <c r="CJ3097">
        <v>1</v>
      </c>
      <c r="CK3097">
        <v>21</v>
      </c>
      <c r="CL3097" t="s">
        <v>89</v>
      </c>
    </row>
    <row r="3098" spans="1:90">
      <c r="A3098" t="s">
        <v>72</v>
      </c>
      <c r="B3098" t="s">
        <v>73</v>
      </c>
      <c r="C3098" t="s">
        <v>74</v>
      </c>
      <c r="E3098" t="str">
        <f>"FES1162724911"</f>
        <v>FES1162724911</v>
      </c>
      <c r="F3098" s="3">
        <v>43794</v>
      </c>
      <c r="G3098">
        <v>202005</v>
      </c>
      <c r="H3098" t="s">
        <v>75</v>
      </c>
      <c r="I3098" t="s">
        <v>76</v>
      </c>
      <c r="J3098" t="s">
        <v>77</v>
      </c>
      <c r="K3098" t="s">
        <v>78</v>
      </c>
      <c r="L3098" t="s">
        <v>90</v>
      </c>
      <c r="M3098" t="s">
        <v>91</v>
      </c>
      <c r="N3098" t="s">
        <v>2887</v>
      </c>
      <c r="O3098" t="s">
        <v>82</v>
      </c>
      <c r="P3098" t="str">
        <f>"2170718593                    "</f>
        <v xml:space="preserve">2170718593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8.58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1.2</v>
      </c>
      <c r="BJ3098">
        <v>1.3</v>
      </c>
      <c r="BK3098">
        <v>1.5</v>
      </c>
      <c r="BL3098" s="4">
        <v>50.45</v>
      </c>
      <c r="BM3098" s="4">
        <v>7.57</v>
      </c>
      <c r="BN3098" s="4">
        <v>58.02</v>
      </c>
      <c r="BO3098" s="4">
        <v>58.02</v>
      </c>
      <c r="BQ3098" t="s">
        <v>142</v>
      </c>
      <c r="BR3098" t="s">
        <v>84</v>
      </c>
      <c r="BS3098" s="3">
        <v>43795</v>
      </c>
      <c r="BT3098" s="5">
        <v>0.37222222222222223</v>
      </c>
      <c r="BU3098" t="s">
        <v>2888</v>
      </c>
      <c r="BV3098" t="s">
        <v>86</v>
      </c>
      <c r="BY3098">
        <v>6543.26</v>
      </c>
      <c r="CA3098" t="s">
        <v>515</v>
      </c>
      <c r="CC3098" t="s">
        <v>91</v>
      </c>
      <c r="CD3098">
        <v>7493</v>
      </c>
      <c r="CE3098" t="s">
        <v>88</v>
      </c>
      <c r="CF3098" s="3">
        <v>43796</v>
      </c>
      <c r="CI3098">
        <v>1</v>
      </c>
      <c r="CJ3098">
        <v>1</v>
      </c>
      <c r="CK3098">
        <v>21</v>
      </c>
      <c r="CL3098" t="s">
        <v>89</v>
      </c>
    </row>
    <row r="3099" spans="1:90">
      <c r="A3099" t="s">
        <v>72</v>
      </c>
      <c r="B3099" t="s">
        <v>73</v>
      </c>
      <c r="C3099" t="s">
        <v>74</v>
      </c>
      <c r="E3099" t="str">
        <f>"FES1162724760"</f>
        <v>FES1162724760</v>
      </c>
      <c r="F3099" s="3">
        <v>43794</v>
      </c>
      <c r="G3099">
        <v>202005</v>
      </c>
      <c r="H3099" t="s">
        <v>75</v>
      </c>
      <c r="I3099" t="s">
        <v>76</v>
      </c>
      <c r="J3099" t="s">
        <v>77</v>
      </c>
      <c r="K3099" t="s">
        <v>78</v>
      </c>
      <c r="L3099" t="s">
        <v>691</v>
      </c>
      <c r="M3099" t="s">
        <v>692</v>
      </c>
      <c r="N3099" t="s">
        <v>1217</v>
      </c>
      <c r="O3099" t="s">
        <v>82</v>
      </c>
      <c r="P3099" t="str">
        <f>"2170718007                    "</f>
        <v xml:space="preserve">2170718007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6.71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1.9</v>
      </c>
      <c r="BJ3099">
        <v>0.7</v>
      </c>
      <c r="BK3099">
        <v>2</v>
      </c>
      <c r="BL3099" s="4">
        <v>39.42</v>
      </c>
      <c r="BM3099" s="4">
        <v>5.91</v>
      </c>
      <c r="BN3099" s="4">
        <v>45.33</v>
      </c>
      <c r="BO3099" s="4">
        <v>45.33</v>
      </c>
      <c r="BQ3099" t="s">
        <v>109</v>
      </c>
      <c r="BR3099" t="s">
        <v>84</v>
      </c>
      <c r="BS3099" s="3">
        <v>43795</v>
      </c>
      <c r="BT3099" s="5">
        <v>0.58263888888888882</v>
      </c>
      <c r="BU3099" t="s">
        <v>1821</v>
      </c>
      <c r="BV3099" t="s">
        <v>89</v>
      </c>
      <c r="BW3099" t="s">
        <v>596</v>
      </c>
      <c r="BX3099" t="s">
        <v>743</v>
      </c>
      <c r="BY3099">
        <v>3422.35</v>
      </c>
      <c r="CC3099" t="s">
        <v>692</v>
      </c>
      <c r="CD3099">
        <v>1559</v>
      </c>
      <c r="CE3099" t="s">
        <v>88</v>
      </c>
      <c r="CF3099" s="3">
        <v>43796</v>
      </c>
      <c r="CI3099">
        <v>1</v>
      </c>
      <c r="CJ3099">
        <v>1</v>
      </c>
      <c r="CK3099">
        <v>22</v>
      </c>
      <c r="CL3099" t="s">
        <v>89</v>
      </c>
    </row>
    <row r="3100" spans="1:90">
      <c r="A3100" t="s">
        <v>72</v>
      </c>
      <c r="B3100" t="s">
        <v>73</v>
      </c>
      <c r="C3100" t="s">
        <v>74</v>
      </c>
      <c r="E3100" t="str">
        <f>"FES1162724752"</f>
        <v>FES1162724752</v>
      </c>
      <c r="F3100" s="3">
        <v>43794</v>
      </c>
      <c r="G3100">
        <v>202005</v>
      </c>
      <c r="H3100" t="s">
        <v>75</v>
      </c>
      <c r="I3100" t="s">
        <v>76</v>
      </c>
      <c r="J3100" t="s">
        <v>77</v>
      </c>
      <c r="K3100" t="s">
        <v>78</v>
      </c>
      <c r="L3100" t="s">
        <v>106</v>
      </c>
      <c r="M3100" t="s">
        <v>107</v>
      </c>
      <c r="N3100" t="s">
        <v>1311</v>
      </c>
      <c r="O3100" t="s">
        <v>82</v>
      </c>
      <c r="P3100" t="str">
        <f>"2170718545                    "</f>
        <v xml:space="preserve">2170718545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8.58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 s="4">
        <v>50.45</v>
      </c>
      <c r="BM3100" s="4">
        <v>7.57</v>
      </c>
      <c r="BN3100" s="4">
        <v>58.02</v>
      </c>
      <c r="BO3100" s="4">
        <v>58.02</v>
      </c>
      <c r="BQ3100" t="s">
        <v>109</v>
      </c>
      <c r="BR3100" t="s">
        <v>84</v>
      </c>
      <c r="BS3100" s="3">
        <v>43795</v>
      </c>
      <c r="BT3100" s="5">
        <v>0.42152777777777778</v>
      </c>
      <c r="BU3100" t="s">
        <v>3009</v>
      </c>
      <c r="BV3100" t="s">
        <v>86</v>
      </c>
      <c r="BY3100">
        <v>1200</v>
      </c>
      <c r="CA3100" t="s">
        <v>773</v>
      </c>
      <c r="CC3100" t="s">
        <v>107</v>
      </c>
      <c r="CD3100">
        <v>6001</v>
      </c>
      <c r="CE3100" t="s">
        <v>147</v>
      </c>
      <c r="CF3100" s="3">
        <v>43796</v>
      </c>
      <c r="CI3100">
        <v>1</v>
      </c>
      <c r="CJ3100">
        <v>1</v>
      </c>
      <c r="CK3100">
        <v>21</v>
      </c>
      <c r="CL3100" t="s">
        <v>89</v>
      </c>
    </row>
    <row r="3101" spans="1:90">
      <c r="A3101" t="s">
        <v>72</v>
      </c>
      <c r="B3101" t="s">
        <v>73</v>
      </c>
      <c r="C3101" t="s">
        <v>74</v>
      </c>
      <c r="E3101" t="str">
        <f>"FES1162724841"</f>
        <v>FES1162724841</v>
      </c>
      <c r="F3101" s="3">
        <v>43794</v>
      </c>
      <c r="G3101">
        <v>202005</v>
      </c>
      <c r="H3101" t="s">
        <v>75</v>
      </c>
      <c r="I3101" t="s">
        <v>76</v>
      </c>
      <c r="J3101" t="s">
        <v>77</v>
      </c>
      <c r="K3101" t="s">
        <v>78</v>
      </c>
      <c r="L3101" t="s">
        <v>296</v>
      </c>
      <c r="M3101" t="s">
        <v>297</v>
      </c>
      <c r="N3101" t="s">
        <v>298</v>
      </c>
      <c r="O3101" t="s">
        <v>82</v>
      </c>
      <c r="P3101" t="str">
        <f>"2170716840                    "</f>
        <v xml:space="preserve">2170716840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76.72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9.6999999999999993</v>
      </c>
      <c r="BJ3101">
        <v>1.5</v>
      </c>
      <c r="BK3101">
        <v>10</v>
      </c>
      <c r="BL3101" s="4">
        <v>450.96</v>
      </c>
      <c r="BM3101" s="4">
        <v>67.64</v>
      </c>
      <c r="BN3101" s="4">
        <v>518.6</v>
      </c>
      <c r="BO3101" s="4">
        <v>518.6</v>
      </c>
      <c r="BQ3101" t="s">
        <v>121</v>
      </c>
      <c r="BR3101" t="s">
        <v>84</v>
      </c>
      <c r="BS3101" s="3">
        <v>43796</v>
      </c>
      <c r="BT3101" s="5">
        <v>0.36388888888888887</v>
      </c>
      <c r="BU3101" t="s">
        <v>658</v>
      </c>
      <c r="BV3101" t="s">
        <v>86</v>
      </c>
      <c r="BY3101">
        <v>7522.25</v>
      </c>
      <c r="CA3101" t="s">
        <v>300</v>
      </c>
      <c r="CC3101" t="s">
        <v>297</v>
      </c>
      <c r="CD3101">
        <v>6849</v>
      </c>
      <c r="CE3101" t="s">
        <v>88</v>
      </c>
      <c r="CF3101" s="3">
        <v>43797</v>
      </c>
      <c r="CI3101">
        <v>3</v>
      </c>
      <c r="CJ3101">
        <v>2</v>
      </c>
      <c r="CK3101">
        <v>23</v>
      </c>
      <c r="CL3101" t="s">
        <v>89</v>
      </c>
    </row>
    <row r="3102" spans="1:90">
      <c r="A3102" t="s">
        <v>72</v>
      </c>
      <c r="B3102" t="s">
        <v>73</v>
      </c>
      <c r="C3102" t="s">
        <v>74</v>
      </c>
      <c r="E3102" t="str">
        <f>"FES1162724715"</f>
        <v>FES1162724715</v>
      </c>
      <c r="F3102" s="3">
        <v>43794</v>
      </c>
      <c r="G3102">
        <v>202005</v>
      </c>
      <c r="H3102" t="s">
        <v>75</v>
      </c>
      <c r="I3102" t="s">
        <v>76</v>
      </c>
      <c r="J3102" t="s">
        <v>77</v>
      </c>
      <c r="K3102" t="s">
        <v>78</v>
      </c>
      <c r="L3102" t="s">
        <v>202</v>
      </c>
      <c r="M3102" t="s">
        <v>203</v>
      </c>
      <c r="N3102" t="s">
        <v>521</v>
      </c>
      <c r="O3102" t="s">
        <v>82</v>
      </c>
      <c r="P3102" t="str">
        <f>"2170717293                    "</f>
        <v xml:space="preserve">2170717293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9.1199999999999992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3.2</v>
      </c>
      <c r="BJ3102">
        <v>2.2000000000000002</v>
      </c>
      <c r="BK3102">
        <v>3.5</v>
      </c>
      <c r="BL3102" s="4">
        <v>53.59</v>
      </c>
      <c r="BM3102" s="4">
        <v>8.0399999999999991</v>
      </c>
      <c r="BN3102" s="4">
        <v>61.63</v>
      </c>
      <c r="BO3102" s="4">
        <v>61.63</v>
      </c>
      <c r="BQ3102" t="s">
        <v>109</v>
      </c>
      <c r="BR3102" t="s">
        <v>84</v>
      </c>
      <c r="BS3102" s="3">
        <v>43795</v>
      </c>
      <c r="BT3102" s="5">
        <v>0.40972222222222227</v>
      </c>
      <c r="BU3102" t="s">
        <v>1218</v>
      </c>
      <c r="BV3102" t="s">
        <v>86</v>
      </c>
      <c r="BY3102">
        <v>11025.38</v>
      </c>
      <c r="CC3102" t="s">
        <v>203</v>
      </c>
      <c r="CD3102">
        <v>1428</v>
      </c>
      <c r="CE3102" t="s">
        <v>1598</v>
      </c>
      <c r="CF3102" s="3">
        <v>43796</v>
      </c>
      <c r="CI3102">
        <v>1</v>
      </c>
      <c r="CJ3102">
        <v>1</v>
      </c>
      <c r="CK3102">
        <v>22</v>
      </c>
      <c r="CL3102" t="s">
        <v>89</v>
      </c>
    </row>
    <row r="3103" spans="1:90">
      <c r="A3103" t="s">
        <v>72</v>
      </c>
      <c r="B3103" t="s">
        <v>73</v>
      </c>
      <c r="C3103" t="s">
        <v>74</v>
      </c>
      <c r="E3103" t="str">
        <f>"FES1162724763"</f>
        <v>FES1162724763</v>
      </c>
      <c r="F3103" s="3">
        <v>43794</v>
      </c>
      <c r="G3103">
        <v>202005</v>
      </c>
      <c r="H3103" t="s">
        <v>75</v>
      </c>
      <c r="I3103" t="s">
        <v>76</v>
      </c>
      <c r="J3103" t="s">
        <v>77</v>
      </c>
      <c r="K3103" t="s">
        <v>78</v>
      </c>
      <c r="L3103" t="s">
        <v>75</v>
      </c>
      <c r="M3103" t="s">
        <v>76</v>
      </c>
      <c r="N3103" t="s">
        <v>1141</v>
      </c>
      <c r="O3103" t="s">
        <v>82</v>
      </c>
      <c r="P3103" t="str">
        <f>"11627246844                   "</f>
        <v xml:space="preserve">11627246844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13.13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5.7</v>
      </c>
      <c r="BJ3103">
        <v>3.1</v>
      </c>
      <c r="BK3103">
        <v>6</v>
      </c>
      <c r="BL3103" s="4">
        <v>77.2</v>
      </c>
      <c r="BM3103" s="4">
        <v>11.58</v>
      </c>
      <c r="BN3103" s="4">
        <v>88.78</v>
      </c>
      <c r="BO3103" s="4">
        <v>88.78</v>
      </c>
      <c r="BR3103" t="s">
        <v>84</v>
      </c>
      <c r="BS3103" s="3">
        <v>43795</v>
      </c>
      <c r="BT3103" s="5">
        <v>0.2951388888888889</v>
      </c>
      <c r="BU3103" t="s">
        <v>1142</v>
      </c>
      <c r="BV3103" t="s">
        <v>86</v>
      </c>
      <c r="BY3103">
        <v>15398.33</v>
      </c>
      <c r="CA3103" t="s">
        <v>368</v>
      </c>
      <c r="CC3103" t="s">
        <v>76</v>
      </c>
      <c r="CD3103">
        <v>1600</v>
      </c>
      <c r="CE3103" t="s">
        <v>88</v>
      </c>
      <c r="CF3103" s="3">
        <v>43796</v>
      </c>
      <c r="CI3103">
        <v>1</v>
      </c>
      <c r="CJ3103">
        <v>1</v>
      </c>
      <c r="CK3103">
        <v>22</v>
      </c>
      <c r="CL3103" t="s">
        <v>89</v>
      </c>
    </row>
    <row r="3104" spans="1:90">
      <c r="A3104" t="s">
        <v>72</v>
      </c>
      <c r="B3104" t="s">
        <v>73</v>
      </c>
      <c r="C3104" t="s">
        <v>74</v>
      </c>
      <c r="E3104" t="str">
        <f>"FES1162724634"</f>
        <v>FES1162724634</v>
      </c>
      <c r="F3104" s="3">
        <v>43794</v>
      </c>
      <c r="G3104">
        <v>202005</v>
      </c>
      <c r="H3104" t="s">
        <v>75</v>
      </c>
      <c r="I3104" t="s">
        <v>76</v>
      </c>
      <c r="J3104" t="s">
        <v>77</v>
      </c>
      <c r="K3104" t="s">
        <v>78</v>
      </c>
      <c r="L3104" t="s">
        <v>101</v>
      </c>
      <c r="M3104" t="s">
        <v>102</v>
      </c>
      <c r="N3104" t="s">
        <v>103</v>
      </c>
      <c r="O3104" t="s">
        <v>82</v>
      </c>
      <c r="P3104" t="str">
        <f>"2170718419                    "</f>
        <v xml:space="preserve">2170718419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8.58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 s="4">
        <v>50.45</v>
      </c>
      <c r="BM3104" s="4">
        <v>7.57</v>
      </c>
      <c r="BN3104" s="4">
        <v>58.02</v>
      </c>
      <c r="BO3104" s="4">
        <v>58.02</v>
      </c>
      <c r="BQ3104" t="s">
        <v>109</v>
      </c>
      <c r="BR3104" t="s">
        <v>84</v>
      </c>
      <c r="BS3104" s="3">
        <v>43796</v>
      </c>
      <c r="BT3104" s="5">
        <v>0.52083333333333337</v>
      </c>
      <c r="BU3104" t="s">
        <v>1503</v>
      </c>
      <c r="BV3104" t="s">
        <v>89</v>
      </c>
      <c r="BY3104">
        <v>1200</v>
      </c>
      <c r="CA3104" t="s">
        <v>105</v>
      </c>
      <c r="CC3104" t="s">
        <v>102</v>
      </c>
      <c r="CD3104">
        <v>183</v>
      </c>
      <c r="CE3104" t="s">
        <v>147</v>
      </c>
      <c r="CF3104" s="3">
        <v>43797</v>
      </c>
      <c r="CI3104">
        <v>1</v>
      </c>
      <c r="CJ3104">
        <v>2</v>
      </c>
      <c r="CK3104">
        <v>21</v>
      </c>
      <c r="CL3104" t="s">
        <v>89</v>
      </c>
    </row>
    <row r="3105" spans="1:90">
      <c r="A3105" t="s">
        <v>72</v>
      </c>
      <c r="B3105" t="s">
        <v>73</v>
      </c>
      <c r="C3105" t="s">
        <v>74</v>
      </c>
      <c r="E3105" t="str">
        <f>"FES1162724714"</f>
        <v>FES1162724714</v>
      </c>
      <c r="F3105" s="3">
        <v>43794</v>
      </c>
      <c r="G3105">
        <v>202005</v>
      </c>
      <c r="H3105" t="s">
        <v>75</v>
      </c>
      <c r="I3105" t="s">
        <v>76</v>
      </c>
      <c r="J3105" t="s">
        <v>77</v>
      </c>
      <c r="K3105" t="s">
        <v>78</v>
      </c>
      <c r="L3105" t="s">
        <v>95</v>
      </c>
      <c r="M3105" t="s">
        <v>96</v>
      </c>
      <c r="N3105" t="s">
        <v>1818</v>
      </c>
      <c r="O3105" t="s">
        <v>82</v>
      </c>
      <c r="P3105" t="str">
        <f>"21707148584                   "</f>
        <v xml:space="preserve">21707148584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6.71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1.2</v>
      </c>
      <c r="BJ3105">
        <v>0.6</v>
      </c>
      <c r="BK3105">
        <v>1.5</v>
      </c>
      <c r="BL3105" s="4">
        <v>39.42</v>
      </c>
      <c r="BM3105" s="4">
        <v>5.91</v>
      </c>
      <c r="BN3105" s="4">
        <v>45.33</v>
      </c>
      <c r="BO3105" s="4">
        <v>45.33</v>
      </c>
      <c r="BR3105" t="s">
        <v>84</v>
      </c>
      <c r="BS3105" s="3">
        <v>43795</v>
      </c>
      <c r="BT3105" s="5">
        <v>0.40277777777777773</v>
      </c>
      <c r="BU3105" t="s">
        <v>694</v>
      </c>
      <c r="BV3105" t="s">
        <v>86</v>
      </c>
      <c r="BY3105">
        <v>2830.29</v>
      </c>
      <c r="CC3105" t="s">
        <v>96</v>
      </c>
      <c r="CD3105">
        <v>1451</v>
      </c>
      <c r="CE3105" t="s">
        <v>1598</v>
      </c>
      <c r="CF3105" s="3">
        <v>43796</v>
      </c>
      <c r="CI3105">
        <v>1</v>
      </c>
      <c r="CJ3105">
        <v>1</v>
      </c>
      <c r="CK3105">
        <v>22</v>
      </c>
      <c r="CL3105" t="s">
        <v>89</v>
      </c>
    </row>
    <row r="3106" spans="1:90">
      <c r="A3106" t="s">
        <v>72</v>
      </c>
      <c r="B3106" t="s">
        <v>73</v>
      </c>
      <c r="C3106" t="s">
        <v>74</v>
      </c>
      <c r="E3106" t="str">
        <f>"FES1162724744"</f>
        <v>FES1162724744</v>
      </c>
      <c r="F3106" s="3">
        <v>43794</v>
      </c>
      <c r="G3106">
        <v>202005</v>
      </c>
      <c r="H3106" t="s">
        <v>75</v>
      </c>
      <c r="I3106" t="s">
        <v>76</v>
      </c>
      <c r="J3106" t="s">
        <v>77</v>
      </c>
      <c r="K3106" t="s">
        <v>78</v>
      </c>
      <c r="L3106" t="s">
        <v>482</v>
      </c>
      <c r="M3106" t="s">
        <v>483</v>
      </c>
      <c r="N3106" t="s">
        <v>594</v>
      </c>
      <c r="O3106" t="s">
        <v>82</v>
      </c>
      <c r="P3106" t="str">
        <f>"2170718538                    "</f>
        <v xml:space="preserve">2170718538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6.71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 s="4">
        <v>39.42</v>
      </c>
      <c r="BM3106" s="4">
        <v>5.91</v>
      </c>
      <c r="BN3106" s="4">
        <v>45.33</v>
      </c>
      <c r="BO3106" s="4">
        <v>45.33</v>
      </c>
      <c r="BQ3106" t="s">
        <v>109</v>
      </c>
      <c r="BR3106" t="s">
        <v>84</v>
      </c>
      <c r="BS3106" s="3">
        <v>43795</v>
      </c>
      <c r="BT3106" s="5">
        <v>0.38541666666666669</v>
      </c>
      <c r="BU3106" t="s">
        <v>1526</v>
      </c>
      <c r="BV3106" t="s">
        <v>86</v>
      </c>
      <c r="BY3106">
        <v>1200</v>
      </c>
      <c r="CC3106" t="s">
        <v>483</v>
      </c>
      <c r="CD3106">
        <v>1459</v>
      </c>
      <c r="CE3106" t="s">
        <v>147</v>
      </c>
      <c r="CF3106" s="3">
        <v>43796</v>
      </c>
      <c r="CI3106">
        <v>1</v>
      </c>
      <c r="CJ3106">
        <v>1</v>
      </c>
      <c r="CK3106">
        <v>22</v>
      </c>
      <c r="CL3106" t="s">
        <v>89</v>
      </c>
    </row>
    <row r="3107" spans="1:90">
      <c r="A3107" t="s">
        <v>72</v>
      </c>
      <c r="B3107" t="s">
        <v>73</v>
      </c>
      <c r="C3107" t="s">
        <v>74</v>
      </c>
      <c r="E3107" t="str">
        <f>"FES1162723869"</f>
        <v>FES1162723869</v>
      </c>
      <c r="F3107" s="3">
        <v>43788</v>
      </c>
      <c r="G3107">
        <v>202005</v>
      </c>
      <c r="H3107" t="s">
        <v>75</v>
      </c>
      <c r="I3107" t="s">
        <v>76</v>
      </c>
      <c r="J3107" t="s">
        <v>211</v>
      </c>
      <c r="K3107" t="s">
        <v>78</v>
      </c>
      <c r="L3107" t="s">
        <v>825</v>
      </c>
      <c r="M3107" t="s">
        <v>826</v>
      </c>
      <c r="N3107" t="s">
        <v>2862</v>
      </c>
      <c r="O3107" t="s">
        <v>756</v>
      </c>
      <c r="P3107" t="str">
        <f>"2170717754                    "</f>
        <v xml:space="preserve">2170717754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26.56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7.3</v>
      </c>
      <c r="BJ3107">
        <v>1.5</v>
      </c>
      <c r="BK3107">
        <v>8</v>
      </c>
      <c r="BL3107" s="4">
        <v>156.12</v>
      </c>
      <c r="BM3107" s="4">
        <v>23.42</v>
      </c>
      <c r="BN3107" s="4">
        <v>179.54</v>
      </c>
      <c r="BO3107" s="4">
        <v>179.54</v>
      </c>
      <c r="BQ3107" t="s">
        <v>121</v>
      </c>
      <c r="BR3107" t="s">
        <v>212</v>
      </c>
      <c r="BS3107" s="3">
        <v>43789</v>
      </c>
      <c r="BT3107" s="5">
        <v>0.42291666666666666</v>
      </c>
      <c r="BU3107" t="s">
        <v>2863</v>
      </c>
      <c r="BV3107" t="s">
        <v>86</v>
      </c>
      <c r="BY3107">
        <v>7706.95</v>
      </c>
      <c r="BZ3107" t="s">
        <v>27</v>
      </c>
      <c r="CC3107" t="s">
        <v>826</v>
      </c>
      <c r="CD3107">
        <v>1759</v>
      </c>
      <c r="CE3107" t="s">
        <v>88</v>
      </c>
      <c r="CF3107" s="3">
        <v>43790</v>
      </c>
      <c r="CI3107">
        <v>1</v>
      </c>
      <c r="CJ3107">
        <v>1</v>
      </c>
      <c r="CK3107">
        <v>34</v>
      </c>
      <c r="CL3107" t="s">
        <v>89</v>
      </c>
    </row>
    <row r="3108" spans="1:90">
      <c r="A3108" t="s">
        <v>72</v>
      </c>
      <c r="B3108" t="s">
        <v>73</v>
      </c>
      <c r="C3108" t="s">
        <v>74</v>
      </c>
      <c r="E3108" t="str">
        <f>"FES1162723813"</f>
        <v>FES1162723813</v>
      </c>
      <c r="F3108" s="3">
        <v>43788</v>
      </c>
      <c r="G3108">
        <v>202005</v>
      </c>
      <c r="H3108" t="s">
        <v>75</v>
      </c>
      <c r="I3108" t="s">
        <v>76</v>
      </c>
      <c r="J3108" t="s">
        <v>211</v>
      </c>
      <c r="K3108" t="s">
        <v>78</v>
      </c>
      <c r="L3108" t="s">
        <v>681</v>
      </c>
      <c r="M3108" t="s">
        <v>682</v>
      </c>
      <c r="N3108" t="s">
        <v>2220</v>
      </c>
      <c r="O3108" t="s">
        <v>756</v>
      </c>
      <c r="P3108" t="str">
        <f>"2170717302                    "</f>
        <v xml:space="preserve">2170717302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12.07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2.6</v>
      </c>
      <c r="BJ3108">
        <v>1.2</v>
      </c>
      <c r="BK3108">
        <v>3</v>
      </c>
      <c r="BL3108" s="4">
        <v>70.95</v>
      </c>
      <c r="BM3108" s="4">
        <v>10.64</v>
      </c>
      <c r="BN3108" s="4">
        <v>81.59</v>
      </c>
      <c r="BO3108" s="4">
        <v>81.59</v>
      </c>
      <c r="BQ3108" t="s">
        <v>142</v>
      </c>
      <c r="BR3108" t="s">
        <v>212</v>
      </c>
      <c r="BS3108" s="3">
        <v>43789</v>
      </c>
      <c r="BT3108" s="5">
        <v>0.39444444444444443</v>
      </c>
      <c r="BU3108" t="s">
        <v>2355</v>
      </c>
      <c r="BV3108" t="s">
        <v>86</v>
      </c>
      <c r="BY3108">
        <v>5776.06</v>
      </c>
      <c r="BZ3108" t="s">
        <v>27</v>
      </c>
      <c r="CA3108" t="s">
        <v>685</v>
      </c>
      <c r="CC3108" t="s">
        <v>682</v>
      </c>
      <c r="CD3108">
        <v>1871</v>
      </c>
      <c r="CE3108" t="s">
        <v>88</v>
      </c>
      <c r="CF3108" s="3">
        <v>43791</v>
      </c>
      <c r="CI3108">
        <v>1</v>
      </c>
      <c r="CJ3108">
        <v>1</v>
      </c>
      <c r="CK3108">
        <v>34</v>
      </c>
      <c r="CL3108" t="s">
        <v>89</v>
      </c>
    </row>
    <row r="3109" spans="1:90">
      <c r="A3109" t="s">
        <v>72</v>
      </c>
      <c r="B3109" t="s">
        <v>73</v>
      </c>
      <c r="C3109" t="s">
        <v>74</v>
      </c>
      <c r="E3109" t="str">
        <f>"009939322001"</f>
        <v>009939322001</v>
      </c>
      <c r="F3109" s="3">
        <v>43787</v>
      </c>
      <c r="G3109">
        <v>202005</v>
      </c>
      <c r="H3109" t="s">
        <v>214</v>
      </c>
      <c r="I3109" t="s">
        <v>214</v>
      </c>
      <c r="J3109" t="s">
        <v>3028</v>
      </c>
      <c r="K3109" t="s">
        <v>78</v>
      </c>
      <c r="L3109" t="s">
        <v>75</v>
      </c>
      <c r="M3109" t="s">
        <v>76</v>
      </c>
      <c r="N3109" t="s">
        <v>211</v>
      </c>
      <c r="O3109" t="s">
        <v>82</v>
      </c>
      <c r="P3109" t="str">
        <f>"JNB1911180076                 "</f>
        <v xml:space="preserve">JNB1911180076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16.63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0.7</v>
      </c>
      <c r="BJ3109">
        <v>1.9</v>
      </c>
      <c r="BK3109">
        <v>2</v>
      </c>
      <c r="BL3109" s="4">
        <v>97.75</v>
      </c>
      <c r="BM3109" s="4">
        <v>14.66</v>
      </c>
      <c r="BN3109" s="4">
        <v>112.41</v>
      </c>
      <c r="BO3109" s="4">
        <v>112.41</v>
      </c>
      <c r="BQ3109" t="s">
        <v>1011</v>
      </c>
      <c r="BR3109" t="s">
        <v>3029</v>
      </c>
      <c r="BS3109" s="3">
        <v>43789</v>
      </c>
      <c r="BT3109" s="5">
        <v>0.37291666666666662</v>
      </c>
      <c r="BU3109" t="s">
        <v>1016</v>
      </c>
      <c r="BV3109" t="s">
        <v>89</v>
      </c>
      <c r="BY3109">
        <v>9254.49</v>
      </c>
      <c r="BZ3109" t="s">
        <v>27</v>
      </c>
      <c r="CA3109" t="s">
        <v>198</v>
      </c>
      <c r="CC3109" t="s">
        <v>76</v>
      </c>
      <c r="CD3109">
        <v>1600</v>
      </c>
      <c r="CE3109" t="s">
        <v>88</v>
      </c>
      <c r="CF3109" s="3">
        <v>43790</v>
      </c>
      <c r="CI3109">
        <v>0</v>
      </c>
      <c r="CJ3109">
        <v>0</v>
      </c>
      <c r="CK3109">
        <v>23</v>
      </c>
      <c r="CL3109" t="s">
        <v>89</v>
      </c>
    </row>
    <row r="3110" spans="1:90">
      <c r="A3110" t="s">
        <v>72</v>
      </c>
      <c r="B3110" t="s">
        <v>73</v>
      </c>
      <c r="C3110" t="s">
        <v>74</v>
      </c>
      <c r="E3110" t="str">
        <f>"FES1162723686"</f>
        <v>FES1162723686</v>
      </c>
      <c r="F3110" s="3">
        <v>43787</v>
      </c>
      <c r="G3110">
        <v>202005</v>
      </c>
      <c r="H3110" t="s">
        <v>75</v>
      </c>
      <c r="I3110" t="s">
        <v>76</v>
      </c>
      <c r="J3110" t="s">
        <v>211</v>
      </c>
      <c r="K3110" t="s">
        <v>78</v>
      </c>
      <c r="L3110" t="s">
        <v>681</v>
      </c>
      <c r="M3110" t="s">
        <v>682</v>
      </c>
      <c r="N3110" t="s">
        <v>3030</v>
      </c>
      <c r="O3110" t="s">
        <v>756</v>
      </c>
      <c r="P3110" t="str">
        <f>"2170717613                    "</f>
        <v xml:space="preserve">2170717613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12.07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3.6</v>
      </c>
      <c r="BJ3110">
        <v>1.4</v>
      </c>
      <c r="BK3110">
        <v>4</v>
      </c>
      <c r="BL3110" s="4">
        <v>70.95</v>
      </c>
      <c r="BM3110" s="4">
        <v>10.64</v>
      </c>
      <c r="BN3110" s="4">
        <v>81.59</v>
      </c>
      <c r="BO3110" s="4">
        <v>81.59</v>
      </c>
      <c r="BQ3110" t="s">
        <v>121</v>
      </c>
      <c r="BR3110" t="s">
        <v>212</v>
      </c>
      <c r="BS3110" s="3">
        <v>43788</v>
      </c>
      <c r="BT3110" s="5">
        <v>0.41666666666666669</v>
      </c>
      <c r="BU3110" t="s">
        <v>3031</v>
      </c>
      <c r="BV3110" t="s">
        <v>86</v>
      </c>
      <c r="BY3110">
        <v>6996.94</v>
      </c>
      <c r="BZ3110" t="s">
        <v>27</v>
      </c>
      <c r="CA3110" t="s">
        <v>1224</v>
      </c>
      <c r="CC3110" t="s">
        <v>682</v>
      </c>
      <c r="CD3110">
        <v>1930</v>
      </c>
      <c r="CE3110" t="s">
        <v>88</v>
      </c>
      <c r="CF3110" s="3">
        <v>43789</v>
      </c>
      <c r="CI3110">
        <v>1</v>
      </c>
      <c r="CJ3110">
        <v>1</v>
      </c>
      <c r="CK3110">
        <v>34</v>
      </c>
      <c r="CL3110" t="s">
        <v>89</v>
      </c>
    </row>
    <row r="3111" spans="1:90">
      <c r="A3111" t="s">
        <v>72</v>
      </c>
      <c r="B3111" t="s">
        <v>73</v>
      </c>
      <c r="C3111" t="s">
        <v>74</v>
      </c>
      <c r="E3111" t="str">
        <f>"FES1162723557"</f>
        <v>FES1162723557</v>
      </c>
      <c r="F3111" s="3">
        <v>43787</v>
      </c>
      <c r="G3111">
        <v>202005</v>
      </c>
      <c r="H3111" t="s">
        <v>75</v>
      </c>
      <c r="I3111" t="s">
        <v>76</v>
      </c>
      <c r="J3111" t="s">
        <v>211</v>
      </c>
      <c r="K3111" t="s">
        <v>78</v>
      </c>
      <c r="L3111" t="s">
        <v>605</v>
      </c>
      <c r="M3111" t="s">
        <v>606</v>
      </c>
      <c r="N3111" t="s">
        <v>1775</v>
      </c>
      <c r="O3111" t="s">
        <v>756</v>
      </c>
      <c r="P3111" t="str">
        <f>"2170717512                    "</f>
        <v xml:space="preserve">2170717512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12.07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3.3</v>
      </c>
      <c r="BJ3111">
        <v>2.5</v>
      </c>
      <c r="BK3111">
        <v>4</v>
      </c>
      <c r="BL3111" s="4">
        <v>70.95</v>
      </c>
      <c r="BM3111" s="4">
        <v>10.64</v>
      </c>
      <c r="BN3111" s="4">
        <v>81.59</v>
      </c>
      <c r="BO3111" s="4">
        <v>81.59</v>
      </c>
      <c r="BQ3111" t="s">
        <v>1776</v>
      </c>
      <c r="BR3111" t="s">
        <v>212</v>
      </c>
      <c r="BS3111" s="3">
        <v>43788</v>
      </c>
      <c r="BT3111" s="5">
        <v>0.43055555555555558</v>
      </c>
      <c r="BU3111" t="s">
        <v>1777</v>
      </c>
      <c r="BV3111" t="s">
        <v>86</v>
      </c>
      <c r="BY3111">
        <v>12744</v>
      </c>
      <c r="BZ3111" t="s">
        <v>27</v>
      </c>
      <c r="CA3111" t="s">
        <v>889</v>
      </c>
      <c r="CC3111" t="s">
        <v>606</v>
      </c>
      <c r="CD3111">
        <v>208</v>
      </c>
      <c r="CE3111" t="s">
        <v>88</v>
      </c>
      <c r="CF3111" s="3">
        <v>43790</v>
      </c>
      <c r="CI3111">
        <v>1</v>
      </c>
      <c r="CJ3111">
        <v>1</v>
      </c>
      <c r="CK3111">
        <v>34</v>
      </c>
      <c r="CL3111" t="s">
        <v>89</v>
      </c>
    </row>
    <row r="3112" spans="1:90">
      <c r="A3112" t="s">
        <v>72</v>
      </c>
      <c r="B3112" t="s">
        <v>73</v>
      </c>
      <c r="C3112" t="s">
        <v>74</v>
      </c>
      <c r="E3112" t="str">
        <f>"009939541994"</f>
        <v>009939541994</v>
      </c>
      <c r="F3112" s="3">
        <v>43780</v>
      </c>
      <c r="G3112">
        <v>202005</v>
      </c>
      <c r="H3112" t="s">
        <v>95</v>
      </c>
      <c r="I3112" t="s">
        <v>96</v>
      </c>
      <c r="J3112" t="s">
        <v>3032</v>
      </c>
      <c r="K3112" t="s">
        <v>78</v>
      </c>
      <c r="L3112" t="s">
        <v>75</v>
      </c>
      <c r="M3112" t="s">
        <v>76</v>
      </c>
      <c r="N3112" t="s">
        <v>211</v>
      </c>
      <c r="O3112" t="s">
        <v>82</v>
      </c>
      <c r="P3112" t="str">
        <f>"                              "</f>
        <v xml:space="preserve">          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8.31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1.9</v>
      </c>
      <c r="BJ3112">
        <v>2.7</v>
      </c>
      <c r="BK3112">
        <v>3</v>
      </c>
      <c r="BL3112" s="4">
        <v>48.86</v>
      </c>
      <c r="BM3112" s="4">
        <v>7.33</v>
      </c>
      <c r="BN3112" s="4">
        <v>56.19</v>
      </c>
      <c r="BO3112" s="4">
        <v>56.19</v>
      </c>
      <c r="BR3112" t="s">
        <v>3033</v>
      </c>
      <c r="BS3112" s="3">
        <v>43781</v>
      </c>
      <c r="BT3112" s="5">
        <v>0.36180555555555555</v>
      </c>
      <c r="BU3112" t="s">
        <v>1016</v>
      </c>
      <c r="BV3112" t="s">
        <v>86</v>
      </c>
      <c r="BY3112">
        <v>13532.85</v>
      </c>
      <c r="BZ3112" t="s">
        <v>27</v>
      </c>
      <c r="CA3112" t="s">
        <v>198</v>
      </c>
      <c r="CC3112" t="s">
        <v>76</v>
      </c>
      <c r="CD3112">
        <v>1600</v>
      </c>
      <c r="CE3112" t="s">
        <v>88</v>
      </c>
      <c r="CF3112" s="3">
        <v>43782</v>
      </c>
      <c r="CI3112">
        <v>1</v>
      </c>
      <c r="CJ3112">
        <v>1</v>
      </c>
      <c r="CK3112">
        <v>22</v>
      </c>
      <c r="CL3112" t="s">
        <v>89</v>
      </c>
    </row>
    <row r="3113" spans="1:90">
      <c r="A3113" t="s">
        <v>72</v>
      </c>
      <c r="B3113" t="s">
        <v>73</v>
      </c>
      <c r="C3113" t="s">
        <v>74</v>
      </c>
      <c r="E3113" t="str">
        <f>"FES1162723768"</f>
        <v>FES1162723768</v>
      </c>
      <c r="F3113" s="3">
        <v>43788</v>
      </c>
      <c r="G3113">
        <v>202005</v>
      </c>
      <c r="H3113" t="s">
        <v>75</v>
      </c>
      <c r="I3113" t="s">
        <v>76</v>
      </c>
      <c r="J3113" t="s">
        <v>211</v>
      </c>
      <c r="K3113" t="s">
        <v>78</v>
      </c>
      <c r="L3113" t="s">
        <v>405</v>
      </c>
      <c r="M3113" t="s">
        <v>406</v>
      </c>
      <c r="N3113" t="s">
        <v>934</v>
      </c>
      <c r="O3113" t="s">
        <v>756</v>
      </c>
      <c r="P3113" t="str">
        <f>"2170717259                    "</f>
        <v xml:space="preserve">2170717259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26.56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7.1</v>
      </c>
      <c r="BJ3113">
        <v>3</v>
      </c>
      <c r="BK3113">
        <v>8</v>
      </c>
      <c r="BL3113" s="4">
        <v>156.12</v>
      </c>
      <c r="BM3113" s="4">
        <v>23.42</v>
      </c>
      <c r="BN3113" s="4">
        <v>179.54</v>
      </c>
      <c r="BO3113" s="4">
        <v>179.54</v>
      </c>
      <c r="BQ3113" t="s">
        <v>121</v>
      </c>
      <c r="BR3113" t="s">
        <v>212</v>
      </c>
      <c r="BS3113" s="3">
        <v>43789</v>
      </c>
      <c r="BT3113" s="5">
        <v>0.375</v>
      </c>
      <c r="BU3113" t="s">
        <v>1466</v>
      </c>
      <c r="BV3113" t="s">
        <v>86</v>
      </c>
      <c r="BY3113">
        <v>15238.3</v>
      </c>
      <c r="BZ3113" t="s">
        <v>27</v>
      </c>
      <c r="CA3113" t="s">
        <v>873</v>
      </c>
      <c r="CC3113" t="s">
        <v>406</v>
      </c>
      <c r="CD3113">
        <v>250</v>
      </c>
      <c r="CE3113" t="s">
        <v>88</v>
      </c>
      <c r="CF3113" s="3">
        <v>43791</v>
      </c>
      <c r="CI3113">
        <v>1</v>
      </c>
      <c r="CJ3113">
        <v>1</v>
      </c>
      <c r="CK3113">
        <v>34</v>
      </c>
      <c r="CL3113" t="s">
        <v>89</v>
      </c>
    </row>
    <row r="3114" spans="1:90">
      <c r="A3114" t="s">
        <v>72</v>
      </c>
      <c r="B3114" t="s">
        <v>73</v>
      </c>
      <c r="C3114" t="s">
        <v>74</v>
      </c>
      <c r="E3114" t="str">
        <f>"FES1162723723"</f>
        <v>FES1162723723</v>
      </c>
      <c r="F3114" s="3">
        <v>43788</v>
      </c>
      <c r="G3114">
        <v>202005</v>
      </c>
      <c r="H3114" t="s">
        <v>75</v>
      </c>
      <c r="I3114" t="s">
        <v>76</v>
      </c>
      <c r="J3114" t="s">
        <v>211</v>
      </c>
      <c r="K3114" t="s">
        <v>78</v>
      </c>
      <c r="L3114" t="s">
        <v>172</v>
      </c>
      <c r="M3114" t="s">
        <v>173</v>
      </c>
      <c r="N3114" t="s">
        <v>2743</v>
      </c>
      <c r="O3114" t="s">
        <v>756</v>
      </c>
      <c r="P3114" t="str">
        <f>"2170717690                    "</f>
        <v xml:space="preserve">2170717690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19.32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5.4</v>
      </c>
      <c r="BJ3114">
        <v>5.6</v>
      </c>
      <c r="BK3114">
        <v>6</v>
      </c>
      <c r="BL3114" s="4">
        <v>113.54</v>
      </c>
      <c r="BM3114" s="4">
        <v>17.03</v>
      </c>
      <c r="BN3114" s="4">
        <v>130.57</v>
      </c>
      <c r="BO3114" s="4">
        <v>130.57</v>
      </c>
      <c r="BQ3114" t="s">
        <v>121</v>
      </c>
      <c r="BR3114" t="s">
        <v>212</v>
      </c>
      <c r="BS3114" s="3">
        <v>43789</v>
      </c>
      <c r="BT3114" s="5">
        <v>0.33333333333333331</v>
      </c>
      <c r="BU3114" t="s">
        <v>231</v>
      </c>
      <c r="BV3114" t="s">
        <v>86</v>
      </c>
      <c r="BY3114">
        <v>28100.07</v>
      </c>
      <c r="BZ3114" t="s">
        <v>27</v>
      </c>
      <c r="CC3114" t="s">
        <v>173</v>
      </c>
      <c r="CD3114">
        <v>1739</v>
      </c>
      <c r="CE3114" t="s">
        <v>88</v>
      </c>
      <c r="CF3114" s="3">
        <v>43790</v>
      </c>
      <c r="CI3114">
        <v>1</v>
      </c>
      <c r="CJ3114">
        <v>1</v>
      </c>
      <c r="CK3114">
        <v>34</v>
      </c>
      <c r="CL3114" t="s">
        <v>89</v>
      </c>
    </row>
    <row r="3115" spans="1:90">
      <c r="A3115" t="s">
        <v>72</v>
      </c>
      <c r="B3115" t="s">
        <v>73</v>
      </c>
      <c r="C3115" t="s">
        <v>74</v>
      </c>
      <c r="E3115" t="str">
        <f>"FES1162723722"</f>
        <v>FES1162723722</v>
      </c>
      <c r="F3115" s="3">
        <v>43788</v>
      </c>
      <c r="G3115">
        <v>202005</v>
      </c>
      <c r="H3115" t="s">
        <v>75</v>
      </c>
      <c r="I3115" t="s">
        <v>76</v>
      </c>
      <c r="J3115" t="s">
        <v>211</v>
      </c>
      <c r="K3115" t="s">
        <v>78</v>
      </c>
      <c r="L3115" t="s">
        <v>172</v>
      </c>
      <c r="M3115" t="s">
        <v>173</v>
      </c>
      <c r="N3115" t="s">
        <v>2743</v>
      </c>
      <c r="O3115" t="s">
        <v>756</v>
      </c>
      <c r="P3115" t="str">
        <f>"2170717588                    "</f>
        <v xml:space="preserve">2170717588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12.07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2.4</v>
      </c>
      <c r="BJ3115">
        <v>1.3</v>
      </c>
      <c r="BK3115">
        <v>3</v>
      </c>
      <c r="BL3115" s="4">
        <v>70.95</v>
      </c>
      <c r="BM3115" s="4">
        <v>10.64</v>
      </c>
      <c r="BN3115" s="4">
        <v>81.59</v>
      </c>
      <c r="BO3115" s="4">
        <v>81.59</v>
      </c>
      <c r="BQ3115" t="s">
        <v>121</v>
      </c>
      <c r="BR3115" t="s">
        <v>212</v>
      </c>
      <c r="BS3115" s="3">
        <v>43789</v>
      </c>
      <c r="BT3115" s="5">
        <v>0.33333333333333331</v>
      </c>
      <c r="BU3115" t="s">
        <v>231</v>
      </c>
      <c r="BV3115" t="s">
        <v>86</v>
      </c>
      <c r="BY3115">
        <v>6404.59</v>
      </c>
      <c r="BZ3115" t="s">
        <v>27</v>
      </c>
      <c r="CC3115" t="s">
        <v>173</v>
      </c>
      <c r="CD3115">
        <v>1739</v>
      </c>
      <c r="CE3115" t="s">
        <v>88</v>
      </c>
      <c r="CF3115" s="3">
        <v>43790</v>
      </c>
      <c r="CI3115">
        <v>1</v>
      </c>
      <c r="CJ3115">
        <v>1</v>
      </c>
      <c r="CK3115">
        <v>34</v>
      </c>
      <c r="CL3115" t="s">
        <v>89</v>
      </c>
    </row>
    <row r="3116" spans="1:90">
      <c r="A3116" t="s">
        <v>72</v>
      </c>
      <c r="B3116" t="s">
        <v>73</v>
      </c>
      <c r="C3116" t="s">
        <v>74</v>
      </c>
      <c r="E3116" t="str">
        <f>"009939300510"</f>
        <v>009939300510</v>
      </c>
      <c r="F3116" s="3">
        <v>43788</v>
      </c>
      <c r="G3116">
        <v>202005</v>
      </c>
      <c r="H3116" t="s">
        <v>202</v>
      </c>
      <c r="I3116" t="s">
        <v>203</v>
      </c>
      <c r="J3116" t="s">
        <v>3034</v>
      </c>
      <c r="K3116" t="s">
        <v>78</v>
      </c>
      <c r="L3116" t="s">
        <v>75</v>
      </c>
      <c r="M3116" t="s">
        <v>76</v>
      </c>
      <c r="N3116" t="s">
        <v>211</v>
      </c>
      <c r="O3116" t="s">
        <v>82</v>
      </c>
      <c r="P3116" t="str">
        <f>"NA                            "</f>
        <v xml:space="preserve">NA        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7.51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0.5</v>
      </c>
      <c r="BJ3116">
        <v>2.4</v>
      </c>
      <c r="BK3116">
        <v>2.5</v>
      </c>
      <c r="BL3116" s="4">
        <v>44.14</v>
      </c>
      <c r="BM3116" s="4">
        <v>6.62</v>
      </c>
      <c r="BN3116" s="4">
        <v>50.76</v>
      </c>
      <c r="BO3116" s="4">
        <v>50.76</v>
      </c>
      <c r="BQ3116" t="s">
        <v>3035</v>
      </c>
      <c r="BR3116" t="s">
        <v>3036</v>
      </c>
      <c r="BS3116" s="3">
        <v>43789</v>
      </c>
      <c r="BT3116" s="5">
        <v>0.37291666666666662</v>
      </c>
      <c r="BU3116" t="s">
        <v>1016</v>
      </c>
      <c r="BV3116" t="s">
        <v>86</v>
      </c>
      <c r="BY3116">
        <v>11759.81</v>
      </c>
      <c r="BZ3116" t="s">
        <v>27</v>
      </c>
      <c r="CA3116" t="s">
        <v>198</v>
      </c>
      <c r="CC3116" t="s">
        <v>76</v>
      </c>
      <c r="CD3116">
        <v>1600</v>
      </c>
      <c r="CE3116" t="s">
        <v>88</v>
      </c>
      <c r="CF3116" s="3">
        <v>43790</v>
      </c>
      <c r="CI3116">
        <v>1</v>
      </c>
      <c r="CJ3116">
        <v>1</v>
      </c>
      <c r="CK3116">
        <v>22</v>
      </c>
      <c r="CL3116" t="s">
        <v>89</v>
      </c>
    </row>
    <row r="3117" spans="1:90">
      <c r="A3117" t="s">
        <v>72</v>
      </c>
      <c r="B3117" t="s">
        <v>73</v>
      </c>
      <c r="C3117" t="s">
        <v>74</v>
      </c>
      <c r="E3117" t="str">
        <f>"FES1162722376"</f>
        <v>FES1162722376</v>
      </c>
      <c r="F3117" s="3">
        <v>43781</v>
      </c>
      <c r="G3117">
        <v>202005</v>
      </c>
      <c r="H3117" t="s">
        <v>75</v>
      </c>
      <c r="I3117" t="s">
        <v>76</v>
      </c>
      <c r="J3117" t="s">
        <v>211</v>
      </c>
      <c r="K3117" t="s">
        <v>78</v>
      </c>
      <c r="L3117" t="s">
        <v>124</v>
      </c>
      <c r="M3117" t="s">
        <v>125</v>
      </c>
      <c r="N3117" t="s">
        <v>218</v>
      </c>
      <c r="O3117" t="s">
        <v>756</v>
      </c>
      <c r="P3117" t="str">
        <f>"2170716581                    "</f>
        <v xml:space="preserve">2170716581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14.98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14.3</v>
      </c>
      <c r="BJ3117">
        <v>14.4</v>
      </c>
      <c r="BK3117">
        <v>15</v>
      </c>
      <c r="BL3117" s="4">
        <v>88.06</v>
      </c>
      <c r="BM3117" s="4">
        <v>13.21</v>
      </c>
      <c r="BN3117" s="4">
        <v>101.27</v>
      </c>
      <c r="BO3117" s="4">
        <v>101.27</v>
      </c>
      <c r="BQ3117" t="s">
        <v>121</v>
      </c>
      <c r="BR3117" t="s">
        <v>212</v>
      </c>
      <c r="BS3117" s="3">
        <v>43782</v>
      </c>
      <c r="BT3117" s="5">
        <v>0.36736111111111108</v>
      </c>
      <c r="BU3117" t="s">
        <v>1659</v>
      </c>
      <c r="BV3117" t="s">
        <v>86</v>
      </c>
      <c r="BY3117">
        <v>72125.42</v>
      </c>
      <c r="BZ3117" t="s">
        <v>27</v>
      </c>
      <c r="CC3117" t="s">
        <v>125</v>
      </c>
      <c r="CD3117">
        <v>2094</v>
      </c>
      <c r="CE3117" t="s">
        <v>88</v>
      </c>
      <c r="CF3117" s="3">
        <v>43784</v>
      </c>
      <c r="CI3117">
        <v>1</v>
      </c>
      <c r="CJ3117">
        <v>1</v>
      </c>
      <c r="CK3117">
        <v>32</v>
      </c>
      <c r="CL3117" t="s">
        <v>89</v>
      </c>
    </row>
    <row r="3118" spans="1:90">
      <c r="A3118" t="s">
        <v>72</v>
      </c>
      <c r="B3118" t="s">
        <v>73</v>
      </c>
      <c r="C3118" t="s">
        <v>74</v>
      </c>
      <c r="E3118" t="str">
        <f>"FES1162722427"</f>
        <v>FES1162722427</v>
      </c>
      <c r="F3118" s="3">
        <v>43781</v>
      </c>
      <c r="G3118">
        <v>202005</v>
      </c>
      <c r="H3118" t="s">
        <v>75</v>
      </c>
      <c r="I3118" t="s">
        <v>76</v>
      </c>
      <c r="J3118" t="s">
        <v>211</v>
      </c>
      <c r="K3118" t="s">
        <v>78</v>
      </c>
      <c r="L3118" t="s">
        <v>184</v>
      </c>
      <c r="M3118" t="s">
        <v>185</v>
      </c>
      <c r="N3118" t="s">
        <v>899</v>
      </c>
      <c r="O3118" t="s">
        <v>756</v>
      </c>
      <c r="P3118" t="str">
        <f>"2170716640                    "</f>
        <v xml:space="preserve">2170716640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15.73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6.5</v>
      </c>
      <c r="BJ3118">
        <v>15.7</v>
      </c>
      <c r="BK3118">
        <v>16</v>
      </c>
      <c r="BL3118" s="4">
        <v>92.48</v>
      </c>
      <c r="BM3118" s="4">
        <v>13.87</v>
      </c>
      <c r="BN3118" s="4">
        <v>106.35</v>
      </c>
      <c r="BO3118" s="4">
        <v>106.35</v>
      </c>
      <c r="BQ3118" t="s">
        <v>121</v>
      </c>
      <c r="BR3118" t="s">
        <v>212</v>
      </c>
      <c r="BS3118" s="3">
        <v>43782</v>
      </c>
      <c r="BT3118" s="5">
        <v>0.40069444444444446</v>
      </c>
      <c r="BU3118" t="s">
        <v>3037</v>
      </c>
      <c r="BV3118" t="s">
        <v>86</v>
      </c>
      <c r="BY3118">
        <v>78377.850000000006</v>
      </c>
      <c r="BZ3118" t="s">
        <v>27</v>
      </c>
      <c r="CA3118" t="s">
        <v>123</v>
      </c>
      <c r="CC3118" t="s">
        <v>185</v>
      </c>
      <c r="CD3118">
        <v>1501</v>
      </c>
      <c r="CE3118" t="s">
        <v>88</v>
      </c>
      <c r="CF3118" s="3">
        <v>43783</v>
      </c>
      <c r="CI3118">
        <v>1</v>
      </c>
      <c r="CJ3118">
        <v>1</v>
      </c>
      <c r="CK3118">
        <v>32</v>
      </c>
      <c r="CL3118" t="s">
        <v>89</v>
      </c>
    </row>
    <row r="3119" spans="1:90">
      <c r="A3119" t="s">
        <v>72</v>
      </c>
      <c r="B3119" t="s">
        <v>73</v>
      </c>
      <c r="C3119" t="s">
        <v>74</v>
      </c>
      <c r="E3119" t="str">
        <f>"FES1162722423"</f>
        <v>FES1162722423</v>
      </c>
      <c r="F3119" s="3">
        <v>43781</v>
      </c>
      <c r="G3119">
        <v>202005</v>
      </c>
      <c r="H3119" t="s">
        <v>75</v>
      </c>
      <c r="I3119" t="s">
        <v>76</v>
      </c>
      <c r="J3119" t="s">
        <v>211</v>
      </c>
      <c r="K3119" t="s">
        <v>78</v>
      </c>
      <c r="L3119" t="s">
        <v>691</v>
      </c>
      <c r="M3119" t="s">
        <v>692</v>
      </c>
      <c r="N3119" t="s">
        <v>521</v>
      </c>
      <c r="O3119" t="s">
        <v>756</v>
      </c>
      <c r="P3119" t="str">
        <f>"2170716634                    "</f>
        <v xml:space="preserve">2170716634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15.73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8.9</v>
      </c>
      <c r="BJ3119">
        <v>15.3</v>
      </c>
      <c r="BK3119">
        <v>16</v>
      </c>
      <c r="BL3119" s="4">
        <v>92.48</v>
      </c>
      <c r="BM3119" s="4">
        <v>13.87</v>
      </c>
      <c r="BN3119" s="4">
        <v>106.35</v>
      </c>
      <c r="BO3119" s="4">
        <v>106.35</v>
      </c>
      <c r="BQ3119" t="s">
        <v>121</v>
      </c>
      <c r="BR3119" t="s">
        <v>212</v>
      </c>
      <c r="BS3119" s="3">
        <v>43782</v>
      </c>
      <c r="BT3119" s="5">
        <v>0.41666666666666669</v>
      </c>
      <c r="BU3119" t="s">
        <v>2809</v>
      </c>
      <c r="BV3119" t="s">
        <v>86</v>
      </c>
      <c r="BY3119">
        <v>76368.259999999995</v>
      </c>
      <c r="BZ3119" t="s">
        <v>27</v>
      </c>
      <c r="CA3119" t="s">
        <v>1804</v>
      </c>
      <c r="CC3119" t="s">
        <v>692</v>
      </c>
      <c r="CD3119">
        <v>1559</v>
      </c>
      <c r="CE3119" t="s">
        <v>88</v>
      </c>
      <c r="CF3119" s="3">
        <v>43784</v>
      </c>
      <c r="CI3119">
        <v>1</v>
      </c>
      <c r="CJ3119">
        <v>1</v>
      </c>
      <c r="CK3119">
        <v>32</v>
      </c>
      <c r="CL3119" t="s">
        <v>89</v>
      </c>
    </row>
    <row r="3120" spans="1:90">
      <c r="A3120" t="s">
        <v>72</v>
      </c>
      <c r="B3120" t="s">
        <v>73</v>
      </c>
      <c r="C3120" t="s">
        <v>74</v>
      </c>
      <c r="E3120" t="str">
        <f>"FES1162722502"</f>
        <v>FES1162722502</v>
      </c>
      <c r="F3120" s="3">
        <v>43781</v>
      </c>
      <c r="G3120">
        <v>202005</v>
      </c>
      <c r="H3120" t="s">
        <v>75</v>
      </c>
      <c r="I3120" t="s">
        <v>76</v>
      </c>
      <c r="J3120" t="s">
        <v>211</v>
      </c>
      <c r="K3120" t="s">
        <v>78</v>
      </c>
      <c r="L3120" t="s">
        <v>681</v>
      </c>
      <c r="M3120" t="s">
        <v>682</v>
      </c>
      <c r="N3120" t="s">
        <v>3038</v>
      </c>
      <c r="O3120" t="s">
        <v>756</v>
      </c>
      <c r="P3120" t="str">
        <f>"2170716717                    "</f>
        <v xml:space="preserve">2170716717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12.07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3.6</v>
      </c>
      <c r="BJ3120">
        <v>0.8</v>
      </c>
      <c r="BK3120">
        <v>4</v>
      </c>
      <c r="BL3120" s="4">
        <v>70.95</v>
      </c>
      <c r="BM3120" s="4">
        <v>10.64</v>
      </c>
      <c r="BN3120" s="4">
        <v>81.59</v>
      </c>
      <c r="BO3120" s="4">
        <v>81.59</v>
      </c>
      <c r="BQ3120" t="s">
        <v>121</v>
      </c>
      <c r="BR3120" t="s">
        <v>212</v>
      </c>
      <c r="BS3120" s="3">
        <v>43783</v>
      </c>
      <c r="BT3120" s="5">
        <v>0.33333333333333331</v>
      </c>
      <c r="BU3120" t="s">
        <v>1315</v>
      </c>
      <c r="BV3120" t="s">
        <v>89</v>
      </c>
      <c r="BW3120" t="s">
        <v>319</v>
      </c>
      <c r="BX3120" t="s">
        <v>1323</v>
      </c>
      <c r="BY3120">
        <v>3913.85</v>
      </c>
      <c r="BZ3120" t="s">
        <v>27</v>
      </c>
      <c r="CC3120" t="s">
        <v>682</v>
      </c>
      <c r="CD3120">
        <v>1939</v>
      </c>
      <c r="CE3120" t="s">
        <v>88</v>
      </c>
      <c r="CF3120" s="3">
        <v>43784</v>
      </c>
      <c r="CI3120">
        <v>1</v>
      </c>
      <c r="CJ3120">
        <v>2</v>
      </c>
      <c r="CK3120">
        <v>34</v>
      </c>
      <c r="CL3120" t="s">
        <v>89</v>
      </c>
    </row>
    <row r="3121" spans="1:90">
      <c r="A3121" t="s">
        <v>72</v>
      </c>
      <c r="B3121" t="s">
        <v>73</v>
      </c>
      <c r="C3121" t="s">
        <v>74</v>
      </c>
      <c r="E3121" t="str">
        <f>"FES1162722699"</f>
        <v>FES1162722699</v>
      </c>
      <c r="F3121" s="3">
        <v>43782</v>
      </c>
      <c r="G3121">
        <v>202005</v>
      </c>
      <c r="H3121" t="s">
        <v>75</v>
      </c>
      <c r="I3121" t="s">
        <v>76</v>
      </c>
      <c r="J3121" t="s">
        <v>211</v>
      </c>
      <c r="K3121" t="s">
        <v>78</v>
      </c>
      <c r="L3121" t="s">
        <v>605</v>
      </c>
      <c r="M3121" t="s">
        <v>606</v>
      </c>
      <c r="N3121" t="s">
        <v>785</v>
      </c>
      <c r="O3121" t="s">
        <v>756</v>
      </c>
      <c r="P3121" t="str">
        <f>"2170714323                    "</f>
        <v xml:space="preserve">2170714323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15.69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3</v>
      </c>
      <c r="BJ3121">
        <v>5</v>
      </c>
      <c r="BK3121">
        <v>5</v>
      </c>
      <c r="BL3121" s="4">
        <v>92.24</v>
      </c>
      <c r="BM3121" s="4">
        <v>13.84</v>
      </c>
      <c r="BN3121" s="4">
        <v>106.08</v>
      </c>
      <c r="BO3121" s="4">
        <v>106.08</v>
      </c>
      <c r="BQ3121" t="s">
        <v>121</v>
      </c>
      <c r="BR3121" t="s">
        <v>212</v>
      </c>
      <c r="BS3121" s="3">
        <v>43783</v>
      </c>
      <c r="BT3121" s="5">
        <v>0.55208333333333337</v>
      </c>
      <c r="BU3121" t="s">
        <v>921</v>
      </c>
      <c r="BV3121" t="s">
        <v>86</v>
      </c>
      <c r="BY3121">
        <v>25235.4</v>
      </c>
      <c r="BZ3121" t="s">
        <v>27</v>
      </c>
      <c r="CC3121" t="s">
        <v>606</v>
      </c>
      <c r="CD3121">
        <v>407</v>
      </c>
      <c r="CE3121" t="s">
        <v>88</v>
      </c>
      <c r="CF3121" s="3">
        <v>43784</v>
      </c>
      <c r="CI3121">
        <v>1</v>
      </c>
      <c r="CJ3121">
        <v>1</v>
      </c>
      <c r="CK3121">
        <v>34</v>
      </c>
      <c r="CL3121" t="s">
        <v>89</v>
      </c>
    </row>
    <row r="3122" spans="1:90">
      <c r="A3122" t="s">
        <v>72</v>
      </c>
      <c r="B3122" t="s">
        <v>73</v>
      </c>
      <c r="C3122" t="s">
        <v>74</v>
      </c>
      <c r="E3122" t="str">
        <f>"FES1162722848"</f>
        <v>FES1162722848</v>
      </c>
      <c r="F3122" s="3">
        <v>43782</v>
      </c>
      <c r="G3122">
        <v>202005</v>
      </c>
      <c r="H3122" t="s">
        <v>75</v>
      </c>
      <c r="I3122" t="s">
        <v>76</v>
      </c>
      <c r="J3122" t="s">
        <v>211</v>
      </c>
      <c r="K3122" t="s">
        <v>78</v>
      </c>
      <c r="L3122" t="s">
        <v>124</v>
      </c>
      <c r="M3122" t="s">
        <v>125</v>
      </c>
      <c r="N3122" t="s">
        <v>218</v>
      </c>
      <c r="O3122" t="s">
        <v>756</v>
      </c>
      <c r="P3122" t="str">
        <f>"2170716941                    "</f>
        <v xml:space="preserve">2170716941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14.98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6.7</v>
      </c>
      <c r="BJ3122">
        <v>14.3</v>
      </c>
      <c r="BK3122">
        <v>15</v>
      </c>
      <c r="BL3122" s="4">
        <v>88.06</v>
      </c>
      <c r="BM3122" s="4">
        <v>13.21</v>
      </c>
      <c r="BN3122" s="4">
        <v>101.27</v>
      </c>
      <c r="BO3122" s="4">
        <v>101.27</v>
      </c>
      <c r="BQ3122" t="s">
        <v>121</v>
      </c>
      <c r="BR3122" t="s">
        <v>212</v>
      </c>
      <c r="BS3122" s="3">
        <v>43783</v>
      </c>
      <c r="BT3122" s="5">
        <v>0.41041666666666665</v>
      </c>
      <c r="BU3122" t="s">
        <v>1908</v>
      </c>
      <c r="BV3122" t="s">
        <v>86</v>
      </c>
      <c r="BY3122">
        <v>71485.990000000005</v>
      </c>
      <c r="BZ3122" t="s">
        <v>27</v>
      </c>
      <c r="CA3122" t="s">
        <v>837</v>
      </c>
      <c r="CC3122" t="s">
        <v>125</v>
      </c>
      <c r="CD3122">
        <v>2094</v>
      </c>
      <c r="CE3122" t="s">
        <v>88</v>
      </c>
      <c r="CF3122" s="3">
        <v>43784</v>
      </c>
      <c r="CI3122">
        <v>1</v>
      </c>
      <c r="CJ3122">
        <v>1</v>
      </c>
      <c r="CK3122">
        <v>32</v>
      </c>
      <c r="CL3122" t="s">
        <v>89</v>
      </c>
    </row>
    <row r="3123" spans="1:90">
      <c r="A3123" t="s">
        <v>72</v>
      </c>
      <c r="B3123" t="s">
        <v>73</v>
      </c>
      <c r="C3123" t="s">
        <v>74</v>
      </c>
      <c r="E3123" t="str">
        <f>"FES1162722322"</f>
        <v>FES1162722322</v>
      </c>
      <c r="F3123" s="3">
        <v>43782</v>
      </c>
      <c r="G3123">
        <v>202005</v>
      </c>
      <c r="H3123" t="s">
        <v>75</v>
      </c>
      <c r="I3123" t="s">
        <v>76</v>
      </c>
      <c r="J3123" t="s">
        <v>211</v>
      </c>
      <c r="K3123" t="s">
        <v>78</v>
      </c>
      <c r="L3123" t="s">
        <v>3039</v>
      </c>
      <c r="M3123" t="s">
        <v>3040</v>
      </c>
      <c r="N3123" t="s">
        <v>3041</v>
      </c>
      <c r="O3123" t="s">
        <v>756</v>
      </c>
      <c r="P3123" t="str">
        <f>"2170712261                    "</f>
        <v xml:space="preserve">2170712261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25.35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5.3</v>
      </c>
      <c r="BJ3123">
        <v>3.3</v>
      </c>
      <c r="BK3123">
        <v>6</v>
      </c>
      <c r="BL3123" s="4">
        <v>148.99</v>
      </c>
      <c r="BM3123" s="4">
        <v>22.35</v>
      </c>
      <c r="BN3123" s="4">
        <v>171.34</v>
      </c>
      <c r="BO3123" s="4">
        <v>171.34</v>
      </c>
      <c r="BQ3123" t="s">
        <v>142</v>
      </c>
      <c r="BR3123" t="s">
        <v>212</v>
      </c>
      <c r="BS3123" s="3">
        <v>43783</v>
      </c>
      <c r="BT3123" s="5">
        <v>0.38750000000000001</v>
      </c>
      <c r="BU3123" t="s">
        <v>3042</v>
      </c>
      <c r="BV3123" t="s">
        <v>86</v>
      </c>
      <c r="BY3123">
        <v>16664.37</v>
      </c>
      <c r="BZ3123" t="s">
        <v>27</v>
      </c>
      <c r="CA3123" t="s">
        <v>3043</v>
      </c>
      <c r="CC3123" t="s">
        <v>3040</v>
      </c>
      <c r="CD3123">
        <v>2499</v>
      </c>
      <c r="CE3123" t="s">
        <v>88</v>
      </c>
      <c r="CF3123" s="3">
        <v>43784</v>
      </c>
      <c r="CI3123">
        <v>1</v>
      </c>
      <c r="CJ3123">
        <v>1</v>
      </c>
      <c r="CK3123">
        <v>33</v>
      </c>
      <c r="CL3123" t="s">
        <v>89</v>
      </c>
    </row>
    <row r="3124" spans="1:90">
      <c r="A3124" t="s">
        <v>72</v>
      </c>
      <c r="B3124" t="s">
        <v>73</v>
      </c>
      <c r="C3124" t="s">
        <v>74</v>
      </c>
      <c r="E3124" t="str">
        <f>"FES1162722888"</f>
        <v>FES1162722888</v>
      </c>
      <c r="F3124" s="3">
        <v>43782</v>
      </c>
      <c r="G3124">
        <v>202005</v>
      </c>
      <c r="H3124" t="s">
        <v>75</v>
      </c>
      <c r="I3124" t="s">
        <v>76</v>
      </c>
      <c r="J3124" t="s">
        <v>211</v>
      </c>
      <c r="K3124" t="s">
        <v>78</v>
      </c>
      <c r="L3124" t="s">
        <v>405</v>
      </c>
      <c r="M3124" t="s">
        <v>406</v>
      </c>
      <c r="N3124" t="s">
        <v>407</v>
      </c>
      <c r="O3124" t="s">
        <v>756</v>
      </c>
      <c r="P3124" t="str">
        <f>"2170714273                    "</f>
        <v xml:space="preserve">2170714273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19.32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5.3</v>
      </c>
      <c r="BJ3124">
        <v>5.4</v>
      </c>
      <c r="BK3124">
        <v>6</v>
      </c>
      <c r="BL3124" s="4">
        <v>113.54</v>
      </c>
      <c r="BM3124" s="4">
        <v>17.03</v>
      </c>
      <c r="BN3124" s="4">
        <v>130.57</v>
      </c>
      <c r="BO3124" s="4">
        <v>130.57</v>
      </c>
      <c r="BQ3124" t="s">
        <v>121</v>
      </c>
      <c r="BR3124" t="s">
        <v>212</v>
      </c>
      <c r="BS3124" s="3">
        <v>43783</v>
      </c>
      <c r="BT3124" s="5">
        <v>0.42499999999999999</v>
      </c>
      <c r="BU3124" t="s">
        <v>1979</v>
      </c>
      <c r="BV3124" t="s">
        <v>86</v>
      </c>
      <c r="BY3124">
        <v>26972.51</v>
      </c>
      <c r="BZ3124" t="s">
        <v>27</v>
      </c>
      <c r="CA3124" t="s">
        <v>1501</v>
      </c>
      <c r="CC3124" t="s">
        <v>406</v>
      </c>
      <c r="CD3124">
        <v>250</v>
      </c>
      <c r="CE3124" t="s">
        <v>1598</v>
      </c>
      <c r="CF3124" s="3">
        <v>43787</v>
      </c>
      <c r="CI3124">
        <v>1</v>
      </c>
      <c r="CJ3124">
        <v>1</v>
      </c>
      <c r="CK3124">
        <v>34</v>
      </c>
      <c r="CL3124" t="s">
        <v>89</v>
      </c>
    </row>
    <row r="3125" spans="1:90">
      <c r="A3125" t="s">
        <v>72</v>
      </c>
      <c r="B3125" t="s">
        <v>73</v>
      </c>
      <c r="C3125" t="s">
        <v>74</v>
      </c>
      <c r="E3125" t="str">
        <f>"FES1162722903"</f>
        <v>FES1162722903</v>
      </c>
      <c r="F3125" s="3">
        <v>43782</v>
      </c>
      <c r="G3125">
        <v>202005</v>
      </c>
      <c r="H3125" t="s">
        <v>75</v>
      </c>
      <c r="I3125" t="s">
        <v>76</v>
      </c>
      <c r="J3125" t="s">
        <v>211</v>
      </c>
      <c r="K3125" t="s">
        <v>78</v>
      </c>
      <c r="L3125" t="s">
        <v>124</v>
      </c>
      <c r="M3125" t="s">
        <v>125</v>
      </c>
      <c r="N3125" t="s">
        <v>2867</v>
      </c>
      <c r="O3125" t="s">
        <v>756</v>
      </c>
      <c r="P3125" t="str">
        <f>"2170713806                    "</f>
        <v xml:space="preserve">2170713806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14.98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14.5</v>
      </c>
      <c r="BJ3125">
        <v>6.9</v>
      </c>
      <c r="BK3125">
        <v>15</v>
      </c>
      <c r="BL3125" s="4">
        <v>88.06</v>
      </c>
      <c r="BM3125" s="4">
        <v>13.21</v>
      </c>
      <c r="BN3125" s="4">
        <v>101.27</v>
      </c>
      <c r="BO3125" s="4">
        <v>101.27</v>
      </c>
      <c r="BQ3125" t="s">
        <v>121</v>
      </c>
      <c r="BR3125" t="s">
        <v>212</v>
      </c>
      <c r="BS3125" s="3">
        <v>43783</v>
      </c>
      <c r="BT3125" s="5">
        <v>0.4375</v>
      </c>
      <c r="BU3125" t="s">
        <v>3044</v>
      </c>
      <c r="BV3125" t="s">
        <v>86</v>
      </c>
      <c r="BY3125">
        <v>34281.96</v>
      </c>
      <c r="BZ3125" t="s">
        <v>27</v>
      </c>
      <c r="CA3125" t="s">
        <v>123</v>
      </c>
      <c r="CC3125" t="s">
        <v>125</v>
      </c>
      <c r="CD3125">
        <v>2065</v>
      </c>
      <c r="CE3125" t="s">
        <v>88</v>
      </c>
      <c r="CF3125" s="3">
        <v>43784</v>
      </c>
      <c r="CI3125">
        <v>1</v>
      </c>
      <c r="CJ3125">
        <v>1</v>
      </c>
      <c r="CK3125">
        <v>32</v>
      </c>
      <c r="CL3125" t="s">
        <v>89</v>
      </c>
    </row>
    <row r="3126" spans="1:90">
      <c r="A3126" t="s">
        <v>72</v>
      </c>
      <c r="B3126" t="s">
        <v>73</v>
      </c>
      <c r="C3126" t="s">
        <v>74</v>
      </c>
      <c r="E3126" t="str">
        <f>"FES1162722706"</f>
        <v>FES1162722706</v>
      </c>
      <c r="F3126" s="3">
        <v>43782</v>
      </c>
      <c r="G3126">
        <v>202005</v>
      </c>
      <c r="H3126" t="s">
        <v>75</v>
      </c>
      <c r="I3126" t="s">
        <v>76</v>
      </c>
      <c r="J3126" t="s">
        <v>211</v>
      </c>
      <c r="K3126" t="s">
        <v>78</v>
      </c>
      <c r="L3126" t="s">
        <v>344</v>
      </c>
      <c r="M3126" t="s">
        <v>345</v>
      </c>
      <c r="N3126" t="s">
        <v>2161</v>
      </c>
      <c r="O3126" t="s">
        <v>756</v>
      </c>
      <c r="P3126" t="str">
        <f>"2170704398                    "</f>
        <v xml:space="preserve">2170704398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16.489999999999998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16.100000000000001</v>
      </c>
      <c r="BJ3126">
        <v>7.4</v>
      </c>
      <c r="BK3126">
        <v>17</v>
      </c>
      <c r="BL3126" s="4">
        <v>96.91</v>
      </c>
      <c r="BM3126" s="4">
        <v>14.54</v>
      </c>
      <c r="BN3126" s="4">
        <v>111.45</v>
      </c>
      <c r="BO3126" s="4">
        <v>111.45</v>
      </c>
      <c r="BQ3126" t="s">
        <v>121</v>
      </c>
      <c r="BR3126" t="s">
        <v>212</v>
      </c>
      <c r="BS3126" s="3">
        <v>43783</v>
      </c>
      <c r="BT3126" s="5">
        <v>0.42708333333333331</v>
      </c>
      <c r="BU3126" t="s">
        <v>347</v>
      </c>
      <c r="BV3126" t="s">
        <v>86</v>
      </c>
      <c r="BY3126">
        <v>36987.46</v>
      </c>
      <c r="BZ3126" t="s">
        <v>27</v>
      </c>
      <c r="CA3126" t="s">
        <v>348</v>
      </c>
      <c r="CC3126" t="s">
        <v>345</v>
      </c>
      <c r="CD3126">
        <v>2162</v>
      </c>
      <c r="CE3126" t="s">
        <v>88</v>
      </c>
      <c r="CF3126" s="3">
        <v>43784</v>
      </c>
      <c r="CI3126">
        <v>1</v>
      </c>
      <c r="CJ3126">
        <v>1</v>
      </c>
      <c r="CK3126">
        <v>32</v>
      </c>
      <c r="CL3126" t="s">
        <v>89</v>
      </c>
    </row>
    <row r="3127" spans="1:90">
      <c r="A3127" t="s">
        <v>72</v>
      </c>
      <c r="B3127" t="s">
        <v>73</v>
      </c>
      <c r="C3127" t="s">
        <v>74</v>
      </c>
      <c r="E3127" t="str">
        <f>"FES1162722992"</f>
        <v>FES1162722992</v>
      </c>
      <c r="F3127" s="3">
        <v>43782</v>
      </c>
      <c r="G3127">
        <v>202005</v>
      </c>
      <c r="H3127" t="s">
        <v>75</v>
      </c>
      <c r="I3127" t="s">
        <v>76</v>
      </c>
      <c r="J3127" t="s">
        <v>211</v>
      </c>
      <c r="K3127" t="s">
        <v>78</v>
      </c>
      <c r="L3127" t="s">
        <v>202</v>
      </c>
      <c r="M3127" t="s">
        <v>203</v>
      </c>
      <c r="N3127" t="s">
        <v>204</v>
      </c>
      <c r="O3127" t="s">
        <v>756</v>
      </c>
      <c r="P3127" t="str">
        <f>"217071014                     "</f>
        <v xml:space="preserve">217071014 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14.23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13.4</v>
      </c>
      <c r="BJ3127">
        <v>11.2</v>
      </c>
      <c r="BK3127">
        <v>14</v>
      </c>
      <c r="BL3127" s="4">
        <v>83.64</v>
      </c>
      <c r="BM3127" s="4">
        <v>12.55</v>
      </c>
      <c r="BN3127" s="4">
        <v>96.19</v>
      </c>
      <c r="BO3127" s="4">
        <v>96.19</v>
      </c>
      <c r="BQ3127" t="s">
        <v>3045</v>
      </c>
      <c r="BR3127" t="s">
        <v>212</v>
      </c>
      <c r="BS3127" s="3">
        <v>43783</v>
      </c>
      <c r="BT3127" s="5">
        <v>0.34027777777777773</v>
      </c>
      <c r="BU3127" t="s">
        <v>1452</v>
      </c>
      <c r="BV3127" t="s">
        <v>86</v>
      </c>
      <c r="BY3127">
        <v>55984.76</v>
      </c>
      <c r="BZ3127" t="s">
        <v>27</v>
      </c>
      <c r="CC3127" t="s">
        <v>203</v>
      </c>
      <c r="CD3127">
        <v>1422</v>
      </c>
      <c r="CE3127" t="s">
        <v>1598</v>
      </c>
      <c r="CF3127" s="3">
        <v>43784</v>
      </c>
      <c r="CI3127">
        <v>1</v>
      </c>
      <c r="CJ3127">
        <v>1</v>
      </c>
      <c r="CK3127">
        <v>32</v>
      </c>
      <c r="CL3127" t="s">
        <v>89</v>
      </c>
    </row>
    <row r="3128" spans="1:90">
      <c r="A3128" t="s">
        <v>72</v>
      </c>
      <c r="B3128" t="s">
        <v>73</v>
      </c>
      <c r="C3128" t="s">
        <v>74</v>
      </c>
      <c r="E3128" t="str">
        <f>"FES1162722871"</f>
        <v>FES1162722871</v>
      </c>
      <c r="F3128" s="3">
        <v>43782</v>
      </c>
      <c r="G3128">
        <v>202005</v>
      </c>
      <c r="H3128" t="s">
        <v>75</v>
      </c>
      <c r="I3128" t="s">
        <v>76</v>
      </c>
      <c r="J3128" t="s">
        <v>211</v>
      </c>
      <c r="K3128" t="s">
        <v>78</v>
      </c>
      <c r="L3128" t="s">
        <v>344</v>
      </c>
      <c r="M3128" t="s">
        <v>345</v>
      </c>
      <c r="N3128" t="s">
        <v>2379</v>
      </c>
      <c r="O3128" t="s">
        <v>756</v>
      </c>
      <c r="P3128" t="str">
        <f>"2170716962                    "</f>
        <v xml:space="preserve">2170716962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14.98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9.5</v>
      </c>
      <c r="BJ3128">
        <v>14.6</v>
      </c>
      <c r="BK3128">
        <v>15</v>
      </c>
      <c r="BL3128" s="4">
        <v>88.06</v>
      </c>
      <c r="BM3128" s="4">
        <v>13.21</v>
      </c>
      <c r="BN3128" s="4">
        <v>101.27</v>
      </c>
      <c r="BO3128" s="4">
        <v>101.27</v>
      </c>
      <c r="BQ3128" t="s">
        <v>142</v>
      </c>
      <c r="BR3128" t="s">
        <v>212</v>
      </c>
      <c r="BS3128" s="3">
        <v>43783</v>
      </c>
      <c r="BT3128" s="5">
        <v>0.38819444444444445</v>
      </c>
      <c r="BU3128" t="s">
        <v>3046</v>
      </c>
      <c r="BV3128" t="s">
        <v>86</v>
      </c>
      <c r="BY3128">
        <v>72787.679999999993</v>
      </c>
      <c r="BZ3128" t="s">
        <v>27</v>
      </c>
      <c r="CA3128" t="s">
        <v>348</v>
      </c>
      <c r="CC3128" t="s">
        <v>345</v>
      </c>
      <c r="CD3128">
        <v>2162</v>
      </c>
      <c r="CE3128" t="s">
        <v>88</v>
      </c>
      <c r="CF3128" s="3">
        <v>43784</v>
      </c>
      <c r="CI3128">
        <v>1</v>
      </c>
      <c r="CJ3128">
        <v>1</v>
      </c>
      <c r="CK3128">
        <v>32</v>
      </c>
      <c r="CL3128" t="s">
        <v>89</v>
      </c>
    </row>
    <row r="3129" spans="1:90">
      <c r="A3129" t="s">
        <v>72</v>
      </c>
      <c r="B3129" t="s">
        <v>73</v>
      </c>
      <c r="C3129" t="s">
        <v>74</v>
      </c>
      <c r="E3129" t="str">
        <f>"FES1162722979"</f>
        <v>FES1162722979</v>
      </c>
      <c r="F3129" s="3">
        <v>43783</v>
      </c>
      <c r="G3129">
        <v>202005</v>
      </c>
      <c r="H3129" t="s">
        <v>75</v>
      </c>
      <c r="I3129" t="s">
        <v>76</v>
      </c>
      <c r="J3129" t="s">
        <v>211</v>
      </c>
      <c r="K3129" t="s">
        <v>78</v>
      </c>
      <c r="L3129" t="s">
        <v>405</v>
      </c>
      <c r="M3129" t="s">
        <v>406</v>
      </c>
      <c r="N3129" t="s">
        <v>931</v>
      </c>
      <c r="O3129" t="s">
        <v>756</v>
      </c>
      <c r="P3129" t="str">
        <f>"2170717075                    "</f>
        <v xml:space="preserve">2170717075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12.07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2.7</v>
      </c>
      <c r="BJ3129">
        <v>3.9</v>
      </c>
      <c r="BK3129">
        <v>4</v>
      </c>
      <c r="BL3129" s="4">
        <v>70.95</v>
      </c>
      <c r="BM3129" s="4">
        <v>10.64</v>
      </c>
      <c r="BN3129" s="4">
        <v>81.59</v>
      </c>
      <c r="BO3129" s="4">
        <v>81.59</v>
      </c>
      <c r="BQ3129" t="s">
        <v>121</v>
      </c>
      <c r="BR3129" t="s">
        <v>212</v>
      </c>
      <c r="BS3129" s="3">
        <v>43784</v>
      </c>
      <c r="BT3129" s="5">
        <v>0.36458333333333331</v>
      </c>
      <c r="BU3129" t="s">
        <v>933</v>
      </c>
      <c r="BV3129" t="s">
        <v>86</v>
      </c>
      <c r="BY3129">
        <v>19351.25</v>
      </c>
      <c r="BZ3129" t="s">
        <v>27</v>
      </c>
      <c r="CA3129" t="s">
        <v>873</v>
      </c>
      <c r="CC3129" t="s">
        <v>406</v>
      </c>
      <c r="CD3129">
        <v>250</v>
      </c>
      <c r="CE3129" t="s">
        <v>88</v>
      </c>
      <c r="CF3129" s="3">
        <v>43788</v>
      </c>
      <c r="CI3129">
        <v>1</v>
      </c>
      <c r="CJ3129">
        <v>1</v>
      </c>
      <c r="CK3129">
        <v>34</v>
      </c>
      <c r="CL3129" t="s">
        <v>89</v>
      </c>
    </row>
    <row r="3130" spans="1:90">
      <c r="A3130" t="s">
        <v>72</v>
      </c>
      <c r="B3130" t="s">
        <v>73</v>
      </c>
      <c r="C3130" t="s">
        <v>74</v>
      </c>
      <c r="E3130" t="str">
        <f>"FES1162722985"</f>
        <v>FES1162722985</v>
      </c>
      <c r="F3130" s="3">
        <v>43783</v>
      </c>
      <c r="G3130">
        <v>202005</v>
      </c>
      <c r="H3130" t="s">
        <v>75</v>
      </c>
      <c r="I3130" t="s">
        <v>76</v>
      </c>
      <c r="J3130" t="s">
        <v>211</v>
      </c>
      <c r="K3130" t="s">
        <v>78</v>
      </c>
      <c r="L3130" t="s">
        <v>681</v>
      </c>
      <c r="M3130" t="s">
        <v>682</v>
      </c>
      <c r="N3130" t="s">
        <v>3047</v>
      </c>
      <c r="O3130" t="s">
        <v>756</v>
      </c>
      <c r="P3130" t="str">
        <f>"2170717081                    "</f>
        <v xml:space="preserve">2170717081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22.94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6.4</v>
      </c>
      <c r="BJ3130">
        <v>1.7</v>
      </c>
      <c r="BK3130">
        <v>7</v>
      </c>
      <c r="BL3130" s="4">
        <v>134.83000000000001</v>
      </c>
      <c r="BM3130" s="4">
        <v>20.22</v>
      </c>
      <c r="BN3130" s="4">
        <v>155.05000000000001</v>
      </c>
      <c r="BO3130" s="4">
        <v>155.05000000000001</v>
      </c>
      <c r="BQ3130" t="s">
        <v>121</v>
      </c>
      <c r="BR3130" t="s">
        <v>212</v>
      </c>
      <c r="BS3130" s="3">
        <v>43784</v>
      </c>
      <c r="BT3130" s="5">
        <v>0.33333333333333331</v>
      </c>
      <c r="BU3130" t="s">
        <v>3048</v>
      </c>
      <c r="BV3130" t="s">
        <v>86</v>
      </c>
      <c r="BY3130">
        <v>8481.66</v>
      </c>
      <c r="BZ3130" t="s">
        <v>27</v>
      </c>
      <c r="CA3130" t="s">
        <v>685</v>
      </c>
      <c r="CC3130" t="s">
        <v>682</v>
      </c>
      <c r="CD3130">
        <v>1961</v>
      </c>
      <c r="CE3130" t="s">
        <v>88</v>
      </c>
      <c r="CI3130">
        <v>1</v>
      </c>
      <c r="CJ3130">
        <v>1</v>
      </c>
      <c r="CK3130">
        <v>34</v>
      </c>
      <c r="CL3130" t="s">
        <v>89</v>
      </c>
    </row>
    <row r="3131" spans="1:90">
      <c r="A3131" t="s">
        <v>72</v>
      </c>
      <c r="B3131" t="s">
        <v>73</v>
      </c>
      <c r="C3131" t="s">
        <v>74</v>
      </c>
      <c r="E3131" t="str">
        <f>"FES1162723161"</f>
        <v>FES1162723161</v>
      </c>
      <c r="F3131" s="3">
        <v>43783</v>
      </c>
      <c r="G3131">
        <v>202005</v>
      </c>
      <c r="H3131" t="s">
        <v>75</v>
      </c>
      <c r="I3131" t="s">
        <v>76</v>
      </c>
      <c r="J3131" t="s">
        <v>211</v>
      </c>
      <c r="K3131" t="s">
        <v>78</v>
      </c>
      <c r="L3131" t="s">
        <v>75</v>
      </c>
      <c r="M3131" t="s">
        <v>76</v>
      </c>
      <c r="N3131" t="s">
        <v>2037</v>
      </c>
      <c r="O3131" t="s">
        <v>756</v>
      </c>
      <c r="P3131" t="str">
        <f>"2170717185                    "</f>
        <v xml:space="preserve">2170717185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16.489999999999998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9.1</v>
      </c>
      <c r="BJ3131">
        <v>16.5</v>
      </c>
      <c r="BK3131">
        <v>17</v>
      </c>
      <c r="BL3131" s="4">
        <v>96.91</v>
      </c>
      <c r="BM3131" s="4">
        <v>14.54</v>
      </c>
      <c r="BN3131" s="4">
        <v>111.45</v>
      </c>
      <c r="BO3131" s="4">
        <v>111.45</v>
      </c>
      <c r="BQ3131" t="s">
        <v>121</v>
      </c>
      <c r="BR3131" t="s">
        <v>212</v>
      </c>
      <c r="BS3131" s="3">
        <v>43784</v>
      </c>
      <c r="BT3131" s="5">
        <v>0.34513888888888888</v>
      </c>
      <c r="BU3131" t="s">
        <v>1232</v>
      </c>
      <c r="BV3131" t="s">
        <v>86</v>
      </c>
      <c r="BY3131">
        <v>82630.42</v>
      </c>
      <c r="BZ3131" t="s">
        <v>27</v>
      </c>
      <c r="CA3131" t="s">
        <v>238</v>
      </c>
      <c r="CC3131" t="s">
        <v>76</v>
      </c>
      <c r="CD3131">
        <v>1666</v>
      </c>
      <c r="CE3131" t="s">
        <v>88</v>
      </c>
      <c r="CF3131" s="3">
        <v>43787</v>
      </c>
      <c r="CI3131">
        <v>1</v>
      </c>
      <c r="CJ3131">
        <v>1</v>
      </c>
      <c r="CK3131">
        <v>32</v>
      </c>
      <c r="CL3131" t="s">
        <v>89</v>
      </c>
    </row>
    <row r="3132" spans="1:90">
      <c r="A3132" t="s">
        <v>72</v>
      </c>
      <c r="B3132" t="s">
        <v>73</v>
      </c>
      <c r="C3132" t="s">
        <v>74</v>
      </c>
      <c r="E3132" t="str">
        <f>"FES1162723027"</f>
        <v>FES1162723027</v>
      </c>
      <c r="F3132" s="3">
        <v>43783</v>
      </c>
      <c r="G3132">
        <v>202005</v>
      </c>
      <c r="H3132" t="s">
        <v>75</v>
      </c>
      <c r="I3132" t="s">
        <v>76</v>
      </c>
      <c r="J3132" t="s">
        <v>211</v>
      </c>
      <c r="K3132" t="s">
        <v>78</v>
      </c>
      <c r="L3132" t="s">
        <v>75</v>
      </c>
      <c r="M3132" t="s">
        <v>76</v>
      </c>
      <c r="N3132" t="s">
        <v>2341</v>
      </c>
      <c r="O3132" t="s">
        <v>756</v>
      </c>
      <c r="P3132" t="str">
        <f>"2170717053                    "</f>
        <v xml:space="preserve">2170717053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14.23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9.1999999999999993</v>
      </c>
      <c r="BJ3132">
        <v>13.4</v>
      </c>
      <c r="BK3132">
        <v>14</v>
      </c>
      <c r="BL3132" s="4">
        <v>83.64</v>
      </c>
      <c r="BM3132" s="4">
        <v>12.55</v>
      </c>
      <c r="BN3132" s="4">
        <v>96.19</v>
      </c>
      <c r="BO3132" s="4">
        <v>96.19</v>
      </c>
      <c r="BQ3132" t="s">
        <v>121</v>
      </c>
      <c r="BR3132" t="s">
        <v>212</v>
      </c>
      <c r="BS3132" s="3">
        <v>43784</v>
      </c>
      <c r="BT3132" s="5">
        <v>0.67361111111111116</v>
      </c>
      <c r="BU3132" t="s">
        <v>3049</v>
      </c>
      <c r="BV3132" t="s">
        <v>89</v>
      </c>
      <c r="BW3132" t="s">
        <v>319</v>
      </c>
      <c r="BX3132" t="s">
        <v>761</v>
      </c>
      <c r="BY3132">
        <v>67119.199999999997</v>
      </c>
      <c r="BZ3132" t="s">
        <v>27</v>
      </c>
      <c r="CC3132" t="s">
        <v>76</v>
      </c>
      <c r="CD3132">
        <v>1682</v>
      </c>
      <c r="CE3132" t="s">
        <v>88</v>
      </c>
      <c r="CF3132" s="3">
        <v>43787</v>
      </c>
      <c r="CI3132">
        <v>1</v>
      </c>
      <c r="CJ3132">
        <v>1</v>
      </c>
      <c r="CK3132">
        <v>32</v>
      </c>
      <c r="CL3132" t="s">
        <v>89</v>
      </c>
    </row>
    <row r="3133" spans="1:90">
      <c r="A3133" t="s">
        <v>72</v>
      </c>
      <c r="B3133" t="s">
        <v>73</v>
      </c>
      <c r="C3133" t="s">
        <v>74</v>
      </c>
      <c r="E3133" t="str">
        <f>"FES1162723236"</f>
        <v>FES1162723236</v>
      </c>
      <c r="F3133" s="3">
        <v>43783</v>
      </c>
      <c r="G3133">
        <v>202005</v>
      </c>
      <c r="H3133" t="s">
        <v>75</v>
      </c>
      <c r="I3133" t="s">
        <v>76</v>
      </c>
      <c r="J3133" t="s">
        <v>211</v>
      </c>
      <c r="K3133" t="s">
        <v>78</v>
      </c>
      <c r="L3133" t="s">
        <v>605</v>
      </c>
      <c r="M3133" t="s">
        <v>606</v>
      </c>
      <c r="N3133" t="s">
        <v>785</v>
      </c>
      <c r="O3133" t="s">
        <v>756</v>
      </c>
      <c r="P3133" t="str">
        <f>"2170717263                    "</f>
        <v xml:space="preserve">2170717263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12.07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2.5</v>
      </c>
      <c r="BJ3133">
        <v>3.6</v>
      </c>
      <c r="BK3133">
        <v>4</v>
      </c>
      <c r="BL3133" s="4">
        <v>70.95</v>
      </c>
      <c r="BM3133" s="4">
        <v>10.64</v>
      </c>
      <c r="BN3133" s="4">
        <v>81.59</v>
      </c>
      <c r="BO3133" s="4">
        <v>81.59</v>
      </c>
      <c r="BQ3133" t="s">
        <v>121</v>
      </c>
      <c r="BR3133" t="s">
        <v>212</v>
      </c>
      <c r="BS3133" s="3">
        <v>43784</v>
      </c>
      <c r="BT3133" s="5">
        <v>0.53472222222222221</v>
      </c>
      <c r="BU3133" t="s">
        <v>179</v>
      </c>
      <c r="BV3133" t="s">
        <v>86</v>
      </c>
      <c r="BY3133">
        <v>17836</v>
      </c>
      <c r="BZ3133" t="s">
        <v>27</v>
      </c>
      <c r="CC3133" t="s">
        <v>606</v>
      </c>
      <c r="CD3133">
        <v>407</v>
      </c>
      <c r="CE3133" t="s">
        <v>88</v>
      </c>
      <c r="CF3133" s="3">
        <v>43788</v>
      </c>
      <c r="CI3133">
        <v>1</v>
      </c>
      <c r="CJ3133">
        <v>1</v>
      </c>
      <c r="CK3133">
        <v>34</v>
      </c>
      <c r="CL3133" t="s">
        <v>89</v>
      </c>
    </row>
    <row r="3134" spans="1:90">
      <c r="A3134" t="s">
        <v>72</v>
      </c>
      <c r="B3134" t="s">
        <v>73</v>
      </c>
      <c r="C3134" t="s">
        <v>74</v>
      </c>
      <c r="E3134" t="str">
        <f>"FES1162723255"</f>
        <v>FES1162723255</v>
      </c>
      <c r="F3134" s="3">
        <v>43783</v>
      </c>
      <c r="G3134">
        <v>202005</v>
      </c>
      <c r="H3134" t="s">
        <v>75</v>
      </c>
      <c r="I3134" t="s">
        <v>76</v>
      </c>
      <c r="J3134" t="s">
        <v>211</v>
      </c>
      <c r="K3134" t="s">
        <v>78</v>
      </c>
      <c r="L3134" t="s">
        <v>681</v>
      </c>
      <c r="M3134" t="s">
        <v>682</v>
      </c>
      <c r="N3134" t="s">
        <v>3050</v>
      </c>
      <c r="O3134" t="s">
        <v>756</v>
      </c>
      <c r="P3134" t="str">
        <f>"2170717275                    "</f>
        <v xml:space="preserve">2170717275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12.07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2.2000000000000002</v>
      </c>
      <c r="BJ3134">
        <v>1.4</v>
      </c>
      <c r="BK3134">
        <v>3</v>
      </c>
      <c r="BL3134" s="4">
        <v>70.95</v>
      </c>
      <c r="BM3134" s="4">
        <v>10.64</v>
      </c>
      <c r="BN3134" s="4">
        <v>81.59</v>
      </c>
      <c r="BO3134" s="4">
        <v>81.59</v>
      </c>
      <c r="BQ3134" t="s">
        <v>121</v>
      </c>
      <c r="BR3134" t="s">
        <v>212</v>
      </c>
      <c r="BS3134" s="3">
        <v>43784</v>
      </c>
      <c r="BT3134" s="5">
        <v>0.4375</v>
      </c>
      <c r="BU3134" t="s">
        <v>3051</v>
      </c>
      <c r="BV3134" t="s">
        <v>86</v>
      </c>
      <c r="BY3134">
        <v>6959.98</v>
      </c>
      <c r="BZ3134" t="s">
        <v>27</v>
      </c>
      <c r="CA3134" t="s">
        <v>1224</v>
      </c>
      <c r="CC3134" t="s">
        <v>682</v>
      </c>
      <c r="CD3134">
        <v>1930</v>
      </c>
      <c r="CE3134" t="s">
        <v>88</v>
      </c>
      <c r="CF3134" s="3">
        <v>43788</v>
      </c>
      <c r="CI3134">
        <v>1</v>
      </c>
      <c r="CJ3134">
        <v>1</v>
      </c>
      <c r="CK3134">
        <v>34</v>
      </c>
      <c r="CL3134" t="s">
        <v>89</v>
      </c>
    </row>
    <row r="3135" spans="1:90">
      <c r="A3135" t="s">
        <v>72</v>
      </c>
      <c r="B3135" t="s">
        <v>73</v>
      </c>
      <c r="C3135" t="s">
        <v>74</v>
      </c>
      <c r="E3135" t="str">
        <f>"FES1162723013"</f>
        <v>FES1162723013</v>
      </c>
      <c r="F3135" s="3">
        <v>43783</v>
      </c>
      <c r="G3135">
        <v>202005</v>
      </c>
      <c r="H3135" t="s">
        <v>75</v>
      </c>
      <c r="I3135" t="s">
        <v>76</v>
      </c>
      <c r="J3135" t="s">
        <v>211</v>
      </c>
      <c r="K3135" t="s">
        <v>78</v>
      </c>
      <c r="L3135" t="s">
        <v>75</v>
      </c>
      <c r="M3135" t="s">
        <v>76</v>
      </c>
      <c r="N3135" t="s">
        <v>647</v>
      </c>
      <c r="O3135" t="s">
        <v>756</v>
      </c>
      <c r="P3135" t="str">
        <f>"2170713911                    "</f>
        <v xml:space="preserve">2170713911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14.98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6</v>
      </c>
      <c r="BJ3135">
        <v>14.2</v>
      </c>
      <c r="BK3135">
        <v>15</v>
      </c>
      <c r="BL3135" s="4">
        <v>88.06</v>
      </c>
      <c r="BM3135" s="4">
        <v>13.21</v>
      </c>
      <c r="BN3135" s="4">
        <v>101.27</v>
      </c>
      <c r="BO3135" s="4">
        <v>101.27</v>
      </c>
      <c r="BQ3135" t="s">
        <v>121</v>
      </c>
      <c r="BR3135" t="s">
        <v>212</v>
      </c>
      <c r="BS3135" s="3">
        <v>43784</v>
      </c>
      <c r="BT3135" s="5">
        <v>0.33333333333333331</v>
      </c>
      <c r="BU3135" t="s">
        <v>649</v>
      </c>
      <c r="BV3135" t="s">
        <v>86</v>
      </c>
      <c r="BY3135">
        <v>71240.899999999994</v>
      </c>
      <c r="BZ3135" t="s">
        <v>27</v>
      </c>
      <c r="CA3135" t="s">
        <v>797</v>
      </c>
      <c r="CC3135" t="s">
        <v>76</v>
      </c>
      <c r="CD3135">
        <v>1645</v>
      </c>
      <c r="CE3135" t="s">
        <v>88</v>
      </c>
      <c r="CF3135" s="3">
        <v>43788</v>
      </c>
      <c r="CI3135">
        <v>1</v>
      </c>
      <c r="CJ3135">
        <v>1</v>
      </c>
      <c r="CK3135">
        <v>32</v>
      </c>
      <c r="CL3135" t="s">
        <v>89</v>
      </c>
    </row>
    <row r="3136" spans="1:90">
      <c r="A3136" t="s">
        <v>72</v>
      </c>
      <c r="B3136" t="s">
        <v>73</v>
      </c>
      <c r="C3136" t="s">
        <v>74</v>
      </c>
      <c r="E3136" t="str">
        <f>"FES1162723213"</f>
        <v>FES1162723213</v>
      </c>
      <c r="F3136" s="3">
        <v>43783</v>
      </c>
      <c r="G3136">
        <v>202005</v>
      </c>
      <c r="H3136" t="s">
        <v>75</v>
      </c>
      <c r="I3136" t="s">
        <v>76</v>
      </c>
      <c r="J3136" t="s">
        <v>211</v>
      </c>
      <c r="K3136" t="s">
        <v>78</v>
      </c>
      <c r="L3136" t="s">
        <v>75</v>
      </c>
      <c r="M3136" t="s">
        <v>76</v>
      </c>
      <c r="N3136" t="s">
        <v>647</v>
      </c>
      <c r="O3136" t="s">
        <v>756</v>
      </c>
      <c r="P3136" t="str">
        <f>"2170711661                    "</f>
        <v xml:space="preserve">2170711661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17.239999999999998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9</v>
      </c>
      <c r="BJ3136">
        <v>17.600000000000001</v>
      </c>
      <c r="BK3136">
        <v>18</v>
      </c>
      <c r="BL3136" s="4">
        <v>101.33</v>
      </c>
      <c r="BM3136" s="4">
        <v>15.2</v>
      </c>
      <c r="BN3136" s="4">
        <v>116.53</v>
      </c>
      <c r="BO3136" s="4">
        <v>116.53</v>
      </c>
      <c r="BQ3136" t="s">
        <v>121</v>
      </c>
      <c r="BR3136" t="s">
        <v>212</v>
      </c>
      <c r="BS3136" s="3">
        <v>43784</v>
      </c>
      <c r="BT3136" s="5">
        <v>0.33333333333333331</v>
      </c>
      <c r="BU3136" t="s">
        <v>649</v>
      </c>
      <c r="BV3136" t="s">
        <v>86</v>
      </c>
      <c r="BY3136">
        <v>87897.600000000006</v>
      </c>
      <c r="BZ3136" t="s">
        <v>27</v>
      </c>
      <c r="CA3136" t="s">
        <v>797</v>
      </c>
      <c r="CC3136" t="s">
        <v>76</v>
      </c>
      <c r="CD3136">
        <v>1645</v>
      </c>
      <c r="CE3136" t="s">
        <v>88</v>
      </c>
      <c r="CF3136" s="3">
        <v>43788</v>
      </c>
      <c r="CI3136">
        <v>1</v>
      </c>
      <c r="CJ3136">
        <v>1</v>
      </c>
      <c r="CK3136">
        <v>32</v>
      </c>
      <c r="CL3136" t="s">
        <v>89</v>
      </c>
    </row>
    <row r="3137" spans="1:90">
      <c r="A3137" t="s">
        <v>72</v>
      </c>
      <c r="B3137" t="s">
        <v>73</v>
      </c>
      <c r="C3137" t="s">
        <v>74</v>
      </c>
      <c r="E3137" t="str">
        <f>"FES1162722455"</f>
        <v>FES1162722455</v>
      </c>
      <c r="F3137" s="3">
        <v>43781</v>
      </c>
      <c r="G3137">
        <v>202005</v>
      </c>
      <c r="H3137" t="s">
        <v>75</v>
      </c>
      <c r="I3137" t="s">
        <v>76</v>
      </c>
      <c r="J3137" t="s">
        <v>211</v>
      </c>
      <c r="K3137" t="s">
        <v>78</v>
      </c>
      <c r="L3137" t="s">
        <v>701</v>
      </c>
      <c r="M3137" t="s">
        <v>702</v>
      </c>
      <c r="N3137" t="s">
        <v>3052</v>
      </c>
      <c r="O3137" t="s">
        <v>756</v>
      </c>
      <c r="P3137" t="str">
        <f>"2170714780                    "</f>
        <v xml:space="preserve">2170714780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26.56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2.4</v>
      </c>
      <c r="BJ3137">
        <v>7.9</v>
      </c>
      <c r="BK3137">
        <v>8</v>
      </c>
      <c r="BL3137" s="4">
        <v>156.12</v>
      </c>
      <c r="BM3137" s="4">
        <v>23.42</v>
      </c>
      <c r="BN3137" s="4">
        <v>179.54</v>
      </c>
      <c r="BO3137" s="4">
        <v>179.54</v>
      </c>
      <c r="BQ3137" t="s">
        <v>121</v>
      </c>
      <c r="BR3137" t="s">
        <v>212</v>
      </c>
      <c r="BS3137" s="3">
        <v>43782</v>
      </c>
      <c r="BT3137" s="5">
        <v>0.38958333333333334</v>
      </c>
      <c r="BU3137" t="s">
        <v>3053</v>
      </c>
      <c r="BV3137" t="s">
        <v>86</v>
      </c>
      <c r="BY3137">
        <v>39400.379999999997</v>
      </c>
      <c r="BZ3137" t="s">
        <v>27</v>
      </c>
      <c r="CA3137" t="s">
        <v>409</v>
      </c>
      <c r="CC3137" t="s">
        <v>702</v>
      </c>
      <c r="CD3137">
        <v>299</v>
      </c>
      <c r="CE3137" t="s">
        <v>88</v>
      </c>
      <c r="CF3137" s="3">
        <v>43784</v>
      </c>
      <c r="CI3137">
        <v>1</v>
      </c>
      <c r="CJ3137">
        <v>1</v>
      </c>
      <c r="CK3137">
        <v>34</v>
      </c>
      <c r="CL3137" t="s">
        <v>89</v>
      </c>
    </row>
    <row r="3138" spans="1:90">
      <c r="A3138" t="s">
        <v>72</v>
      </c>
      <c r="B3138" t="s">
        <v>73</v>
      </c>
      <c r="C3138" t="s">
        <v>74</v>
      </c>
      <c r="E3138" t="str">
        <f>"FES1162723317"</f>
        <v>FES1162723317</v>
      </c>
      <c r="F3138" s="3">
        <v>43784</v>
      </c>
      <c r="G3138">
        <v>202005</v>
      </c>
      <c r="H3138" t="s">
        <v>75</v>
      </c>
      <c r="I3138" t="s">
        <v>76</v>
      </c>
      <c r="J3138" t="s">
        <v>211</v>
      </c>
      <c r="K3138" t="s">
        <v>78</v>
      </c>
      <c r="L3138" t="s">
        <v>566</v>
      </c>
      <c r="M3138" t="s">
        <v>567</v>
      </c>
      <c r="N3138" t="s">
        <v>568</v>
      </c>
      <c r="O3138" t="s">
        <v>756</v>
      </c>
      <c r="P3138" t="str">
        <f>"2170715342                    "</f>
        <v xml:space="preserve">2170715342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12.07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2.9</v>
      </c>
      <c r="BJ3138">
        <v>1.9</v>
      </c>
      <c r="BK3138">
        <v>3</v>
      </c>
      <c r="BL3138" s="4">
        <v>70.95</v>
      </c>
      <c r="BM3138" s="4">
        <v>10.64</v>
      </c>
      <c r="BN3138" s="4">
        <v>81.59</v>
      </c>
      <c r="BO3138" s="4">
        <v>81.59</v>
      </c>
      <c r="BQ3138" t="s">
        <v>121</v>
      </c>
      <c r="BR3138" t="s">
        <v>212</v>
      </c>
      <c r="BS3138" s="3">
        <v>43787</v>
      </c>
      <c r="BT3138" s="5">
        <v>0.25555555555555559</v>
      </c>
      <c r="BU3138" t="s">
        <v>2006</v>
      </c>
      <c r="BV3138" t="s">
        <v>86</v>
      </c>
      <c r="BY3138">
        <v>9730.42</v>
      </c>
      <c r="BZ3138" t="s">
        <v>27</v>
      </c>
      <c r="CA3138" t="s">
        <v>2007</v>
      </c>
      <c r="CC3138" t="s">
        <v>567</v>
      </c>
      <c r="CD3138">
        <v>2410</v>
      </c>
      <c r="CE3138" t="s">
        <v>1598</v>
      </c>
      <c r="CF3138" s="3">
        <v>43788</v>
      </c>
      <c r="CI3138">
        <v>1</v>
      </c>
      <c r="CJ3138">
        <v>1</v>
      </c>
      <c r="CK3138">
        <v>34</v>
      </c>
      <c r="CL3138" t="s">
        <v>89</v>
      </c>
    </row>
    <row r="3139" spans="1:90">
      <c r="A3139" t="s">
        <v>72</v>
      </c>
      <c r="B3139" t="s">
        <v>73</v>
      </c>
      <c r="C3139" t="s">
        <v>74</v>
      </c>
      <c r="E3139" t="str">
        <f>"FES1162723494"</f>
        <v>FES1162723494</v>
      </c>
      <c r="F3139" s="3">
        <v>43784</v>
      </c>
      <c r="G3139">
        <v>202005</v>
      </c>
      <c r="H3139" t="s">
        <v>75</v>
      </c>
      <c r="I3139" t="s">
        <v>76</v>
      </c>
      <c r="J3139" t="s">
        <v>211</v>
      </c>
      <c r="K3139" t="s">
        <v>78</v>
      </c>
      <c r="L3139" t="s">
        <v>1651</v>
      </c>
      <c r="M3139" t="s">
        <v>1651</v>
      </c>
      <c r="N3139" t="s">
        <v>3054</v>
      </c>
      <c r="O3139" t="s">
        <v>756</v>
      </c>
      <c r="P3139" t="str">
        <f>"217017440                     "</f>
        <v xml:space="preserve">217017440 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15.69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2.9</v>
      </c>
      <c r="BJ3139">
        <v>4.9000000000000004</v>
      </c>
      <c r="BK3139">
        <v>5</v>
      </c>
      <c r="BL3139" s="4">
        <v>92.24</v>
      </c>
      <c r="BM3139" s="4">
        <v>13.84</v>
      </c>
      <c r="BN3139" s="4">
        <v>106.08</v>
      </c>
      <c r="BO3139" s="4">
        <v>106.08</v>
      </c>
      <c r="BQ3139" t="s">
        <v>3055</v>
      </c>
      <c r="BR3139" t="s">
        <v>212</v>
      </c>
      <c r="BS3139" s="3">
        <v>43787</v>
      </c>
      <c r="BT3139" s="5">
        <v>0.33333333333333331</v>
      </c>
      <c r="BU3139" t="s">
        <v>3056</v>
      </c>
      <c r="BV3139" t="s">
        <v>86</v>
      </c>
      <c r="BY3139">
        <v>24373.79</v>
      </c>
      <c r="BZ3139" t="s">
        <v>27</v>
      </c>
      <c r="CA3139" t="s">
        <v>362</v>
      </c>
      <c r="CC3139" t="s">
        <v>1651</v>
      </c>
      <c r="CD3139">
        <v>1490</v>
      </c>
      <c r="CE3139" t="s">
        <v>1598</v>
      </c>
      <c r="CF3139" s="3">
        <v>43789</v>
      </c>
      <c r="CI3139">
        <v>1</v>
      </c>
      <c r="CJ3139">
        <v>1</v>
      </c>
      <c r="CK3139">
        <v>34</v>
      </c>
      <c r="CL3139" t="s">
        <v>89</v>
      </c>
    </row>
    <row r="3140" spans="1:90">
      <c r="A3140" t="s">
        <v>72</v>
      </c>
      <c r="B3140" t="s">
        <v>73</v>
      </c>
      <c r="C3140" t="s">
        <v>74</v>
      </c>
      <c r="E3140" t="str">
        <f>"019911311439"</f>
        <v>019911311439</v>
      </c>
      <c r="F3140" s="3">
        <v>43784</v>
      </c>
      <c r="G3140">
        <v>202005</v>
      </c>
      <c r="H3140" t="s">
        <v>90</v>
      </c>
      <c r="I3140" t="s">
        <v>91</v>
      </c>
      <c r="J3140" t="s">
        <v>211</v>
      </c>
      <c r="K3140" t="s">
        <v>78</v>
      </c>
      <c r="L3140" t="s">
        <v>75</v>
      </c>
      <c r="M3140" t="s">
        <v>76</v>
      </c>
      <c r="N3140" t="s">
        <v>1014</v>
      </c>
      <c r="O3140" t="s">
        <v>82</v>
      </c>
      <c r="P3140" t="str">
        <f>"1703                          "</f>
        <v xml:space="preserve">1703      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8.58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 s="4">
        <v>50.45</v>
      </c>
      <c r="BM3140" s="4">
        <v>7.57</v>
      </c>
      <c r="BN3140" s="4">
        <v>58.02</v>
      </c>
      <c r="BO3140" s="4">
        <v>58.02</v>
      </c>
      <c r="BQ3140" t="s">
        <v>3057</v>
      </c>
      <c r="BR3140" t="s">
        <v>1011</v>
      </c>
      <c r="BS3140" s="3">
        <v>43788</v>
      </c>
      <c r="BT3140" s="5">
        <v>0.37291666666666662</v>
      </c>
      <c r="BU3140" t="s">
        <v>1016</v>
      </c>
      <c r="BV3140" t="s">
        <v>89</v>
      </c>
      <c r="BY3140">
        <v>1200</v>
      </c>
      <c r="BZ3140" t="s">
        <v>27</v>
      </c>
      <c r="CA3140" t="s">
        <v>198</v>
      </c>
      <c r="CC3140" t="s">
        <v>76</v>
      </c>
      <c r="CD3140">
        <v>1620</v>
      </c>
      <c r="CE3140" t="s">
        <v>88</v>
      </c>
      <c r="CF3140" s="3">
        <v>43789</v>
      </c>
      <c r="CI3140">
        <v>1</v>
      </c>
      <c r="CJ3140">
        <v>2</v>
      </c>
      <c r="CK3140">
        <v>21</v>
      </c>
      <c r="CL3140" t="s">
        <v>89</v>
      </c>
    </row>
    <row r="3141" spans="1:90">
      <c r="A3141" t="s">
        <v>72</v>
      </c>
      <c r="B3141" t="s">
        <v>73</v>
      </c>
      <c r="C3141" t="s">
        <v>74</v>
      </c>
      <c r="E3141" t="str">
        <f>"009939577014"</f>
        <v>009939577014</v>
      </c>
      <c r="F3141" s="3">
        <v>43787</v>
      </c>
      <c r="G3141">
        <v>202005</v>
      </c>
      <c r="H3141" t="s">
        <v>482</v>
      </c>
      <c r="I3141" t="s">
        <v>483</v>
      </c>
      <c r="J3141" t="s">
        <v>3058</v>
      </c>
      <c r="K3141" t="s">
        <v>78</v>
      </c>
      <c r="L3141" t="s">
        <v>75</v>
      </c>
      <c r="M3141" t="s">
        <v>76</v>
      </c>
      <c r="N3141" t="s">
        <v>211</v>
      </c>
      <c r="O3141" t="s">
        <v>82</v>
      </c>
      <c r="P3141" t="str">
        <f>"                              "</f>
        <v xml:space="preserve">          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8.31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2.7</v>
      </c>
      <c r="BJ3141">
        <v>1.7</v>
      </c>
      <c r="BK3141">
        <v>3</v>
      </c>
      <c r="BL3141" s="4">
        <v>48.86</v>
      </c>
      <c r="BM3141" s="4">
        <v>7.33</v>
      </c>
      <c r="BN3141" s="4">
        <v>56.19</v>
      </c>
      <c r="BO3141" s="4">
        <v>56.19</v>
      </c>
      <c r="BR3141" t="s">
        <v>3059</v>
      </c>
      <c r="BS3141" s="3">
        <v>43788</v>
      </c>
      <c r="BT3141" s="5">
        <v>0.37361111111111112</v>
      </c>
      <c r="BU3141" t="s">
        <v>1016</v>
      </c>
      <c r="BV3141" t="s">
        <v>86</v>
      </c>
      <c r="BY3141">
        <v>8702.4</v>
      </c>
      <c r="BZ3141" t="s">
        <v>27</v>
      </c>
      <c r="CA3141" t="s">
        <v>198</v>
      </c>
      <c r="CC3141" t="s">
        <v>76</v>
      </c>
      <c r="CD3141">
        <v>1600</v>
      </c>
      <c r="CE3141" t="s">
        <v>88</v>
      </c>
      <c r="CF3141" s="3">
        <v>43789</v>
      </c>
      <c r="CI3141">
        <v>1</v>
      </c>
      <c r="CJ3141">
        <v>1</v>
      </c>
      <c r="CK3141">
        <v>22</v>
      </c>
      <c r="CL3141" t="s">
        <v>89</v>
      </c>
    </row>
    <row r="3142" spans="1:90">
      <c r="A3142" t="s">
        <v>72</v>
      </c>
      <c r="B3142" t="s">
        <v>73</v>
      </c>
      <c r="C3142" t="s">
        <v>74</v>
      </c>
      <c r="E3142" t="str">
        <f>"009939414428"</f>
        <v>009939414428</v>
      </c>
      <c r="F3142" s="3">
        <v>43784</v>
      </c>
      <c r="G3142">
        <v>202005</v>
      </c>
      <c r="H3142" t="s">
        <v>124</v>
      </c>
      <c r="I3142" t="s">
        <v>125</v>
      </c>
      <c r="J3142" t="s">
        <v>3060</v>
      </c>
      <c r="K3142" t="s">
        <v>78</v>
      </c>
      <c r="L3142" t="s">
        <v>75</v>
      </c>
      <c r="M3142" t="s">
        <v>76</v>
      </c>
      <c r="N3142" t="s">
        <v>211</v>
      </c>
      <c r="O3142" t="s">
        <v>82</v>
      </c>
      <c r="P3142" t="str">
        <f>"                              "</f>
        <v xml:space="preserve">          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6.71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0.5</v>
      </c>
      <c r="BJ3142">
        <v>1.1000000000000001</v>
      </c>
      <c r="BK3142">
        <v>1.5</v>
      </c>
      <c r="BL3142" s="4">
        <v>39.42</v>
      </c>
      <c r="BM3142" s="4">
        <v>5.91</v>
      </c>
      <c r="BN3142" s="4">
        <v>45.33</v>
      </c>
      <c r="BO3142" s="4">
        <v>45.33</v>
      </c>
      <c r="BQ3142" t="s">
        <v>3035</v>
      </c>
      <c r="BR3142" t="s">
        <v>3035</v>
      </c>
      <c r="BS3142" s="3">
        <v>43787</v>
      </c>
      <c r="BT3142" s="5">
        <v>0.3659722222222222</v>
      </c>
      <c r="BU3142" t="s">
        <v>2170</v>
      </c>
      <c r="BV3142" t="s">
        <v>86</v>
      </c>
      <c r="BY3142">
        <v>5499.14</v>
      </c>
      <c r="BZ3142" t="s">
        <v>27</v>
      </c>
      <c r="CA3142" t="s">
        <v>198</v>
      </c>
      <c r="CC3142" t="s">
        <v>76</v>
      </c>
      <c r="CD3142">
        <v>1600</v>
      </c>
      <c r="CE3142" t="s">
        <v>88</v>
      </c>
      <c r="CF3142" s="3">
        <v>43789</v>
      </c>
      <c r="CI3142">
        <v>1</v>
      </c>
      <c r="CJ3142">
        <v>1</v>
      </c>
      <c r="CK3142">
        <v>22</v>
      </c>
      <c r="CL3142" t="s">
        <v>89</v>
      </c>
    </row>
    <row r="3143" spans="1:90">
      <c r="A3143" t="s">
        <v>72</v>
      </c>
      <c r="B3143" t="s">
        <v>73</v>
      </c>
      <c r="C3143" t="s">
        <v>74</v>
      </c>
      <c r="E3143" t="str">
        <f>"FES1162723809"</f>
        <v>FES1162723809</v>
      </c>
      <c r="F3143" s="3">
        <v>43788</v>
      </c>
      <c r="G3143">
        <v>202005</v>
      </c>
      <c r="H3143" t="s">
        <v>75</v>
      </c>
      <c r="I3143" t="s">
        <v>76</v>
      </c>
      <c r="J3143" t="s">
        <v>211</v>
      </c>
      <c r="K3143" t="s">
        <v>78</v>
      </c>
      <c r="L3143" t="s">
        <v>75</v>
      </c>
      <c r="M3143" t="s">
        <v>76</v>
      </c>
      <c r="N3143" t="s">
        <v>1272</v>
      </c>
      <c r="O3143" t="s">
        <v>756</v>
      </c>
      <c r="P3143" t="str">
        <f>"2170715548                    "</f>
        <v xml:space="preserve">2170715548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14.98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15</v>
      </c>
      <c r="BJ3143">
        <v>5.0999999999999996</v>
      </c>
      <c r="BK3143">
        <v>15</v>
      </c>
      <c r="BL3143" s="4">
        <v>88.06</v>
      </c>
      <c r="BM3143" s="4">
        <v>13.21</v>
      </c>
      <c r="BN3143" s="4">
        <v>101.27</v>
      </c>
      <c r="BO3143" s="4">
        <v>101.27</v>
      </c>
      <c r="BQ3143" t="s">
        <v>121</v>
      </c>
      <c r="BR3143" t="s">
        <v>212</v>
      </c>
      <c r="BS3143" s="3">
        <v>43789</v>
      </c>
      <c r="BT3143" s="5">
        <v>0.32777777777777778</v>
      </c>
      <c r="BU3143" t="s">
        <v>3061</v>
      </c>
      <c r="BV3143" t="s">
        <v>86</v>
      </c>
      <c r="BY3143">
        <v>25652</v>
      </c>
      <c r="BZ3143" t="s">
        <v>27</v>
      </c>
      <c r="CA3143" t="s">
        <v>238</v>
      </c>
      <c r="CC3143" t="s">
        <v>76</v>
      </c>
      <c r="CD3143">
        <v>1665</v>
      </c>
      <c r="CE3143" t="s">
        <v>88</v>
      </c>
      <c r="CF3143" s="3">
        <v>43790</v>
      </c>
      <c r="CI3143">
        <v>1</v>
      </c>
      <c r="CJ3143">
        <v>1</v>
      </c>
      <c r="CK3143">
        <v>32</v>
      </c>
      <c r="CL3143" t="s">
        <v>89</v>
      </c>
    </row>
    <row r="3144" spans="1:90">
      <c r="A3144" t="s">
        <v>72</v>
      </c>
      <c r="B3144" t="s">
        <v>73</v>
      </c>
      <c r="C3144" t="s">
        <v>74</v>
      </c>
      <c r="E3144" t="str">
        <f>"FES1162738810"</f>
        <v>FES1162738810</v>
      </c>
      <c r="F3144" s="3">
        <v>43788</v>
      </c>
      <c r="G3144">
        <v>202005</v>
      </c>
      <c r="H3144" t="s">
        <v>75</v>
      </c>
      <c r="I3144" t="s">
        <v>76</v>
      </c>
      <c r="J3144" t="s">
        <v>211</v>
      </c>
      <c r="K3144" t="s">
        <v>78</v>
      </c>
      <c r="L3144" t="s">
        <v>482</v>
      </c>
      <c r="M3144" t="s">
        <v>483</v>
      </c>
      <c r="N3144" t="s">
        <v>1054</v>
      </c>
      <c r="O3144" t="s">
        <v>756</v>
      </c>
      <c r="P3144" t="str">
        <f>"2170716439                    "</f>
        <v xml:space="preserve">2170716439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14.23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13.8</v>
      </c>
      <c r="BJ3144">
        <v>8.3000000000000007</v>
      </c>
      <c r="BK3144">
        <v>14</v>
      </c>
      <c r="BL3144" s="4">
        <v>83.64</v>
      </c>
      <c r="BM3144" s="4">
        <v>12.55</v>
      </c>
      <c r="BN3144" s="4">
        <v>96.19</v>
      </c>
      <c r="BO3144" s="4">
        <v>96.19</v>
      </c>
      <c r="BQ3144" t="s">
        <v>121</v>
      </c>
      <c r="BR3144" t="s">
        <v>212</v>
      </c>
      <c r="BS3144" s="3">
        <v>43789</v>
      </c>
      <c r="BT3144" s="5">
        <v>0.37083333333333335</v>
      </c>
      <c r="BU3144" t="s">
        <v>295</v>
      </c>
      <c r="BV3144" t="s">
        <v>86</v>
      </c>
      <c r="BY3144">
        <v>41489.760000000002</v>
      </c>
      <c r="BZ3144" t="s">
        <v>27</v>
      </c>
      <c r="CC3144" t="s">
        <v>483</v>
      </c>
      <c r="CD3144">
        <v>1459</v>
      </c>
      <c r="CE3144" t="s">
        <v>88</v>
      </c>
      <c r="CI3144">
        <v>1</v>
      </c>
      <c r="CJ3144">
        <v>1</v>
      </c>
      <c r="CK3144">
        <v>32</v>
      </c>
      <c r="CL3144" t="s">
        <v>89</v>
      </c>
    </row>
    <row r="3145" spans="1:90">
      <c r="A3145" t="s">
        <v>72</v>
      </c>
      <c r="B3145" t="s">
        <v>73</v>
      </c>
      <c r="C3145" t="s">
        <v>74</v>
      </c>
      <c r="E3145" t="str">
        <f>"FES1162723829"</f>
        <v>FES1162723829</v>
      </c>
      <c r="F3145" s="3">
        <v>43788</v>
      </c>
      <c r="G3145">
        <v>202005</v>
      </c>
      <c r="H3145" t="s">
        <v>75</v>
      </c>
      <c r="I3145" t="s">
        <v>76</v>
      </c>
      <c r="J3145" t="s">
        <v>211</v>
      </c>
      <c r="K3145" t="s">
        <v>78</v>
      </c>
      <c r="L3145" t="s">
        <v>917</v>
      </c>
      <c r="M3145" t="s">
        <v>918</v>
      </c>
      <c r="N3145" t="s">
        <v>3062</v>
      </c>
      <c r="O3145" t="s">
        <v>756</v>
      </c>
      <c r="P3145" t="str">
        <f>"2170717803                    "</f>
        <v xml:space="preserve">2170717803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15.69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4.0999999999999996</v>
      </c>
      <c r="BJ3145">
        <v>1.3</v>
      </c>
      <c r="BK3145">
        <v>5</v>
      </c>
      <c r="BL3145" s="4">
        <v>92.24</v>
      </c>
      <c r="BM3145" s="4">
        <v>13.84</v>
      </c>
      <c r="BN3145" s="4">
        <v>106.08</v>
      </c>
      <c r="BO3145" s="4">
        <v>106.08</v>
      </c>
      <c r="BQ3145" t="s">
        <v>121</v>
      </c>
      <c r="BR3145" t="s">
        <v>212</v>
      </c>
      <c r="BS3145" s="3">
        <v>43789</v>
      </c>
      <c r="BT3145" s="5">
        <v>0.33333333333333331</v>
      </c>
      <c r="BU3145" t="s">
        <v>3063</v>
      </c>
      <c r="BV3145" t="s">
        <v>86</v>
      </c>
      <c r="BY3145">
        <v>6261.11</v>
      </c>
      <c r="BZ3145" t="s">
        <v>27</v>
      </c>
      <c r="CC3145" t="s">
        <v>918</v>
      </c>
      <c r="CD3145">
        <v>2210</v>
      </c>
      <c r="CE3145" t="s">
        <v>88</v>
      </c>
      <c r="CF3145" s="3">
        <v>43790</v>
      </c>
      <c r="CI3145">
        <v>1</v>
      </c>
      <c r="CJ3145">
        <v>1</v>
      </c>
      <c r="CK3145">
        <v>34</v>
      </c>
      <c r="CL3145" t="s">
        <v>89</v>
      </c>
    </row>
    <row r="3146" spans="1:90">
      <c r="A3146" t="s">
        <v>72</v>
      </c>
      <c r="B3146" t="s">
        <v>73</v>
      </c>
      <c r="C3146" t="s">
        <v>74</v>
      </c>
      <c r="E3146" t="str">
        <f>"FES1162723719"</f>
        <v>FES1162723719</v>
      </c>
      <c r="F3146" s="3">
        <v>43787</v>
      </c>
      <c r="G3146">
        <v>202005</v>
      </c>
      <c r="H3146" t="s">
        <v>75</v>
      </c>
      <c r="I3146" t="s">
        <v>76</v>
      </c>
      <c r="J3146" t="s">
        <v>211</v>
      </c>
      <c r="K3146" t="s">
        <v>78</v>
      </c>
      <c r="L3146" t="s">
        <v>482</v>
      </c>
      <c r="M3146" t="s">
        <v>483</v>
      </c>
      <c r="N3146" t="s">
        <v>1164</v>
      </c>
      <c r="O3146" t="s">
        <v>756</v>
      </c>
      <c r="P3146" t="str">
        <f>"21707215979                   "</f>
        <v xml:space="preserve">21707215979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14.23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13.8</v>
      </c>
      <c r="BJ3146">
        <v>8.9</v>
      </c>
      <c r="BK3146">
        <v>14</v>
      </c>
      <c r="BL3146" s="4">
        <v>83.64</v>
      </c>
      <c r="BM3146" s="4">
        <v>12.55</v>
      </c>
      <c r="BN3146" s="4">
        <v>96.19</v>
      </c>
      <c r="BO3146" s="4">
        <v>96.19</v>
      </c>
      <c r="BQ3146" t="s">
        <v>121</v>
      </c>
      <c r="BR3146" t="s">
        <v>212</v>
      </c>
      <c r="BS3146" s="3">
        <v>43788</v>
      </c>
      <c r="BT3146" s="5">
        <v>0.3125</v>
      </c>
      <c r="BU3146" t="s">
        <v>921</v>
      </c>
      <c r="BV3146" t="s">
        <v>86</v>
      </c>
      <c r="BY3146">
        <v>44574.35</v>
      </c>
      <c r="BZ3146" t="s">
        <v>27</v>
      </c>
      <c r="CA3146" t="s">
        <v>1336</v>
      </c>
      <c r="CC3146" t="s">
        <v>483</v>
      </c>
      <c r="CD3146">
        <v>1459</v>
      </c>
      <c r="CE3146" t="s">
        <v>88</v>
      </c>
      <c r="CF3146" s="3">
        <v>43789</v>
      </c>
      <c r="CI3146">
        <v>1</v>
      </c>
      <c r="CJ3146">
        <v>1</v>
      </c>
      <c r="CK3146">
        <v>32</v>
      </c>
      <c r="CL3146" t="s">
        <v>89</v>
      </c>
    </row>
    <row r="3147" spans="1:90">
      <c r="A3147" t="s">
        <v>72</v>
      </c>
      <c r="B3147" t="s">
        <v>73</v>
      </c>
      <c r="C3147" t="s">
        <v>74</v>
      </c>
      <c r="E3147" t="str">
        <f>"FES1162723720"</f>
        <v>FES1162723720</v>
      </c>
      <c r="F3147" s="3">
        <v>43787</v>
      </c>
      <c r="G3147">
        <v>202005</v>
      </c>
      <c r="H3147" t="s">
        <v>75</v>
      </c>
      <c r="I3147" t="s">
        <v>76</v>
      </c>
      <c r="J3147" t="s">
        <v>211</v>
      </c>
      <c r="K3147" t="s">
        <v>78</v>
      </c>
      <c r="L3147" t="s">
        <v>482</v>
      </c>
      <c r="M3147" t="s">
        <v>483</v>
      </c>
      <c r="N3147" t="s">
        <v>1164</v>
      </c>
      <c r="O3147" t="s">
        <v>756</v>
      </c>
      <c r="P3147" t="str">
        <f>"2170716274                    "</f>
        <v xml:space="preserve">2170716274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14.23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13.8</v>
      </c>
      <c r="BJ3147">
        <v>9.5</v>
      </c>
      <c r="BK3147">
        <v>14</v>
      </c>
      <c r="BL3147" s="4">
        <v>83.64</v>
      </c>
      <c r="BM3147" s="4">
        <v>12.55</v>
      </c>
      <c r="BN3147" s="4">
        <v>96.19</v>
      </c>
      <c r="BO3147" s="4">
        <v>96.19</v>
      </c>
      <c r="BQ3147" t="s">
        <v>121</v>
      </c>
      <c r="BR3147" t="s">
        <v>212</v>
      </c>
      <c r="BS3147" s="3">
        <v>43788</v>
      </c>
      <c r="BT3147" s="5">
        <v>0.3125</v>
      </c>
      <c r="BU3147" t="s">
        <v>921</v>
      </c>
      <c r="BV3147" t="s">
        <v>86</v>
      </c>
      <c r="BY3147">
        <v>47480.4</v>
      </c>
      <c r="BZ3147" t="s">
        <v>27</v>
      </c>
      <c r="CA3147" t="s">
        <v>1336</v>
      </c>
      <c r="CC3147" t="s">
        <v>483</v>
      </c>
      <c r="CD3147">
        <v>1459</v>
      </c>
      <c r="CE3147" t="s">
        <v>88</v>
      </c>
      <c r="CF3147" s="3">
        <v>43789</v>
      </c>
      <c r="CI3147">
        <v>1</v>
      </c>
      <c r="CJ3147">
        <v>1</v>
      </c>
      <c r="CK3147">
        <v>32</v>
      </c>
      <c r="CL3147" t="s">
        <v>89</v>
      </c>
    </row>
    <row r="3148" spans="1:90">
      <c r="A3148" t="s">
        <v>72</v>
      </c>
      <c r="B3148" t="s">
        <v>73</v>
      </c>
      <c r="C3148" t="s">
        <v>74</v>
      </c>
      <c r="E3148" t="str">
        <f>"FES1162723641"</f>
        <v>FES1162723641</v>
      </c>
      <c r="F3148" s="3">
        <v>43787</v>
      </c>
      <c r="G3148">
        <v>202005</v>
      </c>
      <c r="H3148" t="s">
        <v>75</v>
      </c>
      <c r="I3148" t="s">
        <v>76</v>
      </c>
      <c r="J3148" t="s">
        <v>211</v>
      </c>
      <c r="K3148" t="s">
        <v>78</v>
      </c>
      <c r="L3148" t="s">
        <v>172</v>
      </c>
      <c r="M3148" t="s">
        <v>173</v>
      </c>
      <c r="N3148" t="s">
        <v>3064</v>
      </c>
      <c r="O3148" t="s">
        <v>756</v>
      </c>
      <c r="P3148" t="str">
        <f>"2170717595                    "</f>
        <v xml:space="preserve">2170717595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12.07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1.7</v>
      </c>
      <c r="BJ3148">
        <v>3.1</v>
      </c>
      <c r="BK3148">
        <v>4</v>
      </c>
      <c r="BL3148" s="4">
        <v>70.95</v>
      </c>
      <c r="BM3148" s="4">
        <v>10.64</v>
      </c>
      <c r="BN3148" s="4">
        <v>81.59</v>
      </c>
      <c r="BO3148" s="4">
        <v>81.59</v>
      </c>
      <c r="BQ3148" t="s">
        <v>121</v>
      </c>
      <c r="BR3148" t="s">
        <v>212</v>
      </c>
      <c r="BS3148" s="3">
        <v>43788</v>
      </c>
      <c r="BT3148" s="5">
        <v>0.37291666666666662</v>
      </c>
      <c r="BU3148" t="s">
        <v>3065</v>
      </c>
      <c r="BV3148" t="s">
        <v>86</v>
      </c>
      <c r="BY3148">
        <v>15302.45</v>
      </c>
      <c r="BZ3148" t="s">
        <v>27</v>
      </c>
      <c r="CC3148" t="s">
        <v>173</v>
      </c>
      <c r="CD3148">
        <v>1748</v>
      </c>
      <c r="CE3148" t="s">
        <v>88</v>
      </c>
      <c r="CF3148" s="3">
        <v>43789</v>
      </c>
      <c r="CI3148">
        <v>1</v>
      </c>
      <c r="CJ3148">
        <v>1</v>
      </c>
      <c r="CK3148">
        <v>34</v>
      </c>
      <c r="CL3148" t="s">
        <v>89</v>
      </c>
    </row>
    <row r="3149" spans="1:90">
      <c r="A3149" t="s">
        <v>72</v>
      </c>
      <c r="B3149" t="s">
        <v>73</v>
      </c>
      <c r="C3149" t="s">
        <v>74</v>
      </c>
      <c r="E3149" t="str">
        <f>"FES1162725900"</f>
        <v>FES1162725900</v>
      </c>
      <c r="F3149" s="3">
        <v>43798</v>
      </c>
      <c r="G3149">
        <v>202005</v>
      </c>
      <c r="H3149" t="s">
        <v>75</v>
      </c>
      <c r="I3149" t="s">
        <v>76</v>
      </c>
      <c r="J3149" t="s">
        <v>77</v>
      </c>
      <c r="K3149" t="s">
        <v>78</v>
      </c>
      <c r="L3149" t="s">
        <v>605</v>
      </c>
      <c r="M3149" t="s">
        <v>606</v>
      </c>
      <c r="N3149" t="s">
        <v>785</v>
      </c>
      <c r="O3149" t="s">
        <v>82</v>
      </c>
      <c r="P3149" t="str">
        <f>"2170719446                    "</f>
        <v xml:space="preserve">2170719446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12.07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 s="4">
        <v>70.95</v>
      </c>
      <c r="BM3149" s="4">
        <v>10.64</v>
      </c>
      <c r="BN3149" s="4">
        <v>81.59</v>
      </c>
      <c r="BO3149" s="4">
        <v>81.59</v>
      </c>
      <c r="BQ3149" t="s">
        <v>109</v>
      </c>
      <c r="BR3149" t="s">
        <v>84</v>
      </c>
      <c r="BS3149" t="s">
        <v>201</v>
      </c>
      <c r="BY3149">
        <v>1200</v>
      </c>
      <c r="CC3149" t="s">
        <v>606</v>
      </c>
      <c r="CD3149">
        <v>407</v>
      </c>
      <c r="CE3149" t="s">
        <v>147</v>
      </c>
      <c r="CI3149">
        <v>1</v>
      </c>
      <c r="CJ3149" t="s">
        <v>201</v>
      </c>
      <c r="CK3149">
        <v>24</v>
      </c>
      <c r="CL3149" t="s">
        <v>89</v>
      </c>
    </row>
    <row r="3150" spans="1:90">
      <c r="A3150" t="s">
        <v>72</v>
      </c>
      <c r="B3150" t="s">
        <v>73</v>
      </c>
      <c r="C3150" t="s">
        <v>74</v>
      </c>
      <c r="E3150" t="str">
        <f>"FES1162725196"</f>
        <v>FES1162725196</v>
      </c>
      <c r="F3150" s="3">
        <v>43795</v>
      </c>
      <c r="G3150">
        <v>202005</v>
      </c>
      <c r="H3150" t="s">
        <v>75</v>
      </c>
      <c r="I3150" t="s">
        <v>76</v>
      </c>
      <c r="J3150" t="s">
        <v>211</v>
      </c>
      <c r="K3150" t="s">
        <v>78</v>
      </c>
      <c r="L3150" t="s">
        <v>172</v>
      </c>
      <c r="M3150" t="s">
        <v>173</v>
      </c>
      <c r="N3150" t="s">
        <v>330</v>
      </c>
      <c r="O3150" t="s">
        <v>756</v>
      </c>
      <c r="P3150" t="str">
        <f>"2170718939                    "</f>
        <v xml:space="preserve">2170718939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22.94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6.1</v>
      </c>
      <c r="BJ3150">
        <v>1.8</v>
      </c>
      <c r="BK3150">
        <v>7</v>
      </c>
      <c r="BL3150" s="4">
        <v>134.83000000000001</v>
      </c>
      <c r="BM3150" s="4">
        <v>20.22</v>
      </c>
      <c r="BN3150" s="4">
        <v>155.05000000000001</v>
      </c>
      <c r="BO3150" s="4">
        <v>155.05000000000001</v>
      </c>
      <c r="BQ3150" t="s">
        <v>121</v>
      </c>
      <c r="BR3150" t="s">
        <v>212</v>
      </c>
      <c r="BS3150" s="3">
        <v>43796</v>
      </c>
      <c r="BT3150" s="5">
        <v>0.40069444444444446</v>
      </c>
      <c r="BU3150" t="s">
        <v>3066</v>
      </c>
      <c r="BV3150" t="s">
        <v>86</v>
      </c>
      <c r="BY3150">
        <v>8781.5</v>
      </c>
      <c r="BZ3150" t="s">
        <v>27</v>
      </c>
      <c r="CC3150" t="s">
        <v>173</v>
      </c>
      <c r="CD3150">
        <v>1754</v>
      </c>
      <c r="CE3150" t="s">
        <v>88</v>
      </c>
      <c r="CF3150" s="3">
        <v>43797</v>
      </c>
      <c r="CI3150">
        <v>1</v>
      </c>
      <c r="CJ3150">
        <v>1</v>
      </c>
      <c r="CK3150">
        <v>34</v>
      </c>
      <c r="CL3150" t="s">
        <v>89</v>
      </c>
    </row>
    <row r="3151" spans="1:90">
      <c r="A3151" t="s">
        <v>72</v>
      </c>
      <c r="B3151" t="s">
        <v>73</v>
      </c>
      <c r="C3151" t="s">
        <v>74</v>
      </c>
      <c r="E3151" t="str">
        <f>"FES1162725990"</f>
        <v>FES1162725990</v>
      </c>
      <c r="F3151" s="3">
        <v>43798</v>
      </c>
      <c r="G3151">
        <v>202005</v>
      </c>
      <c r="H3151" t="s">
        <v>75</v>
      </c>
      <c r="I3151" t="s">
        <v>76</v>
      </c>
      <c r="J3151" t="s">
        <v>77</v>
      </c>
      <c r="K3151" t="s">
        <v>78</v>
      </c>
      <c r="L3151" t="s">
        <v>2138</v>
      </c>
      <c r="M3151" t="s">
        <v>2139</v>
      </c>
      <c r="N3151" t="s">
        <v>2108</v>
      </c>
      <c r="O3151" t="s">
        <v>82</v>
      </c>
      <c r="P3151" t="str">
        <f>"2170717030                    "</f>
        <v xml:space="preserve">2170717030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65.45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4.5</v>
      </c>
      <c r="BJ3151">
        <v>8.4</v>
      </c>
      <c r="BK3151">
        <v>8.5</v>
      </c>
      <c r="BL3151" s="4">
        <v>384.73</v>
      </c>
      <c r="BM3151" s="4">
        <v>57.71</v>
      </c>
      <c r="BN3151" s="4">
        <v>442.44</v>
      </c>
      <c r="BO3151" s="4">
        <v>442.44</v>
      </c>
      <c r="BR3151" t="s">
        <v>84</v>
      </c>
      <c r="BS3151" t="s">
        <v>201</v>
      </c>
      <c r="BY3151">
        <v>42084.55</v>
      </c>
      <c r="CC3151" t="s">
        <v>2139</v>
      </c>
      <c r="CD3151">
        <v>9499</v>
      </c>
      <c r="CE3151" t="s">
        <v>1598</v>
      </c>
      <c r="CI3151">
        <v>1</v>
      </c>
      <c r="CJ3151" t="s">
        <v>201</v>
      </c>
      <c r="CK3151">
        <v>23</v>
      </c>
      <c r="CL3151" t="s">
        <v>89</v>
      </c>
    </row>
    <row r="3152" spans="1:90">
      <c r="A3152" t="s">
        <v>72</v>
      </c>
      <c r="B3152" t="s">
        <v>73</v>
      </c>
      <c r="C3152" t="s">
        <v>74</v>
      </c>
      <c r="E3152" t="str">
        <f>"FES1162722953"</f>
        <v>FES1162722953</v>
      </c>
      <c r="F3152" s="3">
        <v>43782</v>
      </c>
      <c r="G3152">
        <v>202005</v>
      </c>
      <c r="H3152" t="s">
        <v>75</v>
      </c>
      <c r="I3152" t="s">
        <v>76</v>
      </c>
      <c r="J3152" t="s">
        <v>211</v>
      </c>
      <c r="K3152" t="s">
        <v>78</v>
      </c>
      <c r="L3152" t="s">
        <v>280</v>
      </c>
      <c r="M3152" t="s">
        <v>102</v>
      </c>
      <c r="N3152" t="s">
        <v>879</v>
      </c>
      <c r="O3152" t="s">
        <v>282</v>
      </c>
      <c r="P3152" t="str">
        <f>"2170717049                    "</f>
        <v xml:space="preserve">2170717049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14.75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4.0999999999999996</v>
      </c>
      <c r="BJ3152">
        <v>2.6</v>
      </c>
      <c r="BK3152">
        <v>5</v>
      </c>
      <c r="BL3152" s="4">
        <v>91.71</v>
      </c>
      <c r="BM3152" s="4">
        <v>13.76</v>
      </c>
      <c r="BN3152" s="4">
        <v>105.47</v>
      </c>
      <c r="BO3152" s="4">
        <v>105.47</v>
      </c>
      <c r="BQ3152" t="s">
        <v>142</v>
      </c>
      <c r="BR3152" t="s">
        <v>212</v>
      </c>
      <c r="BS3152" s="3">
        <v>43783</v>
      </c>
      <c r="BT3152" s="5">
        <v>0.37152777777777773</v>
      </c>
      <c r="BU3152" t="s">
        <v>2953</v>
      </c>
      <c r="BV3152" t="s">
        <v>86</v>
      </c>
      <c r="BY3152">
        <v>13024.88</v>
      </c>
      <c r="CA3152" t="s">
        <v>183</v>
      </c>
      <c r="CC3152" t="s">
        <v>102</v>
      </c>
      <c r="CD3152">
        <v>200</v>
      </c>
      <c r="CE3152" t="s">
        <v>88</v>
      </c>
      <c r="CF3152" s="3">
        <v>43784</v>
      </c>
      <c r="CI3152">
        <v>0</v>
      </c>
      <c r="CJ3152">
        <v>0</v>
      </c>
      <c r="CK3152" t="s">
        <v>285</v>
      </c>
      <c r="CL3152" t="s">
        <v>89</v>
      </c>
    </row>
    <row r="3153" spans="1:90">
      <c r="A3153" t="s">
        <v>72</v>
      </c>
      <c r="B3153" t="s">
        <v>73</v>
      </c>
      <c r="C3153" t="s">
        <v>74</v>
      </c>
      <c r="E3153" t="str">
        <f>"FES1162722890"</f>
        <v>FES1162722890</v>
      </c>
      <c r="F3153" s="3">
        <v>43782</v>
      </c>
      <c r="G3153">
        <v>202005</v>
      </c>
      <c r="H3153" t="s">
        <v>75</v>
      </c>
      <c r="I3153" t="s">
        <v>76</v>
      </c>
      <c r="J3153" t="s">
        <v>211</v>
      </c>
      <c r="K3153" t="s">
        <v>78</v>
      </c>
      <c r="L3153" t="s">
        <v>339</v>
      </c>
      <c r="M3153" t="s">
        <v>340</v>
      </c>
      <c r="N3153" t="s">
        <v>2316</v>
      </c>
      <c r="O3153" t="s">
        <v>282</v>
      </c>
      <c r="P3153" t="str">
        <f>"2170714954                    "</f>
        <v xml:space="preserve">2170714954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14.75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4.5</v>
      </c>
      <c r="BJ3153">
        <v>6</v>
      </c>
      <c r="BK3153">
        <v>6</v>
      </c>
      <c r="BL3153" s="4">
        <v>91.71</v>
      </c>
      <c r="BM3153" s="4">
        <v>13.76</v>
      </c>
      <c r="BN3153" s="4">
        <v>105.47</v>
      </c>
      <c r="BO3153" s="4">
        <v>105.47</v>
      </c>
      <c r="BQ3153" t="s">
        <v>142</v>
      </c>
      <c r="BR3153" t="s">
        <v>212</v>
      </c>
      <c r="BS3153" s="3">
        <v>43783</v>
      </c>
      <c r="BT3153" s="5">
        <v>0.3611111111111111</v>
      </c>
      <c r="BU3153" t="s">
        <v>3067</v>
      </c>
      <c r="BV3153" t="s">
        <v>86</v>
      </c>
      <c r="BY3153">
        <v>30051.42</v>
      </c>
      <c r="CA3153" t="s">
        <v>343</v>
      </c>
      <c r="CC3153" t="s">
        <v>340</v>
      </c>
      <c r="CD3153">
        <v>157</v>
      </c>
      <c r="CE3153" t="s">
        <v>1598</v>
      </c>
      <c r="CF3153" s="3">
        <v>43784</v>
      </c>
      <c r="CI3153">
        <v>0</v>
      </c>
      <c r="CJ3153">
        <v>0</v>
      </c>
      <c r="CK3153" t="s">
        <v>285</v>
      </c>
      <c r="CL3153" t="s">
        <v>89</v>
      </c>
    </row>
    <row r="3154" spans="1:90">
      <c r="A3154" t="s">
        <v>72</v>
      </c>
      <c r="B3154" t="s">
        <v>73</v>
      </c>
      <c r="C3154" t="s">
        <v>74</v>
      </c>
      <c r="E3154" t="str">
        <f>"FES1162722978"</f>
        <v>FES1162722978</v>
      </c>
      <c r="F3154" s="3">
        <v>43782</v>
      </c>
      <c r="G3154">
        <v>202005</v>
      </c>
      <c r="H3154" t="s">
        <v>75</v>
      </c>
      <c r="I3154" t="s">
        <v>76</v>
      </c>
      <c r="J3154" t="s">
        <v>211</v>
      </c>
      <c r="K3154" t="s">
        <v>78</v>
      </c>
      <c r="L3154" t="s">
        <v>339</v>
      </c>
      <c r="M3154" t="s">
        <v>340</v>
      </c>
      <c r="N3154" t="s">
        <v>718</v>
      </c>
      <c r="O3154" t="s">
        <v>282</v>
      </c>
      <c r="P3154" t="str">
        <f>"2170707074                    "</f>
        <v xml:space="preserve">2170707074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14.75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7.3</v>
      </c>
      <c r="BJ3154">
        <v>12.2</v>
      </c>
      <c r="BK3154">
        <v>13</v>
      </c>
      <c r="BL3154" s="4">
        <v>91.71</v>
      </c>
      <c r="BM3154" s="4">
        <v>13.76</v>
      </c>
      <c r="BN3154" s="4">
        <v>105.47</v>
      </c>
      <c r="BO3154" s="4">
        <v>105.47</v>
      </c>
      <c r="BR3154" t="s">
        <v>212</v>
      </c>
      <c r="BS3154" s="3">
        <v>43783</v>
      </c>
      <c r="BT3154" s="5">
        <v>0.41666666666666669</v>
      </c>
      <c r="BU3154" t="s">
        <v>3068</v>
      </c>
      <c r="BV3154" t="s">
        <v>86</v>
      </c>
      <c r="BY3154">
        <v>60984.07</v>
      </c>
      <c r="CA3154" t="s">
        <v>720</v>
      </c>
      <c r="CC3154" t="s">
        <v>340</v>
      </c>
      <c r="CD3154">
        <v>157</v>
      </c>
      <c r="CE3154" t="s">
        <v>1598</v>
      </c>
      <c r="CF3154" s="3">
        <v>43787</v>
      </c>
      <c r="CI3154">
        <v>0</v>
      </c>
      <c r="CJ3154">
        <v>0</v>
      </c>
      <c r="CK3154" t="s">
        <v>285</v>
      </c>
      <c r="CL3154" t="s">
        <v>89</v>
      </c>
    </row>
    <row r="3155" spans="1:90">
      <c r="A3155" t="s">
        <v>72</v>
      </c>
      <c r="B3155" t="s">
        <v>73</v>
      </c>
      <c r="C3155" t="s">
        <v>74</v>
      </c>
      <c r="E3155" t="str">
        <f>"FES1162722990"</f>
        <v>FES1162722990</v>
      </c>
      <c r="F3155" s="3">
        <v>43783</v>
      </c>
      <c r="G3155">
        <v>202005</v>
      </c>
      <c r="H3155" t="s">
        <v>75</v>
      </c>
      <c r="I3155" t="s">
        <v>76</v>
      </c>
      <c r="J3155" t="s">
        <v>211</v>
      </c>
      <c r="K3155" t="s">
        <v>78</v>
      </c>
      <c r="L3155" t="s">
        <v>280</v>
      </c>
      <c r="M3155" t="s">
        <v>102</v>
      </c>
      <c r="N3155" t="s">
        <v>234</v>
      </c>
      <c r="O3155" t="s">
        <v>282</v>
      </c>
      <c r="P3155" t="str">
        <f>"2170717086                    "</f>
        <v xml:space="preserve">2170717086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14.75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2</v>
      </c>
      <c r="BI3155">
        <v>4.5</v>
      </c>
      <c r="BJ3155">
        <v>1.6</v>
      </c>
      <c r="BK3155">
        <v>5</v>
      </c>
      <c r="BL3155" s="4">
        <v>91.71</v>
      </c>
      <c r="BM3155" s="4">
        <v>13.76</v>
      </c>
      <c r="BN3155" s="4">
        <v>105.47</v>
      </c>
      <c r="BO3155" s="4">
        <v>105.47</v>
      </c>
      <c r="BQ3155" t="s">
        <v>121</v>
      </c>
      <c r="BR3155" t="s">
        <v>212</v>
      </c>
      <c r="BS3155" s="3">
        <v>43784</v>
      </c>
      <c r="BT3155" s="5">
        <v>0.37152777777777773</v>
      </c>
      <c r="BU3155" t="s">
        <v>3069</v>
      </c>
      <c r="BV3155" t="s">
        <v>86</v>
      </c>
      <c r="BY3155">
        <v>7829.03</v>
      </c>
      <c r="CC3155" t="s">
        <v>102</v>
      </c>
      <c r="CD3155">
        <v>200</v>
      </c>
      <c r="CE3155" t="s">
        <v>1892</v>
      </c>
      <c r="CF3155" s="3">
        <v>43788</v>
      </c>
      <c r="CI3155">
        <v>0</v>
      </c>
      <c r="CJ3155">
        <v>0</v>
      </c>
      <c r="CK3155" t="s">
        <v>285</v>
      </c>
      <c r="CL3155" t="s">
        <v>89</v>
      </c>
    </row>
    <row r="3156" spans="1:90">
      <c r="A3156" t="s">
        <v>72</v>
      </c>
      <c r="B3156" t="s">
        <v>73</v>
      </c>
      <c r="C3156" t="s">
        <v>74</v>
      </c>
      <c r="E3156" t="str">
        <f>"FES1162723127"</f>
        <v>FES1162723127</v>
      </c>
      <c r="F3156" s="3">
        <v>43783</v>
      </c>
      <c r="G3156">
        <v>202005</v>
      </c>
      <c r="H3156" t="s">
        <v>75</v>
      </c>
      <c r="I3156" t="s">
        <v>76</v>
      </c>
      <c r="J3156" t="s">
        <v>211</v>
      </c>
      <c r="K3156" t="s">
        <v>78</v>
      </c>
      <c r="L3156" t="s">
        <v>339</v>
      </c>
      <c r="M3156" t="s">
        <v>340</v>
      </c>
      <c r="N3156" t="s">
        <v>718</v>
      </c>
      <c r="O3156" t="s">
        <v>282</v>
      </c>
      <c r="P3156" t="str">
        <f>"2170717143                    "</f>
        <v xml:space="preserve">2170717143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14.75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3.7</v>
      </c>
      <c r="BJ3156">
        <v>5.9</v>
      </c>
      <c r="BK3156">
        <v>6</v>
      </c>
      <c r="BL3156" s="4">
        <v>91.71</v>
      </c>
      <c r="BM3156" s="4">
        <v>13.76</v>
      </c>
      <c r="BN3156" s="4">
        <v>105.47</v>
      </c>
      <c r="BO3156" s="4">
        <v>105.47</v>
      </c>
      <c r="BQ3156" t="s">
        <v>121</v>
      </c>
      <c r="BR3156" t="s">
        <v>212</v>
      </c>
      <c r="BS3156" s="3">
        <v>43784</v>
      </c>
      <c r="BT3156" s="5">
        <v>0.41319444444444442</v>
      </c>
      <c r="BU3156" t="s">
        <v>3070</v>
      </c>
      <c r="BV3156" t="s">
        <v>86</v>
      </c>
      <c r="BY3156">
        <v>29419.3</v>
      </c>
      <c r="CC3156" t="s">
        <v>340</v>
      </c>
      <c r="CD3156">
        <v>157</v>
      </c>
      <c r="CE3156" t="s">
        <v>88</v>
      </c>
      <c r="CF3156" s="3">
        <v>43787</v>
      </c>
      <c r="CI3156">
        <v>0</v>
      </c>
      <c r="CJ3156">
        <v>0</v>
      </c>
      <c r="CK3156" t="s">
        <v>285</v>
      </c>
      <c r="CL3156" t="s">
        <v>89</v>
      </c>
    </row>
    <row r="3157" spans="1:90">
      <c r="A3157" t="s">
        <v>72</v>
      </c>
      <c r="B3157" t="s">
        <v>73</v>
      </c>
      <c r="C3157" t="s">
        <v>74</v>
      </c>
      <c r="E3157" t="str">
        <f>"FES1162723154"</f>
        <v>FES1162723154</v>
      </c>
      <c r="F3157" s="3">
        <v>43783</v>
      </c>
      <c r="G3157">
        <v>202005</v>
      </c>
      <c r="H3157" t="s">
        <v>75</v>
      </c>
      <c r="I3157" t="s">
        <v>76</v>
      </c>
      <c r="J3157" t="s">
        <v>211</v>
      </c>
      <c r="K3157" t="s">
        <v>78</v>
      </c>
      <c r="L3157" t="s">
        <v>339</v>
      </c>
      <c r="M3157" t="s">
        <v>340</v>
      </c>
      <c r="N3157" t="s">
        <v>560</v>
      </c>
      <c r="O3157" t="s">
        <v>282</v>
      </c>
      <c r="P3157" t="str">
        <f>"2170717175                    "</f>
        <v xml:space="preserve">2170717175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14.75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3.8</v>
      </c>
      <c r="BJ3157">
        <v>6.5</v>
      </c>
      <c r="BK3157">
        <v>7</v>
      </c>
      <c r="BL3157" s="4">
        <v>91.71</v>
      </c>
      <c r="BM3157" s="4">
        <v>13.76</v>
      </c>
      <c r="BN3157" s="4">
        <v>105.47</v>
      </c>
      <c r="BO3157" s="4">
        <v>105.47</v>
      </c>
      <c r="BQ3157" t="s">
        <v>121</v>
      </c>
      <c r="BR3157" t="s">
        <v>212</v>
      </c>
      <c r="BS3157" s="3">
        <v>43784</v>
      </c>
      <c r="BT3157" s="5">
        <v>0.36041666666666666</v>
      </c>
      <c r="BU3157" t="s">
        <v>3071</v>
      </c>
      <c r="BV3157" t="s">
        <v>86</v>
      </c>
      <c r="BY3157">
        <v>32703.93</v>
      </c>
      <c r="CA3157" t="s">
        <v>562</v>
      </c>
      <c r="CC3157" t="s">
        <v>340</v>
      </c>
      <c r="CD3157">
        <v>157</v>
      </c>
      <c r="CE3157" t="s">
        <v>88</v>
      </c>
      <c r="CF3157" s="3">
        <v>43787</v>
      </c>
      <c r="CI3157">
        <v>0</v>
      </c>
      <c r="CJ3157">
        <v>0</v>
      </c>
      <c r="CK3157" t="s">
        <v>285</v>
      </c>
      <c r="CL3157" t="s">
        <v>89</v>
      </c>
    </row>
    <row r="3158" spans="1:90">
      <c r="A3158" t="s">
        <v>72</v>
      </c>
      <c r="B3158" t="s">
        <v>73</v>
      </c>
      <c r="C3158" t="s">
        <v>74</v>
      </c>
      <c r="E3158" t="str">
        <f>"FES1162723176"</f>
        <v>FES1162723176</v>
      </c>
      <c r="F3158" s="3">
        <v>43783</v>
      </c>
      <c r="G3158">
        <v>202005</v>
      </c>
      <c r="H3158" t="s">
        <v>75</v>
      </c>
      <c r="I3158" t="s">
        <v>76</v>
      </c>
      <c r="J3158" t="s">
        <v>211</v>
      </c>
      <c r="K3158" t="s">
        <v>78</v>
      </c>
      <c r="L3158" t="s">
        <v>280</v>
      </c>
      <c r="M3158" t="s">
        <v>102</v>
      </c>
      <c r="N3158" t="s">
        <v>2454</v>
      </c>
      <c r="O3158" t="s">
        <v>282</v>
      </c>
      <c r="P3158" t="str">
        <f>"2170717207                    "</f>
        <v xml:space="preserve">2170717207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14.75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4.4000000000000004</v>
      </c>
      <c r="BJ3158">
        <v>0.9</v>
      </c>
      <c r="BK3158">
        <v>5</v>
      </c>
      <c r="BL3158" s="4">
        <v>91.71</v>
      </c>
      <c r="BM3158" s="4">
        <v>13.76</v>
      </c>
      <c r="BN3158" s="4">
        <v>105.47</v>
      </c>
      <c r="BO3158" s="4">
        <v>105.47</v>
      </c>
      <c r="BQ3158" t="s">
        <v>142</v>
      </c>
      <c r="BR3158" t="s">
        <v>212</v>
      </c>
      <c r="BS3158" s="3">
        <v>43784</v>
      </c>
      <c r="BT3158" s="5">
        <v>0.35416666666666669</v>
      </c>
      <c r="BU3158" t="s">
        <v>3072</v>
      </c>
      <c r="BV3158" t="s">
        <v>86</v>
      </c>
      <c r="BY3158">
        <v>4337.0600000000004</v>
      </c>
      <c r="CC3158" t="s">
        <v>102</v>
      </c>
      <c r="CD3158">
        <v>186</v>
      </c>
      <c r="CE3158" t="s">
        <v>88</v>
      </c>
      <c r="CF3158" s="3">
        <v>43788</v>
      </c>
      <c r="CI3158">
        <v>0</v>
      </c>
      <c r="CJ3158">
        <v>0</v>
      </c>
      <c r="CK3158" t="s">
        <v>285</v>
      </c>
      <c r="CL3158" t="s">
        <v>89</v>
      </c>
    </row>
    <row r="3159" spans="1:90">
      <c r="A3159" t="s">
        <v>72</v>
      </c>
      <c r="B3159" t="s">
        <v>73</v>
      </c>
      <c r="C3159" t="s">
        <v>74</v>
      </c>
      <c r="E3159" t="str">
        <f>"FES1162723199"</f>
        <v>FES1162723199</v>
      </c>
      <c r="F3159" s="3">
        <v>43783</v>
      </c>
      <c r="G3159">
        <v>202005</v>
      </c>
      <c r="H3159" t="s">
        <v>75</v>
      </c>
      <c r="I3159" t="s">
        <v>76</v>
      </c>
      <c r="J3159" t="s">
        <v>211</v>
      </c>
      <c r="K3159" t="s">
        <v>78</v>
      </c>
      <c r="L3159" t="s">
        <v>280</v>
      </c>
      <c r="M3159" t="s">
        <v>102</v>
      </c>
      <c r="N3159" t="s">
        <v>181</v>
      </c>
      <c r="O3159" t="s">
        <v>282</v>
      </c>
      <c r="P3159" t="str">
        <f>"2170717224                    "</f>
        <v xml:space="preserve">2170717224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14.75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1.7</v>
      </c>
      <c r="BJ3159">
        <v>4.8</v>
      </c>
      <c r="BK3159">
        <v>5</v>
      </c>
      <c r="BL3159" s="4">
        <v>91.71</v>
      </c>
      <c r="BM3159" s="4">
        <v>13.76</v>
      </c>
      <c r="BN3159" s="4">
        <v>105.47</v>
      </c>
      <c r="BO3159" s="4">
        <v>105.47</v>
      </c>
      <c r="BQ3159" t="s">
        <v>121</v>
      </c>
      <c r="BR3159" t="s">
        <v>212</v>
      </c>
      <c r="BS3159" s="3">
        <v>43784</v>
      </c>
      <c r="BT3159" s="5">
        <v>0.39930555555555558</v>
      </c>
      <c r="BU3159" t="s">
        <v>1980</v>
      </c>
      <c r="BV3159" t="s">
        <v>86</v>
      </c>
      <c r="BY3159">
        <v>24248.65</v>
      </c>
      <c r="CC3159" t="s">
        <v>102</v>
      </c>
      <c r="CD3159">
        <v>200</v>
      </c>
      <c r="CE3159" t="s">
        <v>88</v>
      </c>
      <c r="CF3159" s="3">
        <v>43788</v>
      </c>
      <c r="CI3159">
        <v>0</v>
      </c>
      <c r="CJ3159">
        <v>0</v>
      </c>
      <c r="CK3159" t="s">
        <v>285</v>
      </c>
      <c r="CL3159" t="s">
        <v>89</v>
      </c>
    </row>
    <row r="3160" spans="1:90">
      <c r="A3160" t="s">
        <v>72</v>
      </c>
      <c r="B3160" t="s">
        <v>73</v>
      </c>
      <c r="C3160" t="s">
        <v>74</v>
      </c>
      <c r="E3160" t="str">
        <f>"FES1162723167"</f>
        <v>FES1162723167</v>
      </c>
      <c r="F3160" s="3">
        <v>43783</v>
      </c>
      <c r="G3160">
        <v>202005</v>
      </c>
      <c r="H3160" t="s">
        <v>75</v>
      </c>
      <c r="I3160" t="s">
        <v>76</v>
      </c>
      <c r="J3160" t="s">
        <v>211</v>
      </c>
      <c r="K3160" t="s">
        <v>78</v>
      </c>
      <c r="L3160" t="s">
        <v>999</v>
      </c>
      <c r="M3160" t="s">
        <v>91</v>
      </c>
      <c r="N3160" t="s">
        <v>3073</v>
      </c>
      <c r="O3160" t="s">
        <v>282</v>
      </c>
      <c r="P3160" t="str">
        <f>"2170714884                    "</f>
        <v xml:space="preserve">2170714884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37.130000000000003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2</v>
      </c>
      <c r="BI3160">
        <v>19.5</v>
      </c>
      <c r="BJ3160">
        <v>40.9</v>
      </c>
      <c r="BK3160">
        <v>41</v>
      </c>
      <c r="BL3160" s="4">
        <v>223.26</v>
      </c>
      <c r="BM3160" s="4">
        <v>33.49</v>
      </c>
      <c r="BN3160" s="4">
        <v>256.75</v>
      </c>
      <c r="BO3160" s="4">
        <v>256.75</v>
      </c>
      <c r="BQ3160" t="s">
        <v>121</v>
      </c>
      <c r="BR3160" t="s">
        <v>212</v>
      </c>
      <c r="BS3160" s="3">
        <v>43784</v>
      </c>
      <c r="BT3160" s="5">
        <v>0.35625000000000001</v>
      </c>
      <c r="BU3160" t="s">
        <v>3074</v>
      </c>
      <c r="BV3160" t="s">
        <v>86</v>
      </c>
      <c r="BY3160">
        <v>204318.49</v>
      </c>
      <c r="CA3160" t="s">
        <v>1238</v>
      </c>
      <c r="CC3160" t="s">
        <v>91</v>
      </c>
      <c r="CD3160">
        <v>7441</v>
      </c>
      <c r="CE3160" t="s">
        <v>1892</v>
      </c>
      <c r="CF3160" s="3">
        <v>43787</v>
      </c>
      <c r="CI3160">
        <v>2</v>
      </c>
      <c r="CJ3160">
        <v>1</v>
      </c>
      <c r="CK3160" t="s">
        <v>1002</v>
      </c>
      <c r="CL3160" t="s">
        <v>89</v>
      </c>
    </row>
    <row r="3161" spans="1:90">
      <c r="A3161" t="s">
        <v>72</v>
      </c>
      <c r="B3161" t="s">
        <v>73</v>
      </c>
      <c r="C3161" t="s">
        <v>74</v>
      </c>
      <c r="E3161" t="str">
        <f>"FES1162723230"</f>
        <v>FES1162723230</v>
      </c>
      <c r="F3161" s="3">
        <v>43783</v>
      </c>
      <c r="G3161">
        <v>202005</v>
      </c>
      <c r="H3161" t="s">
        <v>75</v>
      </c>
      <c r="I3161" t="s">
        <v>76</v>
      </c>
      <c r="J3161" t="s">
        <v>211</v>
      </c>
      <c r="K3161" t="s">
        <v>78</v>
      </c>
      <c r="L3161" t="s">
        <v>280</v>
      </c>
      <c r="M3161" t="s">
        <v>102</v>
      </c>
      <c r="N3161" t="s">
        <v>2454</v>
      </c>
      <c r="O3161" t="s">
        <v>282</v>
      </c>
      <c r="P3161" t="str">
        <f>"2170717258                    "</f>
        <v xml:space="preserve">2170717258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14.75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4.4000000000000004</v>
      </c>
      <c r="BJ3161">
        <v>1.4</v>
      </c>
      <c r="BK3161">
        <v>5</v>
      </c>
      <c r="BL3161" s="4">
        <v>91.71</v>
      </c>
      <c r="BM3161" s="4">
        <v>13.76</v>
      </c>
      <c r="BN3161" s="4">
        <v>105.47</v>
      </c>
      <c r="BO3161" s="4">
        <v>105.47</v>
      </c>
      <c r="BQ3161" t="s">
        <v>142</v>
      </c>
      <c r="BR3161" t="s">
        <v>212</v>
      </c>
      <c r="BS3161" s="3">
        <v>43784</v>
      </c>
      <c r="BT3161" s="5">
        <v>0.35416666666666669</v>
      </c>
      <c r="BU3161" t="s">
        <v>3072</v>
      </c>
      <c r="BV3161" t="s">
        <v>86</v>
      </c>
      <c r="BY3161">
        <v>6997.8</v>
      </c>
      <c r="CC3161" t="s">
        <v>102</v>
      </c>
      <c r="CD3161">
        <v>186</v>
      </c>
      <c r="CE3161" t="s">
        <v>88</v>
      </c>
      <c r="CF3161" s="3">
        <v>43788</v>
      </c>
      <c r="CI3161">
        <v>0</v>
      </c>
      <c r="CJ3161">
        <v>0</v>
      </c>
      <c r="CK3161" t="s">
        <v>285</v>
      </c>
      <c r="CL3161" t="s">
        <v>89</v>
      </c>
    </row>
    <row r="3162" spans="1:90">
      <c r="A3162" t="s">
        <v>72</v>
      </c>
      <c r="B3162" t="s">
        <v>73</v>
      </c>
      <c r="C3162" t="s">
        <v>74</v>
      </c>
      <c r="E3162" t="str">
        <f>"FES1162723364"</f>
        <v>FES1162723364</v>
      </c>
      <c r="F3162" s="3">
        <v>43784</v>
      </c>
      <c r="G3162">
        <v>202005</v>
      </c>
      <c r="H3162" t="s">
        <v>75</v>
      </c>
      <c r="I3162" t="s">
        <v>76</v>
      </c>
      <c r="J3162" t="s">
        <v>211</v>
      </c>
      <c r="K3162" t="s">
        <v>78</v>
      </c>
      <c r="L3162" t="s">
        <v>917</v>
      </c>
      <c r="M3162" t="s">
        <v>918</v>
      </c>
      <c r="N3162" t="s">
        <v>2754</v>
      </c>
      <c r="O3162" t="s">
        <v>282</v>
      </c>
      <c r="P3162" t="str">
        <f>"2170717304                    "</f>
        <v xml:space="preserve">2170717304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17.86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2</v>
      </c>
      <c r="BI3162">
        <v>11.1</v>
      </c>
      <c r="BJ3162">
        <v>17.3</v>
      </c>
      <c r="BK3162">
        <v>18</v>
      </c>
      <c r="BL3162" s="4">
        <v>109.97</v>
      </c>
      <c r="BM3162" s="4">
        <v>16.5</v>
      </c>
      <c r="BN3162" s="4">
        <v>126.47</v>
      </c>
      <c r="BO3162" s="4">
        <v>126.47</v>
      </c>
      <c r="BQ3162" t="s">
        <v>2755</v>
      </c>
      <c r="BR3162" t="s">
        <v>212</v>
      </c>
      <c r="BS3162" s="3">
        <v>43787</v>
      </c>
      <c r="BT3162" s="5">
        <v>0.41666666666666669</v>
      </c>
      <c r="BU3162" t="s">
        <v>3075</v>
      </c>
      <c r="BV3162" t="s">
        <v>86</v>
      </c>
      <c r="BY3162">
        <v>86719.19</v>
      </c>
      <c r="CC3162" t="s">
        <v>918</v>
      </c>
      <c r="CD3162">
        <v>2210</v>
      </c>
      <c r="CE3162" t="s">
        <v>3076</v>
      </c>
      <c r="CF3162" s="3">
        <v>43788</v>
      </c>
      <c r="CI3162">
        <v>1</v>
      </c>
      <c r="CJ3162">
        <v>1</v>
      </c>
      <c r="CK3162" t="s">
        <v>289</v>
      </c>
      <c r="CL3162" t="s">
        <v>89</v>
      </c>
    </row>
    <row r="3163" spans="1:90">
      <c r="A3163" t="s">
        <v>72</v>
      </c>
      <c r="B3163" t="s">
        <v>73</v>
      </c>
      <c r="C3163" t="s">
        <v>74</v>
      </c>
      <c r="E3163" t="str">
        <f>"FES1162723420"</f>
        <v>FES1162723420</v>
      </c>
      <c r="F3163" s="3">
        <v>43784</v>
      </c>
      <c r="G3163">
        <v>202005</v>
      </c>
      <c r="H3163" t="s">
        <v>75</v>
      </c>
      <c r="I3163" t="s">
        <v>76</v>
      </c>
      <c r="J3163" t="s">
        <v>211</v>
      </c>
      <c r="K3163" t="s">
        <v>78</v>
      </c>
      <c r="L3163" t="s">
        <v>522</v>
      </c>
      <c r="M3163" t="s">
        <v>523</v>
      </c>
      <c r="N3163" t="s">
        <v>524</v>
      </c>
      <c r="O3163" t="s">
        <v>282</v>
      </c>
      <c r="P3163" t="str">
        <f>"2170717276                    "</f>
        <v xml:space="preserve">2170717276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14.75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6</v>
      </c>
      <c r="BJ3163">
        <v>2.2000000000000002</v>
      </c>
      <c r="BK3163">
        <v>6</v>
      </c>
      <c r="BL3163" s="4">
        <v>91.71</v>
      </c>
      <c r="BM3163" s="4">
        <v>13.76</v>
      </c>
      <c r="BN3163" s="4">
        <v>105.47</v>
      </c>
      <c r="BO3163" s="4">
        <v>105.47</v>
      </c>
      <c r="BQ3163" t="s">
        <v>121</v>
      </c>
      <c r="BR3163" t="s">
        <v>212</v>
      </c>
      <c r="BS3163" s="3">
        <v>43787</v>
      </c>
      <c r="BT3163" s="5">
        <v>0.35555555555555557</v>
      </c>
      <c r="BU3163" t="s">
        <v>3077</v>
      </c>
      <c r="BV3163" t="s">
        <v>86</v>
      </c>
      <c r="BY3163">
        <v>11207.99</v>
      </c>
      <c r="CA3163" t="s">
        <v>526</v>
      </c>
      <c r="CC3163" t="s">
        <v>523</v>
      </c>
      <c r="CD3163">
        <v>1900</v>
      </c>
      <c r="CE3163" t="s">
        <v>3078</v>
      </c>
      <c r="CF3163" s="3">
        <v>43788</v>
      </c>
      <c r="CI3163">
        <v>1</v>
      </c>
      <c r="CJ3163">
        <v>1</v>
      </c>
      <c r="CK3163" t="s">
        <v>285</v>
      </c>
      <c r="CL3163" t="s">
        <v>89</v>
      </c>
    </row>
    <row r="3164" spans="1:90">
      <c r="A3164" t="s">
        <v>72</v>
      </c>
      <c r="B3164" t="s">
        <v>73</v>
      </c>
      <c r="C3164" t="s">
        <v>74</v>
      </c>
      <c r="E3164" t="str">
        <f>"FES1162723418"</f>
        <v>FES1162723418</v>
      </c>
      <c r="F3164" s="3">
        <v>43784</v>
      </c>
      <c r="G3164">
        <v>202005</v>
      </c>
      <c r="H3164" t="s">
        <v>75</v>
      </c>
      <c r="I3164" t="s">
        <v>76</v>
      </c>
      <c r="J3164" t="s">
        <v>211</v>
      </c>
      <c r="K3164" t="s">
        <v>78</v>
      </c>
      <c r="L3164" t="s">
        <v>1651</v>
      </c>
      <c r="M3164" t="s">
        <v>1651</v>
      </c>
      <c r="N3164" t="s">
        <v>3079</v>
      </c>
      <c r="O3164" t="s">
        <v>282</v>
      </c>
      <c r="P3164" t="str">
        <f>"2170717372                    "</f>
        <v xml:space="preserve">2170717372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20.21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10.3</v>
      </c>
      <c r="BJ3164">
        <v>21.3</v>
      </c>
      <c r="BK3164">
        <v>22</v>
      </c>
      <c r="BL3164" s="4">
        <v>123.8</v>
      </c>
      <c r="BM3164" s="4">
        <v>18.57</v>
      </c>
      <c r="BN3164" s="4">
        <v>142.37</v>
      </c>
      <c r="BO3164" s="4">
        <v>142.37</v>
      </c>
      <c r="BQ3164" t="s">
        <v>3080</v>
      </c>
      <c r="BR3164" t="s">
        <v>212</v>
      </c>
      <c r="BS3164" s="3">
        <v>43787</v>
      </c>
      <c r="BT3164" s="5">
        <v>0.33333333333333331</v>
      </c>
      <c r="BU3164" t="s">
        <v>3081</v>
      </c>
      <c r="BV3164" t="s">
        <v>86</v>
      </c>
      <c r="BY3164">
        <v>106547.06</v>
      </c>
      <c r="CA3164" t="s">
        <v>362</v>
      </c>
      <c r="CC3164" t="s">
        <v>1651</v>
      </c>
      <c r="CD3164">
        <v>1491</v>
      </c>
      <c r="CE3164" t="s">
        <v>1598</v>
      </c>
      <c r="CF3164" s="3">
        <v>43789</v>
      </c>
      <c r="CI3164">
        <v>1</v>
      </c>
      <c r="CJ3164">
        <v>1</v>
      </c>
      <c r="CK3164" t="s">
        <v>289</v>
      </c>
      <c r="CL3164" t="s">
        <v>89</v>
      </c>
    </row>
    <row r="3165" spans="1:90">
      <c r="A3165" t="s">
        <v>72</v>
      </c>
      <c r="B3165" t="s">
        <v>73</v>
      </c>
      <c r="C3165" t="s">
        <v>74</v>
      </c>
      <c r="E3165" t="str">
        <f>"FES1162723348"</f>
        <v>FES1162723348</v>
      </c>
      <c r="F3165" s="3">
        <v>43784</v>
      </c>
      <c r="G3165">
        <v>202005</v>
      </c>
      <c r="H3165" t="s">
        <v>75</v>
      </c>
      <c r="I3165" t="s">
        <v>76</v>
      </c>
      <c r="J3165" t="s">
        <v>211</v>
      </c>
      <c r="K3165" t="s">
        <v>78</v>
      </c>
      <c r="L3165" t="s">
        <v>280</v>
      </c>
      <c r="M3165" t="s">
        <v>102</v>
      </c>
      <c r="N3165" t="s">
        <v>2740</v>
      </c>
      <c r="O3165" t="s">
        <v>282</v>
      </c>
      <c r="P3165" t="str">
        <f>"2170716398                    "</f>
        <v xml:space="preserve">2170716398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14.75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7.1</v>
      </c>
      <c r="BJ3165">
        <v>3.2</v>
      </c>
      <c r="BK3165">
        <v>8</v>
      </c>
      <c r="BL3165" s="4">
        <v>91.71</v>
      </c>
      <c r="BM3165" s="4">
        <v>13.76</v>
      </c>
      <c r="BN3165" s="4">
        <v>105.47</v>
      </c>
      <c r="BO3165" s="4">
        <v>105.47</v>
      </c>
      <c r="BR3165" t="s">
        <v>212</v>
      </c>
      <c r="BS3165" s="3">
        <v>43787</v>
      </c>
      <c r="BT3165" s="5">
        <v>0.40277777777777773</v>
      </c>
      <c r="BU3165" t="s">
        <v>3082</v>
      </c>
      <c r="BV3165" t="s">
        <v>86</v>
      </c>
      <c r="BY3165">
        <v>15770.34</v>
      </c>
      <c r="CA3165" t="s">
        <v>123</v>
      </c>
      <c r="CC3165" t="s">
        <v>102</v>
      </c>
      <c r="CD3165">
        <v>200</v>
      </c>
      <c r="CE3165" t="s">
        <v>88</v>
      </c>
      <c r="CF3165" s="3">
        <v>43789</v>
      </c>
      <c r="CI3165">
        <v>0</v>
      </c>
      <c r="CJ3165">
        <v>0</v>
      </c>
      <c r="CK3165" t="s">
        <v>285</v>
      </c>
      <c r="CL3165" t="s">
        <v>89</v>
      </c>
    </row>
    <row r="3166" spans="1:90">
      <c r="A3166" t="s">
        <v>72</v>
      </c>
      <c r="B3166" t="s">
        <v>73</v>
      </c>
      <c r="C3166" t="s">
        <v>74</v>
      </c>
      <c r="E3166" t="str">
        <f>"FES1162723308"</f>
        <v>FES1162723308</v>
      </c>
      <c r="F3166" s="3">
        <v>43784</v>
      </c>
      <c r="G3166">
        <v>202005</v>
      </c>
      <c r="H3166" t="s">
        <v>75</v>
      </c>
      <c r="I3166" t="s">
        <v>76</v>
      </c>
      <c r="J3166" t="s">
        <v>211</v>
      </c>
      <c r="K3166" t="s">
        <v>78</v>
      </c>
      <c r="L3166" t="s">
        <v>225</v>
      </c>
      <c r="M3166" t="s">
        <v>226</v>
      </c>
      <c r="N3166" t="s">
        <v>227</v>
      </c>
      <c r="O3166" t="s">
        <v>282</v>
      </c>
      <c r="P3166" t="str">
        <f>"21707175275                   "</f>
        <v xml:space="preserve">21707175275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19.7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8.4</v>
      </c>
      <c r="BJ3166">
        <v>29.9</v>
      </c>
      <c r="BK3166">
        <v>30</v>
      </c>
      <c r="BL3166" s="4">
        <v>120.78</v>
      </c>
      <c r="BM3166" s="4">
        <v>18.12</v>
      </c>
      <c r="BN3166" s="4">
        <v>138.9</v>
      </c>
      <c r="BO3166" s="4">
        <v>138.9</v>
      </c>
      <c r="BQ3166" t="s">
        <v>121</v>
      </c>
      <c r="BR3166" t="s">
        <v>212</v>
      </c>
      <c r="BS3166" s="3">
        <v>43787</v>
      </c>
      <c r="BT3166" s="5">
        <v>0.34027777777777773</v>
      </c>
      <c r="BU3166" t="s">
        <v>228</v>
      </c>
      <c r="BV3166" t="s">
        <v>86</v>
      </c>
      <c r="BY3166">
        <v>149642.06</v>
      </c>
      <c r="CA3166" t="s">
        <v>229</v>
      </c>
      <c r="CC3166" t="s">
        <v>226</v>
      </c>
      <c r="CD3166">
        <v>4026</v>
      </c>
      <c r="CE3166" t="s">
        <v>1598</v>
      </c>
      <c r="CF3166" s="3">
        <v>43788</v>
      </c>
      <c r="CI3166">
        <v>1</v>
      </c>
      <c r="CJ3166">
        <v>1</v>
      </c>
      <c r="CK3166" t="s">
        <v>711</v>
      </c>
      <c r="CL3166" t="s">
        <v>89</v>
      </c>
    </row>
    <row r="3167" spans="1:90">
      <c r="A3167" t="s">
        <v>72</v>
      </c>
      <c r="B3167" t="s">
        <v>73</v>
      </c>
      <c r="C3167" t="s">
        <v>74</v>
      </c>
      <c r="E3167" t="str">
        <f>"FES1162723284"</f>
        <v>FES1162723284</v>
      </c>
      <c r="F3167" s="3">
        <v>43784</v>
      </c>
      <c r="G3167">
        <v>202005</v>
      </c>
      <c r="H3167" t="s">
        <v>75</v>
      </c>
      <c r="I3167" t="s">
        <v>76</v>
      </c>
      <c r="J3167" t="s">
        <v>211</v>
      </c>
      <c r="K3167" t="s">
        <v>78</v>
      </c>
      <c r="L3167" t="s">
        <v>339</v>
      </c>
      <c r="M3167" t="s">
        <v>340</v>
      </c>
      <c r="N3167" t="s">
        <v>1787</v>
      </c>
      <c r="O3167" t="s">
        <v>282</v>
      </c>
      <c r="P3167" t="str">
        <f>"2170714233                    "</f>
        <v xml:space="preserve">2170714233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14.75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6.4</v>
      </c>
      <c r="BJ3167">
        <v>4.0999999999999996</v>
      </c>
      <c r="BK3167">
        <v>7</v>
      </c>
      <c r="BL3167" s="4">
        <v>91.71</v>
      </c>
      <c r="BM3167" s="4">
        <v>13.76</v>
      </c>
      <c r="BN3167" s="4">
        <v>105.47</v>
      </c>
      <c r="BO3167" s="4">
        <v>105.47</v>
      </c>
      <c r="BQ3167" t="s">
        <v>121</v>
      </c>
      <c r="BR3167" t="s">
        <v>212</v>
      </c>
      <c r="BS3167" s="3">
        <v>43787</v>
      </c>
      <c r="BT3167" s="5">
        <v>0.50694444444444442</v>
      </c>
      <c r="BU3167" t="s">
        <v>2216</v>
      </c>
      <c r="BV3167" t="s">
        <v>86</v>
      </c>
      <c r="BY3167">
        <v>20305.04</v>
      </c>
      <c r="CC3167" t="s">
        <v>340</v>
      </c>
      <c r="CD3167">
        <v>157</v>
      </c>
      <c r="CE3167" t="s">
        <v>88</v>
      </c>
      <c r="CF3167" s="3">
        <v>43788</v>
      </c>
      <c r="CI3167">
        <v>0</v>
      </c>
      <c r="CJ3167">
        <v>0</v>
      </c>
      <c r="CK3167" t="s">
        <v>285</v>
      </c>
      <c r="CL3167" t="s">
        <v>89</v>
      </c>
    </row>
    <row r="3168" spans="1:90">
      <c r="A3168" t="s">
        <v>72</v>
      </c>
      <c r="B3168" t="s">
        <v>73</v>
      </c>
      <c r="C3168" t="s">
        <v>74</v>
      </c>
      <c r="E3168" t="str">
        <f>"FES1162723293"</f>
        <v>FES1162723293</v>
      </c>
      <c r="F3168" s="3">
        <v>43784</v>
      </c>
      <c r="G3168">
        <v>202005</v>
      </c>
      <c r="H3168" t="s">
        <v>75</v>
      </c>
      <c r="I3168" t="s">
        <v>76</v>
      </c>
      <c r="J3168" t="s">
        <v>211</v>
      </c>
      <c r="K3168" t="s">
        <v>78</v>
      </c>
      <c r="L3168" t="s">
        <v>280</v>
      </c>
      <c r="M3168" t="s">
        <v>102</v>
      </c>
      <c r="N3168" t="s">
        <v>2454</v>
      </c>
      <c r="O3168" t="s">
        <v>282</v>
      </c>
      <c r="P3168" t="str">
        <f>"2170715005                    "</f>
        <v xml:space="preserve">2170715005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14.75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12.5</v>
      </c>
      <c r="BJ3168">
        <v>6.8</v>
      </c>
      <c r="BK3168">
        <v>13</v>
      </c>
      <c r="BL3168" s="4">
        <v>91.71</v>
      </c>
      <c r="BM3168" s="4">
        <v>13.76</v>
      </c>
      <c r="BN3168" s="4">
        <v>105.47</v>
      </c>
      <c r="BO3168" s="4">
        <v>105.47</v>
      </c>
      <c r="BQ3168" t="s">
        <v>142</v>
      </c>
      <c r="BR3168" t="s">
        <v>212</v>
      </c>
      <c r="BS3168" s="3">
        <v>43787</v>
      </c>
      <c r="BT3168" s="5">
        <v>0.375</v>
      </c>
      <c r="BU3168" t="s">
        <v>3083</v>
      </c>
      <c r="BV3168" t="s">
        <v>86</v>
      </c>
      <c r="BY3168">
        <v>34021.699999999997</v>
      </c>
      <c r="CA3168" t="s">
        <v>123</v>
      </c>
      <c r="CC3168" t="s">
        <v>102</v>
      </c>
      <c r="CD3168">
        <v>186</v>
      </c>
      <c r="CE3168" t="s">
        <v>1598</v>
      </c>
      <c r="CF3168" s="3">
        <v>43789</v>
      </c>
      <c r="CI3168">
        <v>0</v>
      </c>
      <c r="CJ3168">
        <v>0</v>
      </c>
      <c r="CK3168" t="s">
        <v>285</v>
      </c>
      <c r="CL3168" t="s">
        <v>89</v>
      </c>
    </row>
    <row r="3169" spans="1:90">
      <c r="A3169" t="s">
        <v>72</v>
      </c>
      <c r="B3169" t="s">
        <v>73</v>
      </c>
      <c r="C3169" t="s">
        <v>74</v>
      </c>
      <c r="E3169" t="str">
        <f>"FES1162723428"</f>
        <v>FES1162723428</v>
      </c>
      <c r="F3169" s="3">
        <v>43784</v>
      </c>
      <c r="G3169">
        <v>202005</v>
      </c>
      <c r="H3169" t="s">
        <v>75</v>
      </c>
      <c r="I3169" t="s">
        <v>76</v>
      </c>
      <c r="J3169" t="s">
        <v>211</v>
      </c>
      <c r="K3169" t="s">
        <v>78</v>
      </c>
      <c r="L3169" t="s">
        <v>124</v>
      </c>
      <c r="M3169" t="s">
        <v>125</v>
      </c>
      <c r="N3169" t="s">
        <v>1928</v>
      </c>
      <c r="O3169" t="s">
        <v>282</v>
      </c>
      <c r="P3169" t="str">
        <f>"2170717375                    "</f>
        <v xml:space="preserve">2170717375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21.36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2</v>
      </c>
      <c r="BI3169">
        <v>16.3</v>
      </c>
      <c r="BJ3169">
        <v>37.1</v>
      </c>
      <c r="BK3169">
        <v>38</v>
      </c>
      <c r="BL3169" s="4">
        <v>130.55000000000001</v>
      </c>
      <c r="BM3169" s="4">
        <v>19.579999999999998</v>
      </c>
      <c r="BN3169" s="4">
        <v>150.13</v>
      </c>
      <c r="BO3169" s="4">
        <v>150.13</v>
      </c>
      <c r="BQ3169" t="s">
        <v>1929</v>
      </c>
      <c r="BR3169" t="s">
        <v>212</v>
      </c>
      <c r="BS3169" s="3">
        <v>43787</v>
      </c>
      <c r="BT3169" s="5">
        <v>0.39583333333333331</v>
      </c>
      <c r="BU3169" t="s">
        <v>3084</v>
      </c>
      <c r="BV3169" t="s">
        <v>86</v>
      </c>
      <c r="BY3169">
        <v>185720.31</v>
      </c>
      <c r="CC3169" t="s">
        <v>125</v>
      </c>
      <c r="CD3169">
        <v>2091</v>
      </c>
      <c r="CE3169" t="s">
        <v>3076</v>
      </c>
      <c r="CF3169" s="3">
        <v>43788</v>
      </c>
      <c r="CI3169">
        <v>1</v>
      </c>
      <c r="CJ3169">
        <v>1</v>
      </c>
      <c r="CK3169" t="s">
        <v>379</v>
      </c>
      <c r="CL3169" t="s">
        <v>89</v>
      </c>
    </row>
    <row r="3170" spans="1:90">
      <c r="A3170" t="s">
        <v>72</v>
      </c>
      <c r="B3170" t="s">
        <v>73</v>
      </c>
      <c r="C3170" t="s">
        <v>74</v>
      </c>
      <c r="E3170" t="str">
        <f>"FES1162723471"</f>
        <v>FES1162723471</v>
      </c>
      <c r="F3170" s="3">
        <v>43784</v>
      </c>
      <c r="G3170">
        <v>202005</v>
      </c>
      <c r="H3170" t="s">
        <v>75</v>
      </c>
      <c r="I3170" t="s">
        <v>76</v>
      </c>
      <c r="J3170" t="s">
        <v>211</v>
      </c>
      <c r="K3170" t="s">
        <v>78</v>
      </c>
      <c r="L3170" t="s">
        <v>339</v>
      </c>
      <c r="M3170" t="s">
        <v>340</v>
      </c>
      <c r="N3170" t="s">
        <v>3085</v>
      </c>
      <c r="O3170" t="s">
        <v>282</v>
      </c>
      <c r="P3170" t="str">
        <f>"217071419                     "</f>
        <v xml:space="preserve">217071419 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14.75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6.9</v>
      </c>
      <c r="BJ3170">
        <v>2.9</v>
      </c>
      <c r="BK3170">
        <v>7</v>
      </c>
      <c r="BL3170" s="4">
        <v>91.71</v>
      </c>
      <c r="BM3170" s="4">
        <v>13.76</v>
      </c>
      <c r="BN3170" s="4">
        <v>105.47</v>
      </c>
      <c r="BO3170" s="4">
        <v>105.47</v>
      </c>
      <c r="BQ3170" t="s">
        <v>3086</v>
      </c>
      <c r="BR3170" t="s">
        <v>212</v>
      </c>
      <c r="BS3170" s="3">
        <v>43787</v>
      </c>
      <c r="BT3170" s="5">
        <v>0.49444444444444446</v>
      </c>
      <c r="BU3170" t="s">
        <v>3087</v>
      </c>
      <c r="BV3170" t="s">
        <v>86</v>
      </c>
      <c r="BY3170">
        <v>14705.09</v>
      </c>
      <c r="CA3170" t="s">
        <v>3088</v>
      </c>
      <c r="CC3170" t="s">
        <v>340</v>
      </c>
      <c r="CD3170">
        <v>157</v>
      </c>
      <c r="CE3170" t="s">
        <v>88</v>
      </c>
      <c r="CF3170" s="3">
        <v>43788</v>
      </c>
      <c r="CI3170">
        <v>0</v>
      </c>
      <c r="CJ3170">
        <v>0</v>
      </c>
      <c r="CK3170" t="s">
        <v>285</v>
      </c>
      <c r="CL3170" t="s">
        <v>89</v>
      </c>
    </row>
    <row r="3171" spans="1:90">
      <c r="A3171" t="s">
        <v>72</v>
      </c>
      <c r="B3171" t="s">
        <v>73</v>
      </c>
      <c r="C3171" t="s">
        <v>74</v>
      </c>
      <c r="E3171" t="str">
        <f>"FES1162723470"</f>
        <v>FES1162723470</v>
      </c>
      <c r="F3171" s="3">
        <v>43784</v>
      </c>
      <c r="G3171">
        <v>202005</v>
      </c>
      <c r="H3171" t="s">
        <v>75</v>
      </c>
      <c r="I3171" t="s">
        <v>76</v>
      </c>
      <c r="J3171" t="s">
        <v>211</v>
      </c>
      <c r="K3171" t="s">
        <v>78</v>
      </c>
      <c r="L3171" t="s">
        <v>280</v>
      </c>
      <c r="M3171" t="s">
        <v>102</v>
      </c>
      <c r="N3171" t="s">
        <v>867</v>
      </c>
      <c r="O3171" t="s">
        <v>282</v>
      </c>
      <c r="P3171" t="str">
        <f>"217071418                     "</f>
        <v xml:space="preserve">217071418 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14.75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5.4</v>
      </c>
      <c r="BJ3171">
        <v>6</v>
      </c>
      <c r="BK3171">
        <v>6</v>
      </c>
      <c r="BL3171" s="4">
        <v>91.71</v>
      </c>
      <c r="BM3171" s="4">
        <v>13.76</v>
      </c>
      <c r="BN3171" s="4">
        <v>105.47</v>
      </c>
      <c r="BO3171" s="4">
        <v>105.47</v>
      </c>
      <c r="BR3171" t="s">
        <v>212</v>
      </c>
      <c r="BS3171" s="3">
        <v>43787</v>
      </c>
      <c r="BT3171" s="5">
        <v>0.33680555555555558</v>
      </c>
      <c r="BU3171" t="s">
        <v>3067</v>
      </c>
      <c r="BV3171" t="s">
        <v>86</v>
      </c>
      <c r="BY3171">
        <v>29960.77</v>
      </c>
      <c r="CA3171" t="s">
        <v>343</v>
      </c>
      <c r="CC3171" t="s">
        <v>102</v>
      </c>
      <c r="CD3171">
        <v>1</v>
      </c>
      <c r="CE3171" t="s">
        <v>1598</v>
      </c>
      <c r="CF3171" s="3">
        <v>43788</v>
      </c>
      <c r="CI3171">
        <v>0</v>
      </c>
      <c r="CJ3171">
        <v>0</v>
      </c>
      <c r="CK3171" t="s">
        <v>285</v>
      </c>
      <c r="CL3171" t="s">
        <v>89</v>
      </c>
    </row>
    <row r="3172" spans="1:90">
      <c r="A3172" t="s">
        <v>72</v>
      </c>
      <c r="B3172" t="s">
        <v>73</v>
      </c>
      <c r="C3172" t="s">
        <v>74</v>
      </c>
      <c r="E3172" t="str">
        <f>"FES1162723562"</f>
        <v>FES1162723562</v>
      </c>
      <c r="F3172" s="3">
        <v>43787</v>
      </c>
      <c r="G3172">
        <v>202005</v>
      </c>
      <c r="H3172" t="s">
        <v>75</v>
      </c>
      <c r="I3172" t="s">
        <v>76</v>
      </c>
      <c r="J3172" t="s">
        <v>211</v>
      </c>
      <c r="K3172" t="s">
        <v>78</v>
      </c>
      <c r="L3172" t="s">
        <v>280</v>
      </c>
      <c r="M3172" t="s">
        <v>102</v>
      </c>
      <c r="N3172" t="s">
        <v>330</v>
      </c>
      <c r="O3172" t="s">
        <v>282</v>
      </c>
      <c r="P3172" t="str">
        <f>"2170717517                    "</f>
        <v xml:space="preserve">2170717517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14.75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7.3</v>
      </c>
      <c r="BJ3172">
        <v>4.5999999999999996</v>
      </c>
      <c r="BK3172">
        <v>8</v>
      </c>
      <c r="BL3172" s="4">
        <v>91.71</v>
      </c>
      <c r="BM3172" s="4">
        <v>13.76</v>
      </c>
      <c r="BN3172" s="4">
        <v>105.47</v>
      </c>
      <c r="BO3172" s="4">
        <v>105.47</v>
      </c>
      <c r="BQ3172" t="s">
        <v>121</v>
      </c>
      <c r="BR3172" t="s">
        <v>212</v>
      </c>
      <c r="BS3172" s="3">
        <v>43788</v>
      </c>
      <c r="BT3172" s="5">
        <v>0.3979166666666667</v>
      </c>
      <c r="BU3172" t="s">
        <v>2296</v>
      </c>
      <c r="BV3172" t="s">
        <v>86</v>
      </c>
      <c r="BY3172">
        <v>22776.46</v>
      </c>
      <c r="CC3172" t="s">
        <v>102</v>
      </c>
      <c r="CD3172">
        <v>200</v>
      </c>
      <c r="CE3172" t="s">
        <v>88</v>
      </c>
      <c r="CF3172" s="3">
        <v>43790</v>
      </c>
      <c r="CI3172">
        <v>0</v>
      </c>
      <c r="CJ3172">
        <v>0</v>
      </c>
      <c r="CK3172" t="s">
        <v>285</v>
      </c>
      <c r="CL3172" t="s">
        <v>89</v>
      </c>
    </row>
    <row r="3173" spans="1:90">
      <c r="A3173" t="s">
        <v>72</v>
      </c>
      <c r="B3173" t="s">
        <v>73</v>
      </c>
      <c r="C3173" t="s">
        <v>74</v>
      </c>
      <c r="E3173" t="str">
        <f>"FES1162723659"</f>
        <v>FES1162723659</v>
      </c>
      <c r="F3173" s="3">
        <v>43787</v>
      </c>
      <c r="G3173">
        <v>202005</v>
      </c>
      <c r="H3173" t="s">
        <v>75</v>
      </c>
      <c r="I3173" t="s">
        <v>76</v>
      </c>
      <c r="J3173" t="s">
        <v>211</v>
      </c>
      <c r="K3173" t="s">
        <v>78</v>
      </c>
      <c r="L3173" t="s">
        <v>280</v>
      </c>
      <c r="M3173" t="s">
        <v>102</v>
      </c>
      <c r="N3173" t="s">
        <v>471</v>
      </c>
      <c r="O3173" t="s">
        <v>282</v>
      </c>
      <c r="P3173" t="str">
        <f>"2170710181                    "</f>
        <v xml:space="preserve">2170710181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14.75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4.0999999999999996</v>
      </c>
      <c r="BJ3173">
        <v>3.3</v>
      </c>
      <c r="BK3173">
        <v>5</v>
      </c>
      <c r="BL3173" s="4">
        <v>91.71</v>
      </c>
      <c r="BM3173" s="4">
        <v>13.76</v>
      </c>
      <c r="BN3173" s="4">
        <v>105.47</v>
      </c>
      <c r="BO3173" s="4">
        <v>105.47</v>
      </c>
      <c r="BQ3173" t="s">
        <v>142</v>
      </c>
      <c r="BR3173" t="s">
        <v>212</v>
      </c>
      <c r="BS3173" s="3">
        <v>43788</v>
      </c>
      <c r="BT3173" s="5">
        <v>0.40972222222222227</v>
      </c>
      <c r="BU3173" t="s">
        <v>3089</v>
      </c>
      <c r="BV3173" t="s">
        <v>86</v>
      </c>
      <c r="BY3173">
        <v>16422.84</v>
      </c>
      <c r="CC3173" t="s">
        <v>102</v>
      </c>
      <c r="CD3173">
        <v>200</v>
      </c>
      <c r="CE3173" t="s">
        <v>88</v>
      </c>
      <c r="CF3173" s="3">
        <v>43790</v>
      </c>
      <c r="CI3173">
        <v>0</v>
      </c>
      <c r="CJ3173">
        <v>0</v>
      </c>
      <c r="CK3173" t="s">
        <v>285</v>
      </c>
      <c r="CL3173" t="s">
        <v>89</v>
      </c>
    </row>
    <row r="3174" spans="1:90">
      <c r="A3174" t="s">
        <v>72</v>
      </c>
      <c r="B3174" t="s">
        <v>73</v>
      </c>
      <c r="C3174" t="s">
        <v>74</v>
      </c>
      <c r="E3174" t="str">
        <f>"FES1162723569"</f>
        <v>FES1162723569</v>
      </c>
      <c r="F3174" s="3">
        <v>43787</v>
      </c>
      <c r="G3174">
        <v>202005</v>
      </c>
      <c r="H3174" t="s">
        <v>75</v>
      </c>
      <c r="I3174" t="s">
        <v>76</v>
      </c>
      <c r="J3174" t="s">
        <v>211</v>
      </c>
      <c r="K3174" t="s">
        <v>78</v>
      </c>
      <c r="L3174" t="s">
        <v>280</v>
      </c>
      <c r="M3174" t="s">
        <v>102</v>
      </c>
      <c r="N3174" t="s">
        <v>330</v>
      </c>
      <c r="O3174" t="s">
        <v>282</v>
      </c>
      <c r="P3174" t="str">
        <f>"2170717524                    "</f>
        <v xml:space="preserve">2170717524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14.75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6.5</v>
      </c>
      <c r="BJ3174">
        <v>3.1</v>
      </c>
      <c r="BK3174">
        <v>7</v>
      </c>
      <c r="BL3174" s="4">
        <v>91.71</v>
      </c>
      <c r="BM3174" s="4">
        <v>13.76</v>
      </c>
      <c r="BN3174" s="4">
        <v>105.47</v>
      </c>
      <c r="BO3174" s="4">
        <v>105.47</v>
      </c>
      <c r="BQ3174" t="s">
        <v>121</v>
      </c>
      <c r="BR3174" t="s">
        <v>212</v>
      </c>
      <c r="BS3174" s="3">
        <v>43788</v>
      </c>
      <c r="BT3174" s="5">
        <v>0.3979166666666667</v>
      </c>
      <c r="BU3174" t="s">
        <v>2296</v>
      </c>
      <c r="BV3174" t="s">
        <v>86</v>
      </c>
      <c r="BY3174">
        <v>15448.06</v>
      </c>
      <c r="CC3174" t="s">
        <v>102</v>
      </c>
      <c r="CD3174">
        <v>200</v>
      </c>
      <c r="CE3174" t="s">
        <v>88</v>
      </c>
      <c r="CF3174" s="3">
        <v>43790</v>
      </c>
      <c r="CI3174">
        <v>0</v>
      </c>
      <c r="CJ3174">
        <v>0</v>
      </c>
      <c r="CK3174" t="s">
        <v>285</v>
      </c>
      <c r="CL3174" t="s">
        <v>89</v>
      </c>
    </row>
    <row r="3175" spans="1:90">
      <c r="A3175" t="s">
        <v>72</v>
      </c>
      <c r="B3175" t="s">
        <v>73</v>
      </c>
      <c r="C3175" t="s">
        <v>74</v>
      </c>
      <c r="E3175" t="str">
        <f>"FES1162723535"</f>
        <v>FES1162723535</v>
      </c>
      <c r="F3175" s="3">
        <v>43787</v>
      </c>
      <c r="G3175">
        <v>202005</v>
      </c>
      <c r="H3175" t="s">
        <v>75</v>
      </c>
      <c r="I3175" t="s">
        <v>76</v>
      </c>
      <c r="J3175" t="s">
        <v>211</v>
      </c>
      <c r="K3175" t="s">
        <v>78</v>
      </c>
      <c r="L3175" t="s">
        <v>280</v>
      </c>
      <c r="M3175" t="s">
        <v>102</v>
      </c>
      <c r="N3175" t="s">
        <v>3090</v>
      </c>
      <c r="O3175" t="s">
        <v>282</v>
      </c>
      <c r="P3175" t="str">
        <f>"2170717484                    "</f>
        <v xml:space="preserve">2170717484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14.75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3.1</v>
      </c>
      <c r="BJ3175">
        <v>5.9</v>
      </c>
      <c r="BK3175">
        <v>6</v>
      </c>
      <c r="BL3175" s="4">
        <v>91.71</v>
      </c>
      <c r="BM3175" s="4">
        <v>13.76</v>
      </c>
      <c r="BN3175" s="4">
        <v>105.47</v>
      </c>
      <c r="BO3175" s="4">
        <v>105.47</v>
      </c>
      <c r="BQ3175" t="s">
        <v>121</v>
      </c>
      <c r="BR3175" t="s">
        <v>212</v>
      </c>
      <c r="BS3175" s="3">
        <v>43788</v>
      </c>
      <c r="BT3175" s="5">
        <v>0.41666666666666669</v>
      </c>
      <c r="BU3175" t="s">
        <v>3091</v>
      </c>
      <c r="BV3175" t="s">
        <v>86</v>
      </c>
      <c r="BY3175">
        <v>29486.25</v>
      </c>
      <c r="CC3175" t="s">
        <v>102</v>
      </c>
      <c r="CD3175">
        <v>200</v>
      </c>
      <c r="CE3175" t="s">
        <v>88</v>
      </c>
      <c r="CF3175" s="3">
        <v>43790</v>
      </c>
      <c r="CI3175">
        <v>0</v>
      </c>
      <c r="CJ3175">
        <v>0</v>
      </c>
      <c r="CK3175" t="s">
        <v>285</v>
      </c>
      <c r="CL3175" t="s">
        <v>89</v>
      </c>
    </row>
    <row r="3176" spans="1:90">
      <c r="A3176" t="s">
        <v>72</v>
      </c>
      <c r="B3176" t="s">
        <v>73</v>
      </c>
      <c r="C3176" t="s">
        <v>74</v>
      </c>
      <c r="E3176" t="str">
        <f>"FES1162723384"</f>
        <v>FES1162723384</v>
      </c>
      <c r="F3176" s="3">
        <v>43787</v>
      </c>
      <c r="G3176">
        <v>202005</v>
      </c>
      <c r="H3176" t="s">
        <v>75</v>
      </c>
      <c r="I3176" t="s">
        <v>76</v>
      </c>
      <c r="J3176" t="s">
        <v>211</v>
      </c>
      <c r="K3176" t="s">
        <v>78</v>
      </c>
      <c r="L3176" t="s">
        <v>280</v>
      </c>
      <c r="M3176" t="s">
        <v>102</v>
      </c>
      <c r="N3176" t="s">
        <v>497</v>
      </c>
      <c r="O3176" t="s">
        <v>282</v>
      </c>
      <c r="P3176" t="str">
        <f>"2170717329                    "</f>
        <v xml:space="preserve">2170717329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22.98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18.3</v>
      </c>
      <c r="BJ3176">
        <v>32.4</v>
      </c>
      <c r="BK3176">
        <v>33</v>
      </c>
      <c r="BL3176" s="4">
        <v>140.08000000000001</v>
      </c>
      <c r="BM3176" s="4">
        <v>21.01</v>
      </c>
      <c r="BN3176" s="4">
        <v>161.09</v>
      </c>
      <c r="BO3176" s="4">
        <v>161.09</v>
      </c>
      <c r="BQ3176" t="s">
        <v>121</v>
      </c>
      <c r="BR3176" t="s">
        <v>212</v>
      </c>
      <c r="BS3176" s="3">
        <v>43788</v>
      </c>
      <c r="BT3176" s="5">
        <v>0.41666666666666669</v>
      </c>
      <c r="BU3176" t="s">
        <v>1242</v>
      </c>
      <c r="BV3176" t="s">
        <v>86</v>
      </c>
      <c r="BY3176">
        <v>161963.71</v>
      </c>
      <c r="CA3176" t="s">
        <v>1285</v>
      </c>
      <c r="CC3176" t="s">
        <v>102</v>
      </c>
      <c r="CD3176">
        <v>200</v>
      </c>
      <c r="CE3176" t="s">
        <v>88</v>
      </c>
      <c r="CF3176" s="3">
        <v>43790</v>
      </c>
      <c r="CI3176">
        <v>0</v>
      </c>
      <c r="CJ3176">
        <v>0</v>
      </c>
      <c r="CK3176" t="s">
        <v>285</v>
      </c>
      <c r="CL3176" t="s">
        <v>89</v>
      </c>
    </row>
    <row r="3177" spans="1:90">
      <c r="A3177" t="s">
        <v>72</v>
      </c>
      <c r="B3177" t="s">
        <v>73</v>
      </c>
      <c r="C3177" t="s">
        <v>74</v>
      </c>
      <c r="E3177" t="str">
        <f>"FES1162723564"</f>
        <v>FES1162723564</v>
      </c>
      <c r="F3177" s="3">
        <v>43787</v>
      </c>
      <c r="G3177">
        <v>202005</v>
      </c>
      <c r="H3177" t="s">
        <v>75</v>
      </c>
      <c r="I3177" t="s">
        <v>76</v>
      </c>
      <c r="J3177" t="s">
        <v>211</v>
      </c>
      <c r="K3177" t="s">
        <v>78</v>
      </c>
      <c r="L3177" t="s">
        <v>546</v>
      </c>
      <c r="M3177" t="s">
        <v>547</v>
      </c>
      <c r="N3177" t="s">
        <v>979</v>
      </c>
      <c r="O3177" t="s">
        <v>282</v>
      </c>
      <c r="P3177" t="str">
        <f>"2170717520                    "</f>
        <v xml:space="preserve">2170717520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13.69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12.7</v>
      </c>
      <c r="BJ3177">
        <v>18.3</v>
      </c>
      <c r="BK3177">
        <v>19</v>
      </c>
      <c r="BL3177" s="4">
        <v>85.45</v>
      </c>
      <c r="BM3177" s="4">
        <v>12.82</v>
      </c>
      <c r="BN3177" s="4">
        <v>98.27</v>
      </c>
      <c r="BO3177" s="4">
        <v>98.27</v>
      </c>
      <c r="BQ3177" t="s">
        <v>121</v>
      </c>
      <c r="BR3177" t="s">
        <v>212</v>
      </c>
      <c r="BS3177" s="3">
        <v>43788</v>
      </c>
      <c r="BT3177" s="5">
        <v>0.35069444444444442</v>
      </c>
      <c r="BU3177" t="s">
        <v>3092</v>
      </c>
      <c r="BV3177" t="s">
        <v>86</v>
      </c>
      <c r="BY3177">
        <v>91479.61</v>
      </c>
      <c r="CC3177" t="s">
        <v>547</v>
      </c>
      <c r="CD3177">
        <v>1709</v>
      </c>
      <c r="CE3177" t="s">
        <v>88</v>
      </c>
      <c r="CF3177" s="3">
        <v>43790</v>
      </c>
      <c r="CI3177">
        <v>1</v>
      </c>
      <c r="CJ3177">
        <v>1</v>
      </c>
      <c r="CK3177" t="s">
        <v>379</v>
      </c>
      <c r="CL3177" t="s">
        <v>89</v>
      </c>
    </row>
    <row r="3178" spans="1:90">
      <c r="A3178" t="s">
        <v>72</v>
      </c>
      <c r="B3178" t="s">
        <v>73</v>
      </c>
      <c r="C3178" t="s">
        <v>74</v>
      </c>
      <c r="E3178" t="str">
        <f>"FES1162723544"</f>
        <v>FES1162723544</v>
      </c>
      <c r="F3178" s="3">
        <v>43787</v>
      </c>
      <c r="G3178">
        <v>202005</v>
      </c>
      <c r="H3178" t="s">
        <v>75</v>
      </c>
      <c r="I3178" t="s">
        <v>76</v>
      </c>
      <c r="J3178" t="s">
        <v>211</v>
      </c>
      <c r="K3178" t="s">
        <v>78</v>
      </c>
      <c r="L3178" t="s">
        <v>280</v>
      </c>
      <c r="M3178" t="s">
        <v>102</v>
      </c>
      <c r="N3178" t="s">
        <v>2454</v>
      </c>
      <c r="O3178" t="s">
        <v>282</v>
      </c>
      <c r="P3178" t="str">
        <f>"2170717496                    "</f>
        <v xml:space="preserve">2170717496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16.579999999999998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19</v>
      </c>
      <c r="BJ3178">
        <v>9.1999999999999993</v>
      </c>
      <c r="BK3178">
        <v>19</v>
      </c>
      <c r="BL3178" s="4">
        <v>102.46</v>
      </c>
      <c r="BM3178" s="4">
        <v>15.37</v>
      </c>
      <c r="BN3178" s="4">
        <v>117.83</v>
      </c>
      <c r="BO3178" s="4">
        <v>117.83</v>
      </c>
      <c r="BQ3178" t="s">
        <v>142</v>
      </c>
      <c r="BR3178" t="s">
        <v>212</v>
      </c>
      <c r="BS3178" s="3">
        <v>43788</v>
      </c>
      <c r="BT3178" s="5">
        <v>0.41666666666666669</v>
      </c>
      <c r="BU3178" t="s">
        <v>378</v>
      </c>
      <c r="BV3178" t="s">
        <v>86</v>
      </c>
      <c r="BY3178">
        <v>46015.199999999997</v>
      </c>
      <c r="CC3178" t="s">
        <v>102</v>
      </c>
      <c r="CD3178">
        <v>186</v>
      </c>
      <c r="CE3178" t="s">
        <v>88</v>
      </c>
      <c r="CF3178" s="3">
        <v>43790</v>
      </c>
      <c r="CI3178">
        <v>0</v>
      </c>
      <c r="CJ3178">
        <v>0</v>
      </c>
      <c r="CK3178" t="s">
        <v>285</v>
      </c>
      <c r="CL3178" t="s">
        <v>89</v>
      </c>
    </row>
    <row r="3179" spans="1:90">
      <c r="A3179" t="s">
        <v>72</v>
      </c>
      <c r="B3179" t="s">
        <v>73</v>
      </c>
      <c r="C3179" t="s">
        <v>74</v>
      </c>
      <c r="E3179" t="str">
        <f>"FES1162723634"</f>
        <v>FES1162723634</v>
      </c>
      <c r="F3179" s="3">
        <v>43787</v>
      </c>
      <c r="G3179">
        <v>202005</v>
      </c>
      <c r="H3179" t="s">
        <v>75</v>
      </c>
      <c r="I3179" t="s">
        <v>76</v>
      </c>
      <c r="J3179" t="s">
        <v>211</v>
      </c>
      <c r="K3179" t="s">
        <v>78</v>
      </c>
      <c r="L3179" t="s">
        <v>280</v>
      </c>
      <c r="M3179" t="s">
        <v>102</v>
      </c>
      <c r="N3179" t="s">
        <v>471</v>
      </c>
      <c r="O3179" t="s">
        <v>282</v>
      </c>
      <c r="P3179" t="str">
        <f>"2170714105                    "</f>
        <v xml:space="preserve">2170714105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14.75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5.7</v>
      </c>
      <c r="BJ3179">
        <v>3.3</v>
      </c>
      <c r="BK3179">
        <v>6</v>
      </c>
      <c r="BL3179" s="4">
        <v>91.71</v>
      </c>
      <c r="BM3179" s="4">
        <v>13.76</v>
      </c>
      <c r="BN3179" s="4">
        <v>105.47</v>
      </c>
      <c r="BO3179" s="4">
        <v>105.47</v>
      </c>
      <c r="BQ3179" t="s">
        <v>142</v>
      </c>
      <c r="BR3179" t="s">
        <v>212</v>
      </c>
      <c r="BS3179" s="3">
        <v>43788</v>
      </c>
      <c r="BT3179" s="5">
        <v>0.40972222222222227</v>
      </c>
      <c r="BU3179" t="s">
        <v>3089</v>
      </c>
      <c r="BV3179" t="s">
        <v>86</v>
      </c>
      <c r="BY3179">
        <v>16577.12</v>
      </c>
      <c r="CC3179" t="s">
        <v>102</v>
      </c>
      <c r="CD3179">
        <v>200</v>
      </c>
      <c r="CE3179" t="s">
        <v>88</v>
      </c>
      <c r="CF3179" s="3">
        <v>43790</v>
      </c>
      <c r="CI3179">
        <v>0</v>
      </c>
      <c r="CJ3179">
        <v>0</v>
      </c>
      <c r="CK3179" t="s">
        <v>285</v>
      </c>
      <c r="CL3179" t="s">
        <v>89</v>
      </c>
    </row>
    <row r="3180" spans="1:90">
      <c r="A3180" t="s">
        <v>72</v>
      </c>
      <c r="B3180" t="s">
        <v>73</v>
      </c>
      <c r="C3180" t="s">
        <v>74</v>
      </c>
      <c r="E3180" t="str">
        <f>"FES1162724909"</f>
        <v>FES1162724909</v>
      </c>
      <c r="F3180" s="3">
        <v>43794</v>
      </c>
      <c r="G3180">
        <v>202005</v>
      </c>
      <c r="H3180" t="s">
        <v>75</v>
      </c>
      <c r="I3180" t="s">
        <v>76</v>
      </c>
      <c r="J3180" t="s">
        <v>77</v>
      </c>
      <c r="K3180" t="s">
        <v>78</v>
      </c>
      <c r="L3180" t="s">
        <v>999</v>
      </c>
      <c r="M3180" t="s">
        <v>91</v>
      </c>
      <c r="N3180" t="s">
        <v>3093</v>
      </c>
      <c r="O3180" t="s">
        <v>282</v>
      </c>
      <c r="P3180" t="str">
        <f>"2170718591                    "</f>
        <v xml:space="preserve">2170718591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21.33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19.2</v>
      </c>
      <c r="BJ3180">
        <v>8.1999999999999993</v>
      </c>
      <c r="BK3180">
        <v>20</v>
      </c>
      <c r="BL3180" s="4">
        <v>130.38999999999999</v>
      </c>
      <c r="BM3180" s="4">
        <v>19.559999999999999</v>
      </c>
      <c r="BN3180" s="4">
        <v>149.94999999999999</v>
      </c>
      <c r="BO3180" s="4">
        <v>149.94999999999999</v>
      </c>
      <c r="BQ3180" t="s">
        <v>3094</v>
      </c>
      <c r="BR3180" t="s">
        <v>84</v>
      </c>
      <c r="BS3180" s="3">
        <v>43796</v>
      </c>
      <c r="BT3180" s="5">
        <v>0.41180555555555554</v>
      </c>
      <c r="BU3180" t="s">
        <v>3095</v>
      </c>
      <c r="BV3180" t="s">
        <v>86</v>
      </c>
      <c r="BY3180">
        <v>41041.480000000003</v>
      </c>
      <c r="CA3180" t="s">
        <v>3096</v>
      </c>
      <c r="CC3180" t="s">
        <v>91</v>
      </c>
      <c r="CD3180">
        <v>7493</v>
      </c>
      <c r="CE3180" t="s">
        <v>88</v>
      </c>
      <c r="CF3180" s="3">
        <v>43797</v>
      </c>
      <c r="CI3180">
        <v>2</v>
      </c>
      <c r="CJ3180">
        <v>2</v>
      </c>
      <c r="CK3180" t="s">
        <v>1002</v>
      </c>
      <c r="CL3180" t="s">
        <v>89</v>
      </c>
    </row>
    <row r="3181" spans="1:90">
      <c r="A3181" t="s">
        <v>72</v>
      </c>
      <c r="B3181" t="s">
        <v>73</v>
      </c>
      <c r="C3181" t="s">
        <v>74</v>
      </c>
      <c r="E3181" t="str">
        <f>"FES1162723716"</f>
        <v>FES1162723716</v>
      </c>
      <c r="F3181" s="3">
        <v>43788</v>
      </c>
      <c r="G3181">
        <v>202005</v>
      </c>
      <c r="H3181" t="s">
        <v>75</v>
      </c>
      <c r="I3181" t="s">
        <v>76</v>
      </c>
      <c r="J3181" t="s">
        <v>211</v>
      </c>
      <c r="K3181" t="s">
        <v>78</v>
      </c>
      <c r="L3181" t="s">
        <v>339</v>
      </c>
      <c r="M3181" t="s">
        <v>340</v>
      </c>
      <c r="N3181" t="s">
        <v>560</v>
      </c>
      <c r="O3181" t="s">
        <v>282</v>
      </c>
      <c r="P3181" t="str">
        <f>"2170717682                    "</f>
        <v xml:space="preserve">2170717682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14.75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2.5</v>
      </c>
      <c r="BJ3181">
        <v>4.0999999999999996</v>
      </c>
      <c r="BK3181">
        <v>4</v>
      </c>
      <c r="BL3181" s="4">
        <v>91.71</v>
      </c>
      <c r="BM3181" s="4">
        <v>13.76</v>
      </c>
      <c r="BN3181" s="4">
        <v>105.47</v>
      </c>
      <c r="BO3181" s="4">
        <v>105.47</v>
      </c>
      <c r="BQ3181" t="s">
        <v>121</v>
      </c>
      <c r="BR3181" t="s">
        <v>212</v>
      </c>
      <c r="BS3181" s="3">
        <v>43789</v>
      </c>
      <c r="BT3181" s="5">
        <v>0.39930555555555558</v>
      </c>
      <c r="BU3181" t="s">
        <v>3071</v>
      </c>
      <c r="BV3181" t="s">
        <v>86</v>
      </c>
      <c r="BY3181">
        <v>20487.71</v>
      </c>
      <c r="CA3181" t="s">
        <v>562</v>
      </c>
      <c r="CC3181" t="s">
        <v>340</v>
      </c>
      <c r="CD3181">
        <v>157</v>
      </c>
      <c r="CE3181" t="s">
        <v>88</v>
      </c>
      <c r="CF3181" s="3">
        <v>43791</v>
      </c>
      <c r="CI3181">
        <v>0</v>
      </c>
      <c r="CJ3181">
        <v>0</v>
      </c>
      <c r="CK3181" t="s">
        <v>285</v>
      </c>
      <c r="CL3181" t="s">
        <v>89</v>
      </c>
    </row>
    <row r="3182" spans="1:90">
      <c r="A3182" t="s">
        <v>72</v>
      </c>
      <c r="B3182" t="s">
        <v>73</v>
      </c>
      <c r="C3182" t="s">
        <v>74</v>
      </c>
      <c r="E3182" t="str">
        <f>"FES1162723703"</f>
        <v>FES1162723703</v>
      </c>
      <c r="F3182" s="3">
        <v>43788</v>
      </c>
      <c r="G3182">
        <v>202005</v>
      </c>
      <c r="H3182" t="s">
        <v>75</v>
      </c>
      <c r="I3182" t="s">
        <v>76</v>
      </c>
      <c r="J3182" t="s">
        <v>211</v>
      </c>
      <c r="K3182" t="s">
        <v>78</v>
      </c>
      <c r="L3182" t="s">
        <v>339</v>
      </c>
      <c r="M3182" t="s">
        <v>340</v>
      </c>
      <c r="N3182" t="s">
        <v>560</v>
      </c>
      <c r="O3182" t="s">
        <v>282</v>
      </c>
      <c r="P3182" t="str">
        <f>"2170717664                    "</f>
        <v xml:space="preserve">2170717664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15.67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8.6</v>
      </c>
      <c r="BJ3182">
        <v>17</v>
      </c>
      <c r="BK3182">
        <v>17</v>
      </c>
      <c r="BL3182" s="4">
        <v>97.09</v>
      </c>
      <c r="BM3182" s="4">
        <v>14.56</v>
      </c>
      <c r="BN3182" s="4">
        <v>111.65</v>
      </c>
      <c r="BO3182" s="4">
        <v>111.65</v>
      </c>
      <c r="BQ3182" t="s">
        <v>121</v>
      </c>
      <c r="BR3182" t="s">
        <v>212</v>
      </c>
      <c r="BS3182" s="3">
        <v>43789</v>
      </c>
      <c r="BT3182" s="5">
        <v>0.39930555555555558</v>
      </c>
      <c r="BU3182" t="s">
        <v>3071</v>
      </c>
      <c r="BV3182" t="s">
        <v>86</v>
      </c>
      <c r="BY3182">
        <v>84783.91</v>
      </c>
      <c r="CA3182" t="s">
        <v>562</v>
      </c>
      <c r="CC3182" t="s">
        <v>340</v>
      </c>
      <c r="CD3182">
        <v>157</v>
      </c>
      <c r="CE3182" t="s">
        <v>88</v>
      </c>
      <c r="CF3182" s="3">
        <v>43791</v>
      </c>
      <c r="CI3182">
        <v>0</v>
      </c>
      <c r="CJ3182">
        <v>0</v>
      </c>
      <c r="CK3182" t="s">
        <v>285</v>
      </c>
      <c r="CL3182" t="s">
        <v>89</v>
      </c>
    </row>
    <row r="3183" spans="1:90">
      <c r="A3183" t="s">
        <v>72</v>
      </c>
      <c r="B3183" t="s">
        <v>73</v>
      </c>
      <c r="C3183" t="s">
        <v>74</v>
      </c>
      <c r="E3183" t="str">
        <f>"FES1162723767"</f>
        <v>FES1162723767</v>
      </c>
      <c r="F3183" s="3">
        <v>43788</v>
      </c>
      <c r="G3183">
        <v>202005</v>
      </c>
      <c r="H3183" t="s">
        <v>75</v>
      </c>
      <c r="I3183" t="s">
        <v>76</v>
      </c>
      <c r="J3183" t="s">
        <v>211</v>
      </c>
      <c r="K3183" t="s">
        <v>78</v>
      </c>
      <c r="L3183" t="s">
        <v>339</v>
      </c>
      <c r="M3183" t="s">
        <v>340</v>
      </c>
      <c r="N3183" t="s">
        <v>2316</v>
      </c>
      <c r="O3183" t="s">
        <v>282</v>
      </c>
      <c r="P3183" t="str">
        <f>"2170717418                    "</f>
        <v xml:space="preserve">2170717418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14.75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7.6</v>
      </c>
      <c r="BJ3183">
        <v>3</v>
      </c>
      <c r="BK3183">
        <v>8</v>
      </c>
      <c r="BL3183" s="4">
        <v>91.71</v>
      </c>
      <c r="BM3183" s="4">
        <v>13.76</v>
      </c>
      <c r="BN3183" s="4">
        <v>105.47</v>
      </c>
      <c r="BO3183" s="4">
        <v>105.47</v>
      </c>
      <c r="BQ3183" t="s">
        <v>142</v>
      </c>
      <c r="BR3183" t="s">
        <v>212</v>
      </c>
      <c r="BS3183" s="3">
        <v>43789</v>
      </c>
      <c r="BT3183" s="5">
        <v>0.34375</v>
      </c>
      <c r="BU3183" t="s">
        <v>2500</v>
      </c>
      <c r="BV3183" t="s">
        <v>86</v>
      </c>
      <c r="BY3183">
        <v>14984.16</v>
      </c>
      <c r="CA3183" t="s">
        <v>343</v>
      </c>
      <c r="CC3183" t="s">
        <v>340</v>
      </c>
      <c r="CD3183">
        <v>157</v>
      </c>
      <c r="CE3183" t="s">
        <v>88</v>
      </c>
      <c r="CF3183" s="3">
        <v>43791</v>
      </c>
      <c r="CI3183">
        <v>0</v>
      </c>
      <c r="CJ3183">
        <v>0</v>
      </c>
      <c r="CK3183" t="s">
        <v>285</v>
      </c>
      <c r="CL3183" t="s">
        <v>89</v>
      </c>
    </row>
    <row r="3184" spans="1:90">
      <c r="A3184" t="s">
        <v>72</v>
      </c>
      <c r="B3184" t="s">
        <v>73</v>
      </c>
      <c r="C3184" t="s">
        <v>74</v>
      </c>
      <c r="E3184" t="str">
        <f>"FES1162723798"</f>
        <v>FES1162723798</v>
      </c>
      <c r="F3184" s="3">
        <v>43788</v>
      </c>
      <c r="G3184">
        <v>202005</v>
      </c>
      <c r="H3184" t="s">
        <v>75</v>
      </c>
      <c r="I3184" t="s">
        <v>76</v>
      </c>
      <c r="J3184" t="s">
        <v>211</v>
      </c>
      <c r="K3184" t="s">
        <v>78</v>
      </c>
      <c r="L3184" t="s">
        <v>280</v>
      </c>
      <c r="M3184" t="s">
        <v>102</v>
      </c>
      <c r="N3184" t="s">
        <v>181</v>
      </c>
      <c r="O3184" t="s">
        <v>282</v>
      </c>
      <c r="P3184" t="str">
        <f>"2170717773                    "</f>
        <v xml:space="preserve">2170717773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14.75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5.5</v>
      </c>
      <c r="BJ3184">
        <v>10.1</v>
      </c>
      <c r="BK3184">
        <v>10</v>
      </c>
      <c r="BL3184" s="4">
        <v>91.71</v>
      </c>
      <c r="BM3184" s="4">
        <v>13.76</v>
      </c>
      <c r="BN3184" s="4">
        <v>105.47</v>
      </c>
      <c r="BO3184" s="4">
        <v>105.47</v>
      </c>
      <c r="BQ3184" t="s">
        <v>121</v>
      </c>
      <c r="BR3184" t="s">
        <v>212</v>
      </c>
      <c r="BS3184" s="3">
        <v>43789</v>
      </c>
      <c r="BT3184" s="5">
        <v>0.38541666666666669</v>
      </c>
      <c r="BU3184" t="s">
        <v>2407</v>
      </c>
      <c r="BV3184" t="s">
        <v>86</v>
      </c>
      <c r="BY3184">
        <v>50347.6</v>
      </c>
      <c r="CC3184" t="s">
        <v>102</v>
      </c>
      <c r="CD3184">
        <v>200</v>
      </c>
      <c r="CE3184" t="s">
        <v>88</v>
      </c>
      <c r="CF3184" s="3">
        <v>43791</v>
      </c>
      <c r="CI3184">
        <v>0</v>
      </c>
      <c r="CJ3184">
        <v>0</v>
      </c>
      <c r="CK3184" t="s">
        <v>285</v>
      </c>
      <c r="CL3184" t="s">
        <v>89</v>
      </c>
    </row>
    <row r="3185" spans="1:90">
      <c r="A3185" t="s">
        <v>72</v>
      </c>
      <c r="B3185" t="s">
        <v>73</v>
      </c>
      <c r="C3185" t="s">
        <v>74</v>
      </c>
      <c r="E3185" t="str">
        <f>"FES1162723759"</f>
        <v>FES1162723759</v>
      </c>
      <c r="F3185" s="3">
        <v>43788</v>
      </c>
      <c r="G3185">
        <v>202005</v>
      </c>
      <c r="H3185" t="s">
        <v>75</v>
      </c>
      <c r="I3185" t="s">
        <v>76</v>
      </c>
      <c r="J3185" t="s">
        <v>211</v>
      </c>
      <c r="K3185" t="s">
        <v>78</v>
      </c>
      <c r="L3185" t="s">
        <v>825</v>
      </c>
      <c r="M3185" t="s">
        <v>826</v>
      </c>
      <c r="N3185" t="s">
        <v>2862</v>
      </c>
      <c r="O3185" t="s">
        <v>282</v>
      </c>
      <c r="P3185" t="str">
        <f>"2170717715                    "</f>
        <v xml:space="preserve">2170717715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12.07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13.2</v>
      </c>
      <c r="BJ3185">
        <v>8.1999999999999993</v>
      </c>
      <c r="BK3185">
        <v>14</v>
      </c>
      <c r="BL3185" s="4">
        <v>75.95</v>
      </c>
      <c r="BM3185" s="4">
        <v>11.39</v>
      </c>
      <c r="BN3185" s="4">
        <v>87.34</v>
      </c>
      <c r="BO3185" s="4">
        <v>87.34</v>
      </c>
      <c r="BQ3185" t="s">
        <v>121</v>
      </c>
      <c r="BR3185" t="s">
        <v>212</v>
      </c>
      <c r="BS3185" s="3">
        <v>43789</v>
      </c>
      <c r="BT3185" s="5">
        <v>0.42291666666666666</v>
      </c>
      <c r="BU3185" t="s">
        <v>2863</v>
      </c>
      <c r="BV3185" t="s">
        <v>86</v>
      </c>
      <c r="BY3185">
        <v>40776.9</v>
      </c>
      <c r="CC3185" t="s">
        <v>826</v>
      </c>
      <c r="CD3185">
        <v>1759</v>
      </c>
      <c r="CE3185" t="s">
        <v>88</v>
      </c>
      <c r="CF3185" s="3">
        <v>43790</v>
      </c>
      <c r="CI3185">
        <v>1</v>
      </c>
      <c r="CJ3185">
        <v>1</v>
      </c>
      <c r="CK3185" t="s">
        <v>379</v>
      </c>
      <c r="CL3185" t="s">
        <v>89</v>
      </c>
    </row>
    <row r="3186" spans="1:90">
      <c r="A3186" t="s">
        <v>72</v>
      </c>
      <c r="B3186" t="s">
        <v>73</v>
      </c>
      <c r="C3186" t="s">
        <v>74</v>
      </c>
      <c r="E3186" t="str">
        <f>"FES1162723812"</f>
        <v>FES1162723812</v>
      </c>
      <c r="F3186" s="3">
        <v>43788</v>
      </c>
      <c r="G3186">
        <v>202005</v>
      </c>
      <c r="H3186" t="s">
        <v>75</v>
      </c>
      <c r="I3186" t="s">
        <v>76</v>
      </c>
      <c r="J3186" t="s">
        <v>211</v>
      </c>
      <c r="K3186" t="s">
        <v>78</v>
      </c>
      <c r="L3186" t="s">
        <v>339</v>
      </c>
      <c r="M3186" t="s">
        <v>340</v>
      </c>
      <c r="N3186" t="s">
        <v>2194</v>
      </c>
      <c r="O3186" t="s">
        <v>282</v>
      </c>
      <c r="P3186" t="str">
        <f>"2170706447                    "</f>
        <v xml:space="preserve">2170706447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14.75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9</v>
      </c>
      <c r="BJ3186">
        <v>5</v>
      </c>
      <c r="BK3186">
        <v>9</v>
      </c>
      <c r="BL3186" s="4">
        <v>91.71</v>
      </c>
      <c r="BM3186" s="4">
        <v>13.76</v>
      </c>
      <c r="BN3186" s="4">
        <v>105.47</v>
      </c>
      <c r="BO3186" s="4">
        <v>105.47</v>
      </c>
      <c r="BQ3186" t="s">
        <v>121</v>
      </c>
      <c r="BR3186" t="s">
        <v>212</v>
      </c>
      <c r="BS3186" s="3">
        <v>43789</v>
      </c>
      <c r="BT3186" s="5">
        <v>0.43055555555555558</v>
      </c>
      <c r="BU3186" t="s">
        <v>2033</v>
      </c>
      <c r="BV3186" t="s">
        <v>86</v>
      </c>
      <c r="BY3186">
        <v>25167.57</v>
      </c>
      <c r="CA3186" t="s">
        <v>3088</v>
      </c>
      <c r="CC3186" t="s">
        <v>340</v>
      </c>
      <c r="CD3186">
        <v>46</v>
      </c>
      <c r="CE3186" t="s">
        <v>88</v>
      </c>
      <c r="CF3186" s="3">
        <v>43791</v>
      </c>
      <c r="CI3186">
        <v>0</v>
      </c>
      <c r="CJ3186">
        <v>0</v>
      </c>
      <c r="CK3186" t="s">
        <v>285</v>
      </c>
      <c r="CL3186" t="s">
        <v>89</v>
      </c>
    </row>
    <row r="3187" spans="1:90">
      <c r="A3187" t="s">
        <v>72</v>
      </c>
      <c r="B3187" t="s">
        <v>73</v>
      </c>
      <c r="C3187" t="s">
        <v>74</v>
      </c>
      <c r="E3187" t="str">
        <f>"FES1162724799"</f>
        <v>FES1162724799</v>
      </c>
      <c r="F3187" s="3">
        <v>43794</v>
      </c>
      <c r="G3187">
        <v>202005</v>
      </c>
      <c r="H3187" t="s">
        <v>75</v>
      </c>
      <c r="I3187" t="s">
        <v>76</v>
      </c>
      <c r="J3187" t="s">
        <v>77</v>
      </c>
      <c r="K3187" t="s">
        <v>78</v>
      </c>
      <c r="L3187" t="s">
        <v>999</v>
      </c>
      <c r="M3187" t="s">
        <v>91</v>
      </c>
      <c r="N3187" t="s">
        <v>1617</v>
      </c>
      <c r="O3187" t="s">
        <v>282</v>
      </c>
      <c r="P3187" t="str">
        <f>"2170716521                    "</f>
        <v xml:space="preserve">2170716521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29.61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2</v>
      </c>
      <c r="BI3187">
        <v>30.2</v>
      </c>
      <c r="BJ3187">
        <v>18.899999999999999</v>
      </c>
      <c r="BK3187">
        <v>31</v>
      </c>
      <c r="BL3187" s="4">
        <v>179.04</v>
      </c>
      <c r="BM3187" s="4">
        <v>26.86</v>
      </c>
      <c r="BN3187" s="4">
        <v>205.9</v>
      </c>
      <c r="BO3187" s="4">
        <v>205.9</v>
      </c>
      <c r="BQ3187" t="s">
        <v>187</v>
      </c>
      <c r="BR3187" t="s">
        <v>84</v>
      </c>
      <c r="BS3187" s="3">
        <v>43796</v>
      </c>
      <c r="BT3187" s="5">
        <v>0.41666666666666669</v>
      </c>
      <c r="BU3187" t="s">
        <v>3097</v>
      </c>
      <c r="BV3187" t="s">
        <v>86</v>
      </c>
      <c r="BY3187">
        <v>94334.82</v>
      </c>
      <c r="CC3187" t="s">
        <v>91</v>
      </c>
      <c r="CD3187">
        <v>7580</v>
      </c>
      <c r="CE3187" t="s">
        <v>1892</v>
      </c>
      <c r="CF3187" s="3">
        <v>43797</v>
      </c>
      <c r="CI3187">
        <v>2</v>
      </c>
      <c r="CJ3187">
        <v>2</v>
      </c>
      <c r="CK3187" t="s">
        <v>1002</v>
      </c>
      <c r="CL3187" t="s">
        <v>89</v>
      </c>
    </row>
    <row r="3188" spans="1:90">
      <c r="A3188" t="s">
        <v>72</v>
      </c>
      <c r="B3188" t="s">
        <v>73</v>
      </c>
      <c r="C3188" t="s">
        <v>74</v>
      </c>
      <c r="E3188" t="str">
        <f>"FES1162721486"</f>
        <v>FES1162721486</v>
      </c>
      <c r="F3188" s="3">
        <v>43775</v>
      </c>
      <c r="G3188">
        <v>202005</v>
      </c>
      <c r="H3188" t="s">
        <v>75</v>
      </c>
      <c r="I3188" t="s">
        <v>76</v>
      </c>
      <c r="J3188" t="s">
        <v>211</v>
      </c>
      <c r="K3188" t="s">
        <v>78</v>
      </c>
      <c r="L3188" t="s">
        <v>292</v>
      </c>
      <c r="M3188" t="s">
        <v>293</v>
      </c>
      <c r="N3188" t="s">
        <v>294</v>
      </c>
      <c r="O3188" t="s">
        <v>282</v>
      </c>
      <c r="P3188" t="str">
        <f>"2170713868                    "</f>
        <v xml:space="preserve">2170713868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16.09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10.5</v>
      </c>
      <c r="BJ3188">
        <v>8.1999999999999993</v>
      </c>
      <c r="BK3188">
        <v>11</v>
      </c>
      <c r="BL3188" s="4">
        <v>99.59</v>
      </c>
      <c r="BM3188" s="4">
        <v>14.94</v>
      </c>
      <c r="BN3188" s="4">
        <v>114.53</v>
      </c>
      <c r="BO3188" s="4">
        <v>114.53</v>
      </c>
      <c r="BQ3188" t="s">
        <v>121</v>
      </c>
      <c r="BR3188" t="s">
        <v>212</v>
      </c>
      <c r="BS3188" s="3">
        <v>43776</v>
      </c>
      <c r="BT3188" s="5">
        <v>0.38541666666666669</v>
      </c>
      <c r="BU3188" t="s">
        <v>1259</v>
      </c>
      <c r="BV3188" t="s">
        <v>86</v>
      </c>
      <c r="BY3188">
        <v>40810.58</v>
      </c>
      <c r="CC3188" t="s">
        <v>293</v>
      </c>
      <c r="CD3188">
        <v>1947</v>
      </c>
      <c r="CE3188" t="s">
        <v>88</v>
      </c>
      <c r="CF3188" s="3">
        <v>43777</v>
      </c>
      <c r="CI3188">
        <v>1</v>
      </c>
      <c r="CJ3188">
        <v>1</v>
      </c>
      <c r="CK3188" t="s">
        <v>289</v>
      </c>
      <c r="CL3188" t="s">
        <v>89</v>
      </c>
    </row>
    <row r="3189" spans="1:90">
      <c r="A3189" t="s">
        <v>72</v>
      </c>
      <c r="B3189" t="s">
        <v>73</v>
      </c>
      <c r="C3189" t="s">
        <v>74</v>
      </c>
      <c r="E3189" t="str">
        <f>"FES1162722781"</f>
        <v>FES1162722781</v>
      </c>
      <c r="F3189" s="3">
        <v>43782</v>
      </c>
      <c r="G3189">
        <v>202005</v>
      </c>
      <c r="H3189" t="s">
        <v>75</v>
      </c>
      <c r="I3189" t="s">
        <v>76</v>
      </c>
      <c r="J3189" t="s">
        <v>211</v>
      </c>
      <c r="K3189" t="s">
        <v>78</v>
      </c>
      <c r="L3189" t="s">
        <v>280</v>
      </c>
      <c r="M3189" t="s">
        <v>102</v>
      </c>
      <c r="N3189" t="s">
        <v>1390</v>
      </c>
      <c r="O3189" t="s">
        <v>282</v>
      </c>
      <c r="P3189" t="str">
        <f>"2170716906                    "</f>
        <v xml:space="preserve">2170716906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14.75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4</v>
      </c>
      <c r="BJ3189">
        <v>1.9</v>
      </c>
      <c r="BK3189">
        <v>4</v>
      </c>
      <c r="BL3189" s="4">
        <v>91.71</v>
      </c>
      <c r="BM3189" s="4">
        <v>13.76</v>
      </c>
      <c r="BN3189" s="4">
        <v>105.47</v>
      </c>
      <c r="BO3189" s="4">
        <v>105.47</v>
      </c>
      <c r="BQ3189" t="s">
        <v>121</v>
      </c>
      <c r="BR3189" t="s">
        <v>212</v>
      </c>
      <c r="BS3189" s="3">
        <v>43783</v>
      </c>
      <c r="BT3189" s="5">
        <v>0.41666666666666669</v>
      </c>
      <c r="BU3189" t="s">
        <v>3098</v>
      </c>
      <c r="BV3189" t="s">
        <v>86</v>
      </c>
      <c r="BY3189">
        <v>9710.2800000000007</v>
      </c>
      <c r="CA3189" t="s">
        <v>183</v>
      </c>
      <c r="CC3189" t="s">
        <v>102</v>
      </c>
      <c r="CD3189">
        <v>200</v>
      </c>
      <c r="CE3189" t="s">
        <v>88</v>
      </c>
      <c r="CF3189" s="3">
        <v>43784</v>
      </c>
      <c r="CI3189">
        <v>0</v>
      </c>
      <c r="CJ3189">
        <v>0</v>
      </c>
      <c r="CK3189" t="s">
        <v>285</v>
      </c>
      <c r="CL3189" t="s">
        <v>89</v>
      </c>
    </row>
    <row r="3190" spans="1:90">
      <c r="A3190" t="s">
        <v>72</v>
      </c>
      <c r="B3190" t="s">
        <v>73</v>
      </c>
      <c r="C3190" t="s">
        <v>74</v>
      </c>
      <c r="E3190" t="str">
        <f>"FES1162722708"</f>
        <v>FES1162722708</v>
      </c>
      <c r="F3190" s="3">
        <v>43782</v>
      </c>
      <c r="G3190">
        <v>202005</v>
      </c>
      <c r="H3190" t="s">
        <v>75</v>
      </c>
      <c r="I3190" t="s">
        <v>76</v>
      </c>
      <c r="J3190" t="s">
        <v>211</v>
      </c>
      <c r="K3190" t="s">
        <v>78</v>
      </c>
      <c r="L3190" t="s">
        <v>405</v>
      </c>
      <c r="M3190" t="s">
        <v>406</v>
      </c>
      <c r="N3190" t="s">
        <v>934</v>
      </c>
      <c r="O3190" t="s">
        <v>282</v>
      </c>
      <c r="P3190" t="str">
        <f>"2170714404                    "</f>
        <v xml:space="preserve">2170714404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17.86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17.3</v>
      </c>
      <c r="BJ3190">
        <v>8.1999999999999993</v>
      </c>
      <c r="BK3190">
        <v>18</v>
      </c>
      <c r="BL3190" s="4">
        <v>109.97</v>
      </c>
      <c r="BM3190" s="4">
        <v>16.5</v>
      </c>
      <c r="BN3190" s="4">
        <v>126.47</v>
      </c>
      <c r="BO3190" s="4">
        <v>126.47</v>
      </c>
      <c r="BQ3190" t="s">
        <v>121</v>
      </c>
      <c r="BR3190" t="s">
        <v>212</v>
      </c>
      <c r="BS3190" s="3">
        <v>43783</v>
      </c>
      <c r="BT3190" s="5">
        <v>0.43194444444444446</v>
      </c>
      <c r="BU3190" t="s">
        <v>1981</v>
      </c>
      <c r="BV3190" t="s">
        <v>86</v>
      </c>
      <c r="BY3190">
        <v>41213.449999999997</v>
      </c>
      <c r="CA3190" t="s">
        <v>1501</v>
      </c>
      <c r="CC3190" t="s">
        <v>406</v>
      </c>
      <c r="CD3190">
        <v>250</v>
      </c>
      <c r="CE3190" t="s">
        <v>88</v>
      </c>
      <c r="CF3190" s="3">
        <v>43787</v>
      </c>
      <c r="CI3190">
        <v>0</v>
      </c>
      <c r="CJ3190">
        <v>0</v>
      </c>
      <c r="CK3190" t="s">
        <v>289</v>
      </c>
      <c r="CL3190" t="s">
        <v>89</v>
      </c>
    </row>
    <row r="3191" spans="1:90">
      <c r="A3191" t="s">
        <v>72</v>
      </c>
      <c r="B3191" t="s">
        <v>73</v>
      </c>
      <c r="C3191" t="s">
        <v>74</v>
      </c>
      <c r="E3191" t="str">
        <f>"FES1162722587"</f>
        <v>FES1162722587</v>
      </c>
      <c r="F3191" s="3">
        <v>43781</v>
      </c>
      <c r="G3191">
        <v>202005</v>
      </c>
      <c r="H3191" t="s">
        <v>75</v>
      </c>
      <c r="I3191" t="s">
        <v>76</v>
      </c>
      <c r="J3191" t="s">
        <v>211</v>
      </c>
      <c r="K3191" t="s">
        <v>78</v>
      </c>
      <c r="L3191" t="s">
        <v>133</v>
      </c>
      <c r="M3191" t="s">
        <v>134</v>
      </c>
      <c r="N3191" t="s">
        <v>135</v>
      </c>
      <c r="O3191" t="s">
        <v>282</v>
      </c>
      <c r="P3191" t="str">
        <f>"2170716830                    "</f>
        <v xml:space="preserve">2170716830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26.6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14.6</v>
      </c>
      <c r="BJ3191">
        <v>26.3</v>
      </c>
      <c r="BK3191">
        <v>27</v>
      </c>
      <c r="BL3191" s="4">
        <v>161.35</v>
      </c>
      <c r="BM3191" s="4">
        <v>24.2</v>
      </c>
      <c r="BN3191" s="4">
        <v>185.55</v>
      </c>
      <c r="BO3191" s="4">
        <v>185.55</v>
      </c>
      <c r="BQ3191" t="s">
        <v>121</v>
      </c>
      <c r="BR3191" t="s">
        <v>212</v>
      </c>
      <c r="BS3191" s="3">
        <v>43782</v>
      </c>
      <c r="BT3191" s="5">
        <v>0.39583333333333331</v>
      </c>
      <c r="BU3191" t="s">
        <v>2305</v>
      </c>
      <c r="BV3191" t="s">
        <v>86</v>
      </c>
      <c r="BY3191">
        <v>131394.12</v>
      </c>
      <c r="CA3191" t="s">
        <v>1799</v>
      </c>
      <c r="CC3191" t="s">
        <v>134</v>
      </c>
      <c r="CD3191">
        <v>5201</v>
      </c>
      <c r="CE3191" t="s">
        <v>88</v>
      </c>
      <c r="CF3191" s="3">
        <v>43784</v>
      </c>
      <c r="CI3191">
        <v>2</v>
      </c>
      <c r="CJ3191">
        <v>1</v>
      </c>
      <c r="CK3191" t="s">
        <v>994</v>
      </c>
      <c r="CL3191" t="s">
        <v>89</v>
      </c>
    </row>
    <row r="3192" spans="1:90">
      <c r="A3192" t="s">
        <v>72</v>
      </c>
      <c r="B3192" t="s">
        <v>73</v>
      </c>
      <c r="C3192" t="s">
        <v>74</v>
      </c>
      <c r="E3192" t="str">
        <f>"FES1162722488"</f>
        <v>FES1162722488</v>
      </c>
      <c r="F3192" s="3">
        <v>43781</v>
      </c>
      <c r="G3192">
        <v>202005</v>
      </c>
      <c r="H3192" t="s">
        <v>75</v>
      </c>
      <c r="I3192" t="s">
        <v>76</v>
      </c>
      <c r="J3192" t="s">
        <v>211</v>
      </c>
      <c r="K3192" t="s">
        <v>78</v>
      </c>
      <c r="L3192" t="s">
        <v>280</v>
      </c>
      <c r="M3192" t="s">
        <v>102</v>
      </c>
      <c r="N3192" t="s">
        <v>3099</v>
      </c>
      <c r="O3192" t="s">
        <v>282</v>
      </c>
      <c r="P3192" t="str">
        <f>"2170716517                    "</f>
        <v xml:space="preserve">2170716517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14.75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6.1</v>
      </c>
      <c r="BJ3192">
        <v>2.7</v>
      </c>
      <c r="BK3192">
        <v>7</v>
      </c>
      <c r="BL3192" s="4">
        <v>91.71</v>
      </c>
      <c r="BM3192" s="4">
        <v>13.76</v>
      </c>
      <c r="BN3192" s="4">
        <v>105.47</v>
      </c>
      <c r="BO3192" s="4">
        <v>105.47</v>
      </c>
      <c r="BQ3192" t="s">
        <v>121</v>
      </c>
      <c r="BR3192" t="s">
        <v>212</v>
      </c>
      <c r="BS3192" s="3">
        <v>43782</v>
      </c>
      <c r="BT3192" s="5">
        <v>0.42291666666666666</v>
      </c>
      <c r="BU3192" t="s">
        <v>3100</v>
      </c>
      <c r="BV3192" t="s">
        <v>86</v>
      </c>
      <c r="BY3192">
        <v>13525.08</v>
      </c>
      <c r="CA3192" t="s">
        <v>720</v>
      </c>
      <c r="CC3192" t="s">
        <v>102</v>
      </c>
      <c r="CD3192">
        <v>62</v>
      </c>
      <c r="CE3192" t="s">
        <v>88</v>
      </c>
      <c r="CF3192" s="3">
        <v>43783</v>
      </c>
      <c r="CI3192">
        <v>0</v>
      </c>
      <c r="CJ3192">
        <v>0</v>
      </c>
      <c r="CK3192" t="s">
        <v>285</v>
      </c>
      <c r="CL3192" t="s">
        <v>89</v>
      </c>
    </row>
    <row r="3193" spans="1:90">
      <c r="A3193" t="s">
        <v>72</v>
      </c>
      <c r="B3193" t="s">
        <v>73</v>
      </c>
      <c r="C3193" t="s">
        <v>74</v>
      </c>
      <c r="E3193" t="str">
        <f>"FES1162726051"</f>
        <v>FES1162726051</v>
      </c>
      <c r="F3193" s="3">
        <v>43798</v>
      </c>
      <c r="G3193">
        <v>202005</v>
      </c>
      <c r="H3193" t="s">
        <v>75</v>
      </c>
      <c r="I3193" t="s">
        <v>76</v>
      </c>
      <c r="J3193" t="s">
        <v>77</v>
      </c>
      <c r="K3193" t="s">
        <v>78</v>
      </c>
      <c r="L3193" t="s">
        <v>605</v>
      </c>
      <c r="M3193" t="s">
        <v>606</v>
      </c>
      <c r="N3193" t="s">
        <v>3101</v>
      </c>
      <c r="O3193" t="s">
        <v>82</v>
      </c>
      <c r="P3193" t="str">
        <f>"2170719507                    "</f>
        <v xml:space="preserve">2170719507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15.01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0.6</v>
      </c>
      <c r="BJ3193">
        <v>2.1</v>
      </c>
      <c r="BK3193">
        <v>2.5</v>
      </c>
      <c r="BL3193" s="4">
        <v>88.23</v>
      </c>
      <c r="BM3193" s="4">
        <v>13.23</v>
      </c>
      <c r="BN3193" s="4">
        <v>101.46</v>
      </c>
      <c r="BO3193" s="4">
        <v>101.46</v>
      </c>
      <c r="BQ3193" t="s">
        <v>109</v>
      </c>
      <c r="BR3193" t="s">
        <v>84</v>
      </c>
      <c r="BS3193" t="s">
        <v>201</v>
      </c>
      <c r="BY3193">
        <v>10368.51</v>
      </c>
      <c r="CC3193" t="s">
        <v>606</v>
      </c>
      <c r="CD3193">
        <v>407</v>
      </c>
      <c r="CE3193" t="s">
        <v>1598</v>
      </c>
      <c r="CI3193">
        <v>1</v>
      </c>
      <c r="CJ3193" t="s">
        <v>201</v>
      </c>
      <c r="CK3193">
        <v>24</v>
      </c>
      <c r="CL3193" t="s">
        <v>89</v>
      </c>
    </row>
    <row r="3194" spans="1:90">
      <c r="A3194" t="s">
        <v>72</v>
      </c>
      <c r="B3194" t="s">
        <v>73</v>
      </c>
      <c r="C3194" t="s">
        <v>74</v>
      </c>
      <c r="E3194" t="str">
        <f>"FES1162726117"</f>
        <v>FES1162726117</v>
      </c>
      <c r="F3194" s="3">
        <v>43798</v>
      </c>
      <c r="G3194">
        <v>202005</v>
      </c>
      <c r="H3194" t="s">
        <v>75</v>
      </c>
      <c r="I3194" t="s">
        <v>76</v>
      </c>
      <c r="J3194" t="s">
        <v>77</v>
      </c>
      <c r="K3194" t="s">
        <v>78</v>
      </c>
      <c r="L3194" t="s">
        <v>482</v>
      </c>
      <c r="M3194" t="s">
        <v>483</v>
      </c>
      <c r="N3194" t="s">
        <v>1734</v>
      </c>
      <c r="O3194" t="s">
        <v>82</v>
      </c>
      <c r="P3194" t="str">
        <f>"2170719598                    "</f>
        <v xml:space="preserve">2170719598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7.51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2.1</v>
      </c>
      <c r="BJ3194">
        <v>0.8</v>
      </c>
      <c r="BK3194">
        <v>2.5</v>
      </c>
      <c r="BL3194" s="4">
        <v>44.14</v>
      </c>
      <c r="BM3194" s="4">
        <v>6.62</v>
      </c>
      <c r="BN3194" s="4">
        <v>50.76</v>
      </c>
      <c r="BO3194" s="4">
        <v>50.76</v>
      </c>
      <c r="BQ3194" t="s">
        <v>121</v>
      </c>
      <c r="BR3194" t="s">
        <v>84</v>
      </c>
      <c r="BS3194" t="s">
        <v>201</v>
      </c>
      <c r="BY3194">
        <v>3761.6</v>
      </c>
      <c r="CC3194" t="s">
        <v>483</v>
      </c>
      <c r="CD3194">
        <v>1459</v>
      </c>
      <c r="CE3194" t="s">
        <v>1598</v>
      </c>
      <c r="CI3194">
        <v>1</v>
      </c>
      <c r="CJ3194" t="s">
        <v>201</v>
      </c>
      <c r="CK3194">
        <v>22</v>
      </c>
      <c r="CL3194" t="s">
        <v>89</v>
      </c>
    </row>
    <row r="3195" spans="1:90">
      <c r="A3195" t="s">
        <v>72</v>
      </c>
      <c r="B3195" t="s">
        <v>73</v>
      </c>
      <c r="C3195" t="s">
        <v>74</v>
      </c>
      <c r="E3195" t="str">
        <f>"019911311447"</f>
        <v>019911311447</v>
      </c>
      <c r="F3195" s="3">
        <v>43788</v>
      </c>
      <c r="G3195">
        <v>202005</v>
      </c>
      <c r="H3195" t="s">
        <v>90</v>
      </c>
      <c r="I3195" t="s">
        <v>91</v>
      </c>
      <c r="J3195" t="s">
        <v>211</v>
      </c>
      <c r="K3195" t="s">
        <v>78</v>
      </c>
      <c r="L3195" t="s">
        <v>75</v>
      </c>
      <c r="M3195" t="s">
        <v>76</v>
      </c>
      <c r="N3195" t="s">
        <v>1014</v>
      </c>
      <c r="O3195" t="s">
        <v>82</v>
      </c>
      <c r="P3195" t="str">
        <f>"1703                          "</f>
        <v xml:space="preserve">1703      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8.58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1.2</v>
      </c>
      <c r="BJ3195">
        <v>1.8</v>
      </c>
      <c r="BK3195">
        <v>2</v>
      </c>
      <c r="BL3195" s="4">
        <v>50.45</v>
      </c>
      <c r="BM3195" s="4">
        <v>7.57</v>
      </c>
      <c r="BN3195" s="4">
        <v>58.02</v>
      </c>
      <c r="BO3195" s="4">
        <v>58.02</v>
      </c>
      <c r="BQ3195" t="s">
        <v>1015</v>
      </c>
      <c r="BR3195" t="s">
        <v>1011</v>
      </c>
      <c r="BS3195" s="3">
        <v>43790</v>
      </c>
      <c r="BT3195" s="5">
        <v>0.45833333333333331</v>
      </c>
      <c r="BU3195" t="s">
        <v>2397</v>
      </c>
      <c r="BV3195" t="s">
        <v>89</v>
      </c>
      <c r="BY3195">
        <v>8941.66</v>
      </c>
      <c r="BZ3195" t="s">
        <v>27</v>
      </c>
      <c r="CC3195" t="s">
        <v>76</v>
      </c>
      <c r="CD3195">
        <v>1620</v>
      </c>
      <c r="CE3195" t="s">
        <v>1598</v>
      </c>
      <c r="CF3195" s="3">
        <v>43791</v>
      </c>
      <c r="CI3195">
        <v>1</v>
      </c>
      <c r="CJ3195">
        <v>2</v>
      </c>
      <c r="CK3195">
        <v>21</v>
      </c>
      <c r="CL3195" t="s">
        <v>89</v>
      </c>
    </row>
    <row r="3196" spans="1:90">
      <c r="A3196" t="s">
        <v>72</v>
      </c>
      <c r="B3196" t="s">
        <v>73</v>
      </c>
      <c r="C3196" t="s">
        <v>74</v>
      </c>
      <c r="E3196" t="str">
        <f>"FES1162725981"</f>
        <v>FES1162725981</v>
      </c>
      <c r="F3196" s="3">
        <v>43798</v>
      </c>
      <c r="G3196">
        <v>202005</v>
      </c>
      <c r="H3196" t="s">
        <v>75</v>
      </c>
      <c r="I3196" t="s">
        <v>76</v>
      </c>
      <c r="J3196" t="s">
        <v>77</v>
      </c>
      <c r="K3196" t="s">
        <v>78</v>
      </c>
      <c r="L3196" t="s">
        <v>405</v>
      </c>
      <c r="M3196" t="s">
        <v>406</v>
      </c>
      <c r="N3196" t="s">
        <v>934</v>
      </c>
      <c r="O3196" t="s">
        <v>82</v>
      </c>
      <c r="P3196" t="str">
        <f>"2170716134                    "</f>
        <v xml:space="preserve">2170716134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35.590000000000003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2.8</v>
      </c>
      <c r="BJ3196">
        <v>5.8</v>
      </c>
      <c r="BK3196">
        <v>6</v>
      </c>
      <c r="BL3196" s="4">
        <v>209.19</v>
      </c>
      <c r="BM3196" s="4">
        <v>31.38</v>
      </c>
      <c r="BN3196" s="4">
        <v>240.57</v>
      </c>
      <c r="BO3196" s="4">
        <v>240.57</v>
      </c>
      <c r="BQ3196" t="s">
        <v>109</v>
      </c>
      <c r="BR3196" t="s">
        <v>84</v>
      </c>
      <c r="BS3196" t="s">
        <v>201</v>
      </c>
      <c r="BY3196">
        <v>28795.26</v>
      </c>
      <c r="CC3196" t="s">
        <v>406</v>
      </c>
      <c r="CD3196">
        <v>250</v>
      </c>
      <c r="CE3196" t="s">
        <v>1598</v>
      </c>
      <c r="CI3196">
        <v>1</v>
      </c>
      <c r="CJ3196" t="s">
        <v>201</v>
      </c>
      <c r="CK3196">
        <v>24</v>
      </c>
      <c r="CL3196" t="s">
        <v>89</v>
      </c>
    </row>
    <row r="3197" spans="1:90">
      <c r="A3197" t="s">
        <v>72</v>
      </c>
      <c r="B3197" t="s">
        <v>73</v>
      </c>
      <c r="C3197" t="s">
        <v>74</v>
      </c>
      <c r="E3197" t="str">
        <f>"FES1162726105"</f>
        <v>FES1162726105</v>
      </c>
      <c r="F3197" s="3">
        <v>43798</v>
      </c>
      <c r="G3197">
        <v>202005</v>
      </c>
      <c r="H3197" t="s">
        <v>75</v>
      </c>
      <c r="I3197" t="s">
        <v>76</v>
      </c>
      <c r="J3197" t="s">
        <v>77</v>
      </c>
      <c r="K3197" t="s">
        <v>78</v>
      </c>
      <c r="L3197" t="s">
        <v>90</v>
      </c>
      <c r="M3197" t="s">
        <v>91</v>
      </c>
      <c r="N3197" t="s">
        <v>950</v>
      </c>
      <c r="O3197" t="s">
        <v>82</v>
      </c>
      <c r="P3197" t="str">
        <f>"2170718680                    "</f>
        <v xml:space="preserve">2170718680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8.58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 s="4">
        <v>50.45</v>
      </c>
      <c r="BM3197" s="4">
        <v>7.57</v>
      </c>
      <c r="BN3197" s="4">
        <v>58.02</v>
      </c>
      <c r="BO3197" s="4">
        <v>58.02</v>
      </c>
      <c r="BQ3197" t="s">
        <v>121</v>
      </c>
      <c r="BR3197" t="s">
        <v>84</v>
      </c>
      <c r="BS3197" t="s">
        <v>201</v>
      </c>
      <c r="BY3197">
        <v>1200</v>
      </c>
      <c r="CC3197" t="s">
        <v>91</v>
      </c>
      <c r="CD3197">
        <v>7530</v>
      </c>
      <c r="CE3197" t="s">
        <v>147</v>
      </c>
      <c r="CI3197">
        <v>1</v>
      </c>
      <c r="CJ3197" t="s">
        <v>201</v>
      </c>
      <c r="CK3197">
        <v>21</v>
      </c>
      <c r="CL3197" t="s">
        <v>89</v>
      </c>
    </row>
    <row r="3198" spans="1:90">
      <c r="A3198" t="s">
        <v>72</v>
      </c>
      <c r="B3198" t="s">
        <v>73</v>
      </c>
      <c r="C3198" t="s">
        <v>74</v>
      </c>
      <c r="E3198" t="str">
        <f>"RFES1162724522"</f>
        <v>RFES1162724522</v>
      </c>
      <c r="F3198" s="3">
        <v>43795</v>
      </c>
      <c r="G3198">
        <v>202005</v>
      </c>
      <c r="H3198" t="s">
        <v>75</v>
      </c>
      <c r="I3198" t="s">
        <v>76</v>
      </c>
      <c r="J3198" t="s">
        <v>466</v>
      </c>
      <c r="K3198" t="s">
        <v>78</v>
      </c>
      <c r="L3198" t="s">
        <v>75</v>
      </c>
      <c r="M3198" t="s">
        <v>76</v>
      </c>
      <c r="N3198" t="s">
        <v>77</v>
      </c>
      <c r="O3198" t="s">
        <v>82</v>
      </c>
      <c r="P3198" t="str">
        <f>"2170718306                    "</f>
        <v xml:space="preserve">2170718306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6.71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 s="4">
        <v>39.42</v>
      </c>
      <c r="BM3198" s="4">
        <v>5.91</v>
      </c>
      <c r="BN3198" s="4">
        <v>45.33</v>
      </c>
      <c r="BO3198" s="4">
        <v>45.33</v>
      </c>
      <c r="BQ3198" t="s">
        <v>84</v>
      </c>
      <c r="BR3198" t="s">
        <v>109</v>
      </c>
      <c r="BS3198" s="3">
        <v>43796</v>
      </c>
      <c r="BT3198" s="5">
        <v>0.4152777777777778</v>
      </c>
      <c r="BU3198" t="s">
        <v>2929</v>
      </c>
      <c r="BV3198" t="s">
        <v>86</v>
      </c>
      <c r="BY3198">
        <v>1200</v>
      </c>
      <c r="CA3198" t="s">
        <v>2334</v>
      </c>
      <c r="CC3198" t="s">
        <v>76</v>
      </c>
      <c r="CD3198">
        <v>1601</v>
      </c>
      <c r="CE3198" t="s">
        <v>147</v>
      </c>
      <c r="CF3198" s="3">
        <v>43797</v>
      </c>
      <c r="CI3198">
        <v>1</v>
      </c>
      <c r="CJ3198">
        <v>1</v>
      </c>
      <c r="CK3198">
        <v>22</v>
      </c>
      <c r="CL3198" t="s">
        <v>89</v>
      </c>
    </row>
    <row r="3199" spans="1:90">
      <c r="A3199" t="s">
        <v>72</v>
      </c>
      <c r="B3199" t="s">
        <v>73</v>
      </c>
      <c r="C3199" t="s">
        <v>74</v>
      </c>
      <c r="E3199" t="str">
        <f>"RFES1162724208"</f>
        <v>RFES1162724208</v>
      </c>
      <c r="F3199" s="3">
        <v>43795</v>
      </c>
      <c r="G3199">
        <v>202005</v>
      </c>
      <c r="H3199" t="s">
        <v>202</v>
      </c>
      <c r="I3199" t="s">
        <v>203</v>
      </c>
      <c r="J3199" t="s">
        <v>2701</v>
      </c>
      <c r="K3199" t="s">
        <v>78</v>
      </c>
      <c r="L3199" t="s">
        <v>75</v>
      </c>
      <c r="M3199" t="s">
        <v>76</v>
      </c>
      <c r="N3199" t="s">
        <v>77</v>
      </c>
      <c r="O3199" t="s">
        <v>82</v>
      </c>
      <c r="P3199" t="str">
        <f>"2170711880                    "</f>
        <v xml:space="preserve">2170711880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14.74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7</v>
      </c>
      <c r="BJ3199">
        <v>3.5</v>
      </c>
      <c r="BK3199">
        <v>7</v>
      </c>
      <c r="BL3199" s="4">
        <v>86.65</v>
      </c>
      <c r="BM3199" s="4">
        <v>13</v>
      </c>
      <c r="BN3199" s="4">
        <v>99.65</v>
      </c>
      <c r="BO3199" s="4">
        <v>99.65</v>
      </c>
      <c r="BQ3199" t="s">
        <v>84</v>
      </c>
      <c r="BR3199" t="s">
        <v>109</v>
      </c>
      <c r="BS3199" s="3">
        <v>43796</v>
      </c>
      <c r="BT3199" s="5">
        <v>0.4152777777777778</v>
      </c>
      <c r="BU3199" t="s">
        <v>2929</v>
      </c>
      <c r="BV3199" t="s">
        <v>86</v>
      </c>
      <c r="BY3199">
        <v>17591.32</v>
      </c>
      <c r="CA3199" t="s">
        <v>2334</v>
      </c>
      <c r="CC3199" t="s">
        <v>76</v>
      </c>
      <c r="CD3199">
        <v>1601</v>
      </c>
      <c r="CE3199" t="s">
        <v>88</v>
      </c>
      <c r="CF3199" s="3">
        <v>43797</v>
      </c>
      <c r="CI3199">
        <v>1</v>
      </c>
      <c r="CJ3199">
        <v>1</v>
      </c>
      <c r="CK3199">
        <v>22</v>
      </c>
      <c r="CL3199" t="s">
        <v>89</v>
      </c>
    </row>
    <row r="3200" spans="1:90">
      <c r="A3200" t="s">
        <v>72</v>
      </c>
      <c r="B3200" t="s">
        <v>73</v>
      </c>
      <c r="C3200" t="s">
        <v>74</v>
      </c>
      <c r="E3200" t="str">
        <f>"FES1162725642"</f>
        <v>FES1162725642</v>
      </c>
      <c r="F3200" s="3">
        <v>43798</v>
      </c>
      <c r="G3200">
        <v>202005</v>
      </c>
      <c r="H3200" t="s">
        <v>75</v>
      </c>
      <c r="I3200" t="s">
        <v>76</v>
      </c>
      <c r="J3200" t="s">
        <v>77</v>
      </c>
      <c r="K3200" t="s">
        <v>78</v>
      </c>
      <c r="L3200" t="s">
        <v>106</v>
      </c>
      <c r="M3200" t="s">
        <v>107</v>
      </c>
      <c r="N3200" t="s">
        <v>1311</v>
      </c>
      <c r="O3200" t="s">
        <v>82</v>
      </c>
      <c r="P3200" t="str">
        <f>"2170713794                    "</f>
        <v xml:space="preserve">2170713794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38.6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8.8000000000000007</v>
      </c>
      <c r="BJ3200">
        <v>3.3</v>
      </c>
      <c r="BK3200">
        <v>9</v>
      </c>
      <c r="BL3200" s="4">
        <v>226.91</v>
      </c>
      <c r="BM3200" s="4">
        <v>34.04</v>
      </c>
      <c r="BN3200" s="4">
        <v>260.95</v>
      </c>
      <c r="BO3200" s="4">
        <v>260.95</v>
      </c>
      <c r="BQ3200" t="s">
        <v>109</v>
      </c>
      <c r="BR3200" t="s">
        <v>84</v>
      </c>
      <c r="BS3200" t="s">
        <v>201</v>
      </c>
      <c r="BY3200">
        <v>16562.88</v>
      </c>
      <c r="CC3200" t="s">
        <v>107</v>
      </c>
      <c r="CD3200">
        <v>6001</v>
      </c>
      <c r="CE3200" t="s">
        <v>88</v>
      </c>
      <c r="CI3200">
        <v>1</v>
      </c>
      <c r="CJ3200" t="s">
        <v>201</v>
      </c>
      <c r="CK3200">
        <v>21</v>
      </c>
      <c r="CL3200" t="s">
        <v>89</v>
      </c>
    </row>
    <row r="3201" spans="1:90">
      <c r="A3201" t="s">
        <v>72</v>
      </c>
      <c r="B3201" t="s">
        <v>73</v>
      </c>
      <c r="C3201" t="s">
        <v>74</v>
      </c>
      <c r="E3201" t="str">
        <f>"FES1162725128"</f>
        <v>FES1162725128</v>
      </c>
      <c r="F3201" s="3">
        <v>43795</v>
      </c>
      <c r="G3201">
        <v>202005</v>
      </c>
      <c r="H3201" t="s">
        <v>75</v>
      </c>
      <c r="I3201" t="s">
        <v>76</v>
      </c>
      <c r="J3201" t="s">
        <v>77</v>
      </c>
      <c r="K3201" t="s">
        <v>78</v>
      </c>
      <c r="L3201" t="s">
        <v>112</v>
      </c>
      <c r="M3201" t="s">
        <v>113</v>
      </c>
      <c r="N3201" t="s">
        <v>2787</v>
      </c>
      <c r="O3201" t="s">
        <v>82</v>
      </c>
      <c r="P3201" t="str">
        <f>"21707184514                   "</f>
        <v xml:space="preserve">21707184514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8.58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 s="4">
        <v>50.45</v>
      </c>
      <c r="BM3201" s="4">
        <v>7.57</v>
      </c>
      <c r="BN3201" s="4">
        <v>58.02</v>
      </c>
      <c r="BO3201" s="4">
        <v>58.02</v>
      </c>
      <c r="BR3201" t="s">
        <v>84</v>
      </c>
      <c r="BS3201" s="3">
        <v>43796</v>
      </c>
      <c r="BT3201" s="5">
        <v>0.34930555555555554</v>
      </c>
      <c r="BU3201" t="s">
        <v>3102</v>
      </c>
      <c r="BV3201" t="s">
        <v>86</v>
      </c>
      <c r="BY3201">
        <v>1200</v>
      </c>
      <c r="CA3201" t="s">
        <v>255</v>
      </c>
      <c r="CC3201" t="s">
        <v>113</v>
      </c>
      <c r="CD3201">
        <v>4000</v>
      </c>
      <c r="CE3201" t="s">
        <v>147</v>
      </c>
      <c r="CF3201" s="3">
        <v>43797</v>
      </c>
      <c r="CI3201">
        <v>1</v>
      </c>
      <c r="CJ3201">
        <v>1</v>
      </c>
      <c r="CK3201">
        <v>21</v>
      </c>
      <c r="CL3201" t="s">
        <v>89</v>
      </c>
    </row>
    <row r="3202" spans="1:90">
      <c r="A3202" t="s">
        <v>72</v>
      </c>
      <c r="B3202" t="s">
        <v>73</v>
      </c>
      <c r="C3202" t="s">
        <v>74</v>
      </c>
      <c r="E3202" t="str">
        <f>"FES1162725126"</f>
        <v>FES1162725126</v>
      </c>
      <c r="F3202" s="3">
        <v>43795</v>
      </c>
      <c r="G3202">
        <v>202005</v>
      </c>
      <c r="H3202" t="s">
        <v>75</v>
      </c>
      <c r="I3202" t="s">
        <v>76</v>
      </c>
      <c r="J3202" t="s">
        <v>77</v>
      </c>
      <c r="K3202" t="s">
        <v>78</v>
      </c>
      <c r="L3202" t="s">
        <v>691</v>
      </c>
      <c r="M3202" t="s">
        <v>692</v>
      </c>
      <c r="N3202" t="s">
        <v>2494</v>
      </c>
      <c r="O3202" t="s">
        <v>282</v>
      </c>
      <c r="P3202" t="str">
        <f>"2170718370                    "</f>
        <v xml:space="preserve">2170718370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17.72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2</v>
      </c>
      <c r="BI3202">
        <v>28.9</v>
      </c>
      <c r="BJ3202">
        <v>19.7</v>
      </c>
      <c r="BK3202">
        <v>29</v>
      </c>
      <c r="BL3202" s="4">
        <v>109.18</v>
      </c>
      <c r="BM3202" s="4">
        <v>16.38</v>
      </c>
      <c r="BN3202" s="4">
        <v>125.56</v>
      </c>
      <c r="BO3202" s="4">
        <v>125.56</v>
      </c>
      <c r="BQ3202" t="s">
        <v>3103</v>
      </c>
      <c r="BR3202" t="s">
        <v>84</v>
      </c>
      <c r="BS3202" s="3">
        <v>43796</v>
      </c>
      <c r="BT3202" s="5">
        <v>0.34027777777777773</v>
      </c>
      <c r="BU3202" t="s">
        <v>3104</v>
      </c>
      <c r="BV3202" t="s">
        <v>86</v>
      </c>
      <c r="BY3202">
        <v>98523.98</v>
      </c>
      <c r="CA3202" t="s">
        <v>1316</v>
      </c>
      <c r="CC3202" t="s">
        <v>692</v>
      </c>
      <c r="CD3202">
        <v>1559</v>
      </c>
      <c r="CE3202" t="s">
        <v>1892</v>
      </c>
      <c r="CF3202" s="3">
        <v>43797</v>
      </c>
      <c r="CI3202">
        <v>1</v>
      </c>
      <c r="CJ3202">
        <v>1</v>
      </c>
      <c r="CK3202" t="s">
        <v>379</v>
      </c>
      <c r="CL3202" t="s">
        <v>89</v>
      </c>
    </row>
    <row r="3203" spans="1:90">
      <c r="A3203" t="s">
        <v>72</v>
      </c>
      <c r="B3203" t="s">
        <v>73</v>
      </c>
      <c r="C3203" t="s">
        <v>74</v>
      </c>
      <c r="E3203" t="str">
        <f>"FES1162726023"</f>
        <v>FES1162726023</v>
      </c>
      <c r="F3203" s="3">
        <v>43798</v>
      </c>
      <c r="G3203">
        <v>202005</v>
      </c>
      <c r="H3203" t="s">
        <v>75</v>
      </c>
      <c r="I3203" t="s">
        <v>76</v>
      </c>
      <c r="J3203" t="s">
        <v>77</v>
      </c>
      <c r="K3203" t="s">
        <v>78</v>
      </c>
      <c r="L3203" t="s">
        <v>90</v>
      </c>
      <c r="M3203" t="s">
        <v>91</v>
      </c>
      <c r="N3203" t="s">
        <v>401</v>
      </c>
      <c r="O3203" t="s">
        <v>82</v>
      </c>
      <c r="P3203" t="str">
        <f>"2170717815                    "</f>
        <v xml:space="preserve">2170717815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8.58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0.6</v>
      </c>
      <c r="BJ3203">
        <v>1.3</v>
      </c>
      <c r="BK3203">
        <v>1.5</v>
      </c>
      <c r="BL3203" s="4">
        <v>50.45</v>
      </c>
      <c r="BM3203" s="4">
        <v>7.57</v>
      </c>
      <c r="BN3203" s="4">
        <v>58.02</v>
      </c>
      <c r="BO3203" s="4">
        <v>58.02</v>
      </c>
      <c r="BQ3203" t="s">
        <v>109</v>
      </c>
      <c r="BR3203" t="s">
        <v>84</v>
      </c>
      <c r="BS3203" t="s">
        <v>201</v>
      </c>
      <c r="BY3203">
        <v>6393.16</v>
      </c>
      <c r="CC3203" t="s">
        <v>91</v>
      </c>
      <c r="CD3203">
        <v>7441</v>
      </c>
      <c r="CE3203" t="s">
        <v>88</v>
      </c>
      <c r="CI3203">
        <v>1</v>
      </c>
      <c r="CJ3203" t="s">
        <v>201</v>
      </c>
      <c r="CK3203">
        <v>21</v>
      </c>
      <c r="CL3203" t="s">
        <v>89</v>
      </c>
    </row>
    <row r="3204" spans="1:90">
      <c r="A3204" t="s">
        <v>72</v>
      </c>
      <c r="B3204" t="s">
        <v>73</v>
      </c>
      <c r="C3204" t="s">
        <v>74</v>
      </c>
      <c r="E3204" t="str">
        <f>"FES1162725920"</f>
        <v>FES1162725920</v>
      </c>
      <c r="F3204" s="3">
        <v>43798</v>
      </c>
      <c r="G3204">
        <v>202005</v>
      </c>
      <c r="H3204" t="s">
        <v>75</v>
      </c>
      <c r="I3204" t="s">
        <v>76</v>
      </c>
      <c r="J3204" t="s">
        <v>77</v>
      </c>
      <c r="K3204" t="s">
        <v>78</v>
      </c>
      <c r="L3204" t="s">
        <v>133</v>
      </c>
      <c r="M3204" t="s">
        <v>134</v>
      </c>
      <c r="N3204" t="s">
        <v>310</v>
      </c>
      <c r="O3204" t="s">
        <v>82</v>
      </c>
      <c r="P3204" t="str">
        <f>"2170719462                    "</f>
        <v xml:space="preserve">2170719462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12.87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2.8</v>
      </c>
      <c r="BJ3204">
        <v>1.5</v>
      </c>
      <c r="BK3204">
        <v>3</v>
      </c>
      <c r="BL3204" s="4">
        <v>75.66</v>
      </c>
      <c r="BM3204" s="4">
        <v>11.35</v>
      </c>
      <c r="BN3204" s="4">
        <v>87.01</v>
      </c>
      <c r="BO3204" s="4">
        <v>87.01</v>
      </c>
      <c r="BQ3204" t="s">
        <v>121</v>
      </c>
      <c r="BR3204" t="s">
        <v>84</v>
      </c>
      <c r="BS3204" t="s">
        <v>201</v>
      </c>
      <c r="BY3204">
        <v>7499.89</v>
      </c>
      <c r="CC3204" t="s">
        <v>134</v>
      </c>
      <c r="CD3204">
        <v>5201</v>
      </c>
      <c r="CE3204" t="s">
        <v>88</v>
      </c>
      <c r="CI3204">
        <v>1</v>
      </c>
      <c r="CJ3204" t="s">
        <v>201</v>
      </c>
      <c r="CK3204">
        <v>21</v>
      </c>
      <c r="CL3204" t="s">
        <v>89</v>
      </c>
    </row>
    <row r="3205" spans="1:90">
      <c r="A3205" t="s">
        <v>72</v>
      </c>
      <c r="B3205" t="s">
        <v>73</v>
      </c>
      <c r="C3205" t="s">
        <v>74</v>
      </c>
      <c r="E3205" t="str">
        <f>"FES1162725195"</f>
        <v>FES1162725195</v>
      </c>
      <c r="F3205" s="3">
        <v>43795</v>
      </c>
      <c r="G3205">
        <v>202005</v>
      </c>
      <c r="H3205" t="s">
        <v>75</v>
      </c>
      <c r="I3205" t="s">
        <v>76</v>
      </c>
      <c r="J3205" t="s">
        <v>77</v>
      </c>
      <c r="K3205" t="s">
        <v>78</v>
      </c>
      <c r="L3205" t="s">
        <v>124</v>
      </c>
      <c r="M3205" t="s">
        <v>125</v>
      </c>
      <c r="N3205" t="s">
        <v>468</v>
      </c>
      <c r="O3205" t="s">
        <v>82</v>
      </c>
      <c r="P3205" t="str">
        <f>"2170718399                    "</f>
        <v xml:space="preserve">2170718399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21.97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11.5</v>
      </c>
      <c r="BJ3205">
        <v>4.5</v>
      </c>
      <c r="BK3205">
        <v>11.5</v>
      </c>
      <c r="BL3205" s="4">
        <v>129.16</v>
      </c>
      <c r="BM3205" s="4">
        <v>19.37</v>
      </c>
      <c r="BN3205" s="4">
        <v>148.53</v>
      </c>
      <c r="BO3205" s="4">
        <v>148.53</v>
      </c>
      <c r="BQ3205" t="s">
        <v>187</v>
      </c>
      <c r="BR3205" t="s">
        <v>84</v>
      </c>
      <c r="BS3205" s="3">
        <v>43796</v>
      </c>
      <c r="BT3205" s="5">
        <v>0.33333333333333331</v>
      </c>
      <c r="BU3205" t="s">
        <v>3105</v>
      </c>
      <c r="BV3205" t="s">
        <v>86</v>
      </c>
      <c r="BY3205">
        <v>22516.01</v>
      </c>
      <c r="CA3205" t="s">
        <v>470</v>
      </c>
      <c r="CC3205" t="s">
        <v>125</v>
      </c>
      <c r="CD3205">
        <v>2090</v>
      </c>
      <c r="CE3205" t="s">
        <v>88</v>
      </c>
      <c r="CF3205" s="3">
        <v>43797</v>
      </c>
      <c r="CI3205">
        <v>1</v>
      </c>
      <c r="CJ3205">
        <v>1</v>
      </c>
      <c r="CK3205">
        <v>22</v>
      </c>
      <c r="CL3205" t="s">
        <v>89</v>
      </c>
    </row>
    <row r="3206" spans="1:90">
      <c r="A3206" t="s">
        <v>72</v>
      </c>
      <c r="B3206" t="s">
        <v>73</v>
      </c>
      <c r="C3206" t="s">
        <v>74</v>
      </c>
      <c r="E3206" t="str">
        <f>"FES1162725184"</f>
        <v>FES1162725184</v>
      </c>
      <c r="F3206" s="3">
        <v>43795</v>
      </c>
      <c r="G3206">
        <v>202005</v>
      </c>
      <c r="H3206" t="s">
        <v>75</v>
      </c>
      <c r="I3206" t="s">
        <v>76</v>
      </c>
      <c r="J3206" t="s">
        <v>77</v>
      </c>
      <c r="K3206" t="s">
        <v>78</v>
      </c>
      <c r="L3206" t="s">
        <v>482</v>
      </c>
      <c r="M3206" t="s">
        <v>483</v>
      </c>
      <c r="N3206" t="s">
        <v>1036</v>
      </c>
      <c r="O3206" t="s">
        <v>82</v>
      </c>
      <c r="P3206" t="str">
        <f>"2170718926                    "</f>
        <v xml:space="preserve">2170718926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6.71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 s="4">
        <v>39.42</v>
      </c>
      <c r="BM3206" s="4">
        <v>5.91</v>
      </c>
      <c r="BN3206" s="4">
        <v>45.33</v>
      </c>
      <c r="BO3206" s="4">
        <v>45.33</v>
      </c>
      <c r="BR3206" t="s">
        <v>84</v>
      </c>
      <c r="BS3206" s="3">
        <v>43796</v>
      </c>
      <c r="BT3206" s="5">
        <v>0.39305555555555555</v>
      </c>
      <c r="BU3206" t="s">
        <v>3106</v>
      </c>
      <c r="BV3206" t="s">
        <v>86</v>
      </c>
      <c r="BY3206">
        <v>1200</v>
      </c>
      <c r="CA3206" t="s">
        <v>1336</v>
      </c>
      <c r="CC3206" t="s">
        <v>483</v>
      </c>
      <c r="CD3206">
        <v>1460</v>
      </c>
      <c r="CE3206" t="s">
        <v>147</v>
      </c>
      <c r="CF3206" s="3">
        <v>43797</v>
      </c>
      <c r="CI3206">
        <v>1</v>
      </c>
      <c r="CJ3206">
        <v>1</v>
      </c>
      <c r="CK3206">
        <v>22</v>
      </c>
      <c r="CL3206" t="s">
        <v>89</v>
      </c>
    </row>
    <row r="3207" spans="1:90">
      <c r="A3207" t="s">
        <v>72</v>
      </c>
      <c r="B3207" t="s">
        <v>73</v>
      </c>
      <c r="C3207" t="s">
        <v>74</v>
      </c>
      <c r="E3207" t="str">
        <f>"FES1162725218"</f>
        <v>FES1162725218</v>
      </c>
      <c r="F3207" s="3">
        <v>43795</v>
      </c>
      <c r="G3207">
        <v>202005</v>
      </c>
      <c r="H3207" t="s">
        <v>75</v>
      </c>
      <c r="I3207" t="s">
        <v>76</v>
      </c>
      <c r="J3207" t="s">
        <v>77</v>
      </c>
      <c r="K3207" t="s">
        <v>78</v>
      </c>
      <c r="L3207" t="s">
        <v>90</v>
      </c>
      <c r="M3207" t="s">
        <v>91</v>
      </c>
      <c r="N3207" t="s">
        <v>1194</v>
      </c>
      <c r="O3207" t="s">
        <v>82</v>
      </c>
      <c r="P3207" t="str">
        <f>"1162725218                    "</f>
        <v xml:space="preserve">1162725218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19.3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2</v>
      </c>
      <c r="BI3207">
        <v>4.2</v>
      </c>
      <c r="BJ3207">
        <v>2</v>
      </c>
      <c r="BK3207">
        <v>4.5</v>
      </c>
      <c r="BL3207" s="4">
        <v>113.47</v>
      </c>
      <c r="BM3207" s="4">
        <v>17.02</v>
      </c>
      <c r="BN3207" s="4">
        <v>130.49</v>
      </c>
      <c r="BO3207" s="4">
        <v>130.49</v>
      </c>
      <c r="BR3207" t="s">
        <v>84</v>
      </c>
      <c r="BS3207" s="3">
        <v>43796</v>
      </c>
      <c r="BT3207" s="5">
        <v>0.4236111111111111</v>
      </c>
      <c r="BU3207" t="s">
        <v>3097</v>
      </c>
      <c r="BV3207" t="s">
        <v>86</v>
      </c>
      <c r="BY3207">
        <v>10229.94</v>
      </c>
      <c r="CA3207" t="s">
        <v>1309</v>
      </c>
      <c r="CC3207" t="s">
        <v>91</v>
      </c>
      <c r="CD3207">
        <v>7580</v>
      </c>
      <c r="CE3207" t="s">
        <v>2536</v>
      </c>
      <c r="CF3207" s="3">
        <v>43797</v>
      </c>
      <c r="CI3207">
        <v>1</v>
      </c>
      <c r="CJ3207">
        <v>1</v>
      </c>
      <c r="CK3207">
        <v>21</v>
      </c>
      <c r="CL3207" t="s">
        <v>89</v>
      </c>
    </row>
    <row r="3208" spans="1:90">
      <c r="A3208" t="s">
        <v>72</v>
      </c>
      <c r="B3208" t="s">
        <v>73</v>
      </c>
      <c r="C3208" t="s">
        <v>74</v>
      </c>
      <c r="E3208" t="str">
        <f>"FES1162725129"</f>
        <v>FES1162725129</v>
      </c>
      <c r="F3208" s="3">
        <v>43795</v>
      </c>
      <c r="G3208">
        <v>202005</v>
      </c>
      <c r="H3208" t="s">
        <v>75</v>
      </c>
      <c r="I3208" t="s">
        <v>76</v>
      </c>
      <c r="J3208" t="s">
        <v>77</v>
      </c>
      <c r="K3208" t="s">
        <v>78</v>
      </c>
      <c r="L3208" t="s">
        <v>124</v>
      </c>
      <c r="M3208" t="s">
        <v>125</v>
      </c>
      <c r="N3208" t="s">
        <v>2184</v>
      </c>
      <c r="O3208" t="s">
        <v>82</v>
      </c>
      <c r="P3208" t="str">
        <f>"2170718629                    "</f>
        <v xml:space="preserve">2170718629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6.71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 s="4">
        <v>39.42</v>
      </c>
      <c r="BM3208" s="4">
        <v>5.91</v>
      </c>
      <c r="BN3208" s="4">
        <v>45.33</v>
      </c>
      <c r="BO3208" s="4">
        <v>45.33</v>
      </c>
      <c r="BQ3208" t="s">
        <v>142</v>
      </c>
      <c r="BR3208" t="s">
        <v>84</v>
      </c>
      <c r="BS3208" s="3">
        <v>43796</v>
      </c>
      <c r="BT3208" s="5">
        <v>0.32500000000000001</v>
      </c>
      <c r="BU3208" t="s">
        <v>3107</v>
      </c>
      <c r="BV3208" t="s">
        <v>86</v>
      </c>
      <c r="BY3208">
        <v>1200</v>
      </c>
      <c r="CA3208" t="s">
        <v>123</v>
      </c>
      <c r="CC3208" t="s">
        <v>125</v>
      </c>
      <c r="CD3208">
        <v>2013</v>
      </c>
      <c r="CE3208" t="s">
        <v>147</v>
      </c>
      <c r="CF3208" s="3">
        <v>43797</v>
      </c>
      <c r="CI3208">
        <v>1</v>
      </c>
      <c r="CJ3208">
        <v>1</v>
      </c>
      <c r="CK3208">
        <v>22</v>
      </c>
      <c r="CL3208" t="s">
        <v>89</v>
      </c>
    </row>
    <row r="3209" spans="1:90">
      <c r="A3209" t="s">
        <v>72</v>
      </c>
      <c r="B3209" t="s">
        <v>73</v>
      </c>
      <c r="C3209" t="s">
        <v>74</v>
      </c>
      <c r="E3209" t="str">
        <f>"FES1162725170"</f>
        <v>FES1162725170</v>
      </c>
      <c r="F3209" s="3">
        <v>43795</v>
      </c>
      <c r="G3209">
        <v>202005</v>
      </c>
      <c r="H3209" t="s">
        <v>75</v>
      </c>
      <c r="I3209" t="s">
        <v>76</v>
      </c>
      <c r="J3209" t="s">
        <v>77</v>
      </c>
      <c r="K3209" t="s">
        <v>78</v>
      </c>
      <c r="L3209" t="s">
        <v>95</v>
      </c>
      <c r="M3209" t="s">
        <v>96</v>
      </c>
      <c r="N3209" t="s">
        <v>1818</v>
      </c>
      <c r="O3209" t="s">
        <v>82</v>
      </c>
      <c r="P3209" t="str">
        <f>"2170718905                    "</f>
        <v xml:space="preserve">2170718905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6.71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 s="4">
        <v>39.42</v>
      </c>
      <c r="BM3209" s="4">
        <v>5.91</v>
      </c>
      <c r="BN3209" s="4">
        <v>45.33</v>
      </c>
      <c r="BO3209" s="4">
        <v>45.33</v>
      </c>
      <c r="BR3209" t="s">
        <v>84</v>
      </c>
      <c r="BS3209" s="3">
        <v>43796</v>
      </c>
      <c r="BT3209" s="5">
        <v>0.37916666666666665</v>
      </c>
      <c r="BU3209" t="s">
        <v>480</v>
      </c>
      <c r="BV3209" t="s">
        <v>86</v>
      </c>
      <c r="BY3209">
        <v>1200</v>
      </c>
      <c r="CA3209" t="s">
        <v>123</v>
      </c>
      <c r="CC3209" t="s">
        <v>96</v>
      </c>
      <c r="CD3209">
        <v>1451</v>
      </c>
      <c r="CE3209" t="s">
        <v>147</v>
      </c>
      <c r="CF3209" s="3">
        <v>43797</v>
      </c>
      <c r="CI3209">
        <v>1</v>
      </c>
      <c r="CJ3209">
        <v>1</v>
      </c>
      <c r="CK3209">
        <v>22</v>
      </c>
      <c r="CL3209" t="s">
        <v>89</v>
      </c>
    </row>
    <row r="3210" spans="1:90">
      <c r="A3210" t="s">
        <v>72</v>
      </c>
      <c r="B3210" t="s">
        <v>73</v>
      </c>
      <c r="C3210" t="s">
        <v>74</v>
      </c>
      <c r="E3210" t="str">
        <f>"FES1162725241"</f>
        <v>FES1162725241</v>
      </c>
      <c r="F3210" s="3">
        <v>43795</v>
      </c>
      <c r="G3210">
        <v>202005</v>
      </c>
      <c r="H3210" t="s">
        <v>75</v>
      </c>
      <c r="I3210" t="s">
        <v>76</v>
      </c>
      <c r="J3210" t="s">
        <v>77</v>
      </c>
      <c r="K3210" t="s">
        <v>78</v>
      </c>
      <c r="L3210" t="s">
        <v>225</v>
      </c>
      <c r="M3210" t="s">
        <v>226</v>
      </c>
      <c r="N3210" t="s">
        <v>227</v>
      </c>
      <c r="O3210" t="s">
        <v>82</v>
      </c>
      <c r="P3210" t="str">
        <f>"2170718974                    "</f>
        <v xml:space="preserve">2170718974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8.58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 s="4">
        <v>50.45</v>
      </c>
      <c r="BM3210" s="4">
        <v>7.57</v>
      </c>
      <c r="BN3210" s="4">
        <v>58.02</v>
      </c>
      <c r="BO3210" s="4">
        <v>58.02</v>
      </c>
      <c r="BQ3210" t="s">
        <v>121</v>
      </c>
      <c r="BR3210" t="s">
        <v>84</v>
      </c>
      <c r="BS3210" s="3">
        <v>43796</v>
      </c>
      <c r="BT3210" s="5">
        <v>0.3576388888888889</v>
      </c>
      <c r="BU3210" t="s">
        <v>3108</v>
      </c>
      <c r="BV3210" t="s">
        <v>86</v>
      </c>
      <c r="BY3210">
        <v>1200</v>
      </c>
      <c r="CA3210" t="s">
        <v>3109</v>
      </c>
      <c r="CC3210" t="s">
        <v>226</v>
      </c>
      <c r="CD3210">
        <v>4026</v>
      </c>
      <c r="CE3210" t="s">
        <v>147</v>
      </c>
      <c r="CF3210" s="3">
        <v>43797</v>
      </c>
      <c r="CI3210">
        <v>1</v>
      </c>
      <c r="CJ3210">
        <v>1</v>
      </c>
      <c r="CK3210">
        <v>21</v>
      </c>
      <c r="CL3210" t="s">
        <v>89</v>
      </c>
    </row>
    <row r="3211" spans="1:90">
      <c r="A3211" t="s">
        <v>72</v>
      </c>
      <c r="B3211" t="s">
        <v>73</v>
      </c>
      <c r="C3211" t="s">
        <v>74</v>
      </c>
      <c r="E3211" t="str">
        <f>"FES1162725216"</f>
        <v>FES1162725216</v>
      </c>
      <c r="F3211" s="3">
        <v>43795</v>
      </c>
      <c r="G3211">
        <v>202005</v>
      </c>
      <c r="H3211" t="s">
        <v>75</v>
      </c>
      <c r="I3211" t="s">
        <v>76</v>
      </c>
      <c r="J3211" t="s">
        <v>77</v>
      </c>
      <c r="K3211" t="s">
        <v>78</v>
      </c>
      <c r="L3211" t="s">
        <v>90</v>
      </c>
      <c r="M3211" t="s">
        <v>91</v>
      </c>
      <c r="N3211" t="s">
        <v>1194</v>
      </c>
      <c r="O3211" t="s">
        <v>82</v>
      </c>
      <c r="P3211" t="str">
        <f>"1162725216                    "</f>
        <v xml:space="preserve">1162725216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49.33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11.2</v>
      </c>
      <c r="BJ3211">
        <v>8.1999999999999993</v>
      </c>
      <c r="BK3211">
        <v>11.5</v>
      </c>
      <c r="BL3211" s="4">
        <v>289.94</v>
      </c>
      <c r="BM3211" s="4">
        <v>43.49</v>
      </c>
      <c r="BN3211" s="4">
        <v>333.43</v>
      </c>
      <c r="BO3211" s="4">
        <v>333.43</v>
      </c>
      <c r="BR3211" t="s">
        <v>84</v>
      </c>
      <c r="BS3211" s="3">
        <v>43796</v>
      </c>
      <c r="BT3211" s="5">
        <v>0.4236111111111111</v>
      </c>
      <c r="BU3211" t="s">
        <v>3097</v>
      </c>
      <c r="BV3211" t="s">
        <v>86</v>
      </c>
      <c r="BY3211">
        <v>40772.26</v>
      </c>
      <c r="CC3211" t="s">
        <v>91</v>
      </c>
      <c r="CD3211">
        <v>7580</v>
      </c>
      <c r="CE3211" t="s">
        <v>88</v>
      </c>
      <c r="CF3211" s="3">
        <v>43797</v>
      </c>
      <c r="CI3211">
        <v>1</v>
      </c>
      <c r="CJ3211">
        <v>1</v>
      </c>
      <c r="CK3211">
        <v>21</v>
      </c>
      <c r="CL3211" t="s">
        <v>89</v>
      </c>
    </row>
    <row r="3212" spans="1:90">
      <c r="A3212" t="s">
        <v>72</v>
      </c>
      <c r="B3212" t="s">
        <v>73</v>
      </c>
      <c r="C3212" t="s">
        <v>74</v>
      </c>
      <c r="E3212" t="str">
        <f>"FES1162725258"</f>
        <v>FES1162725258</v>
      </c>
      <c r="F3212" s="3">
        <v>43795</v>
      </c>
      <c r="G3212">
        <v>202005</v>
      </c>
      <c r="H3212" t="s">
        <v>75</v>
      </c>
      <c r="I3212" t="s">
        <v>76</v>
      </c>
      <c r="J3212" t="s">
        <v>77</v>
      </c>
      <c r="K3212" t="s">
        <v>78</v>
      </c>
      <c r="L3212" t="s">
        <v>482</v>
      </c>
      <c r="M3212" t="s">
        <v>483</v>
      </c>
      <c r="N3212" t="s">
        <v>2781</v>
      </c>
      <c r="O3212" t="s">
        <v>82</v>
      </c>
      <c r="P3212" t="str">
        <f>"2170718483                    "</f>
        <v xml:space="preserve">2170718483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6.71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1.1000000000000001</v>
      </c>
      <c r="BJ3212">
        <v>0.9</v>
      </c>
      <c r="BK3212">
        <v>1.5</v>
      </c>
      <c r="BL3212" s="4">
        <v>39.42</v>
      </c>
      <c r="BM3212" s="4">
        <v>5.91</v>
      </c>
      <c r="BN3212" s="4">
        <v>45.33</v>
      </c>
      <c r="BO3212" s="4">
        <v>45.33</v>
      </c>
      <c r="BR3212" t="s">
        <v>84</v>
      </c>
      <c r="BS3212" s="3">
        <v>43796</v>
      </c>
      <c r="BT3212" s="5">
        <v>0.36319444444444443</v>
      </c>
      <c r="BU3212" t="s">
        <v>2689</v>
      </c>
      <c r="BV3212" t="s">
        <v>86</v>
      </c>
      <c r="BY3212">
        <v>4466.46</v>
      </c>
      <c r="CA3212" t="s">
        <v>486</v>
      </c>
      <c r="CC3212" t="s">
        <v>483</v>
      </c>
      <c r="CD3212">
        <v>1459</v>
      </c>
      <c r="CE3212" t="s">
        <v>88</v>
      </c>
      <c r="CF3212" s="3">
        <v>43797</v>
      </c>
      <c r="CI3212">
        <v>1</v>
      </c>
      <c r="CJ3212">
        <v>1</v>
      </c>
      <c r="CK3212">
        <v>22</v>
      </c>
      <c r="CL3212" t="s">
        <v>89</v>
      </c>
    </row>
    <row r="3213" spans="1:90">
      <c r="A3213" t="s">
        <v>72</v>
      </c>
      <c r="B3213" t="s">
        <v>73</v>
      </c>
      <c r="C3213" t="s">
        <v>74</v>
      </c>
      <c r="E3213" t="str">
        <f>"FES1162725239"</f>
        <v>FES1162725239</v>
      </c>
      <c r="F3213" s="3">
        <v>43795</v>
      </c>
      <c r="G3213">
        <v>202005</v>
      </c>
      <c r="H3213" t="s">
        <v>75</v>
      </c>
      <c r="I3213" t="s">
        <v>76</v>
      </c>
      <c r="J3213" t="s">
        <v>77</v>
      </c>
      <c r="K3213" t="s">
        <v>78</v>
      </c>
      <c r="L3213" t="s">
        <v>75</v>
      </c>
      <c r="M3213" t="s">
        <v>76</v>
      </c>
      <c r="N3213" t="s">
        <v>3110</v>
      </c>
      <c r="O3213" t="s">
        <v>82</v>
      </c>
      <c r="P3213" t="str">
        <f>"2170718972                    "</f>
        <v xml:space="preserve">2170718972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9.92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3.9</v>
      </c>
      <c r="BJ3213">
        <v>1.7</v>
      </c>
      <c r="BK3213">
        <v>4</v>
      </c>
      <c r="BL3213" s="4">
        <v>58.31</v>
      </c>
      <c r="BM3213" s="4">
        <v>8.75</v>
      </c>
      <c r="BN3213" s="4">
        <v>67.06</v>
      </c>
      <c r="BO3213" s="4">
        <v>67.06</v>
      </c>
      <c r="BQ3213" t="s">
        <v>3111</v>
      </c>
      <c r="BR3213" t="s">
        <v>84</v>
      </c>
      <c r="BS3213" s="3">
        <v>43796</v>
      </c>
      <c r="BT3213" s="5">
        <v>0.32083333333333336</v>
      </c>
      <c r="BU3213" t="s">
        <v>3112</v>
      </c>
      <c r="BV3213" t="s">
        <v>86</v>
      </c>
      <c r="BY3213">
        <v>8279.33</v>
      </c>
      <c r="CA3213" t="s">
        <v>2334</v>
      </c>
      <c r="CC3213" t="s">
        <v>76</v>
      </c>
      <c r="CD3213">
        <v>1601</v>
      </c>
      <c r="CE3213" t="s">
        <v>88</v>
      </c>
      <c r="CF3213" s="3">
        <v>43797</v>
      </c>
      <c r="CI3213">
        <v>1</v>
      </c>
      <c r="CJ3213">
        <v>1</v>
      </c>
      <c r="CK3213">
        <v>22</v>
      </c>
      <c r="CL3213" t="s">
        <v>89</v>
      </c>
    </row>
    <row r="3214" spans="1:90">
      <c r="A3214" t="s">
        <v>72</v>
      </c>
      <c r="B3214" t="s">
        <v>73</v>
      </c>
      <c r="C3214" t="s">
        <v>74</v>
      </c>
      <c r="E3214" t="str">
        <f>"FES1162725220"</f>
        <v>FES1162725220</v>
      </c>
      <c r="F3214" s="3">
        <v>43795</v>
      </c>
      <c r="G3214">
        <v>202005</v>
      </c>
      <c r="H3214" t="s">
        <v>75</v>
      </c>
      <c r="I3214" t="s">
        <v>76</v>
      </c>
      <c r="J3214" t="s">
        <v>77</v>
      </c>
      <c r="K3214" t="s">
        <v>78</v>
      </c>
      <c r="L3214" t="s">
        <v>90</v>
      </c>
      <c r="M3214" t="s">
        <v>91</v>
      </c>
      <c r="N3214" t="s">
        <v>1194</v>
      </c>
      <c r="O3214" t="s">
        <v>82</v>
      </c>
      <c r="P3214" t="str">
        <f>"2170716742                    "</f>
        <v xml:space="preserve">2170716742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68.62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16</v>
      </c>
      <c r="BJ3214">
        <v>8.5</v>
      </c>
      <c r="BK3214">
        <v>16</v>
      </c>
      <c r="BL3214" s="4">
        <v>403.37</v>
      </c>
      <c r="BM3214" s="4">
        <v>60.51</v>
      </c>
      <c r="BN3214" s="4">
        <v>463.88</v>
      </c>
      <c r="BO3214" s="4">
        <v>463.88</v>
      </c>
      <c r="BR3214" t="s">
        <v>84</v>
      </c>
      <c r="BS3214" s="3">
        <v>43796</v>
      </c>
      <c r="BT3214" s="5">
        <v>0.4236111111111111</v>
      </c>
      <c r="BU3214" t="s">
        <v>3097</v>
      </c>
      <c r="BV3214" t="s">
        <v>86</v>
      </c>
      <c r="BY3214">
        <v>42402.53</v>
      </c>
      <c r="CA3214" t="s">
        <v>1309</v>
      </c>
      <c r="CC3214" t="s">
        <v>91</v>
      </c>
      <c r="CD3214">
        <v>7580</v>
      </c>
      <c r="CE3214" t="s">
        <v>3113</v>
      </c>
      <c r="CF3214" s="3">
        <v>43797</v>
      </c>
      <c r="CI3214">
        <v>1</v>
      </c>
      <c r="CJ3214">
        <v>1</v>
      </c>
      <c r="CK3214">
        <v>21</v>
      </c>
      <c r="CL3214" t="s">
        <v>89</v>
      </c>
    </row>
    <row r="3215" spans="1:90">
      <c r="A3215" t="s">
        <v>72</v>
      </c>
      <c r="B3215" t="s">
        <v>73</v>
      </c>
      <c r="C3215" t="s">
        <v>74</v>
      </c>
      <c r="E3215" t="str">
        <f>"FES1162725240"</f>
        <v>FES1162725240</v>
      </c>
      <c r="F3215" s="3">
        <v>43795</v>
      </c>
      <c r="G3215">
        <v>202005</v>
      </c>
      <c r="H3215" t="s">
        <v>75</v>
      </c>
      <c r="I3215" t="s">
        <v>76</v>
      </c>
      <c r="J3215" t="s">
        <v>77</v>
      </c>
      <c r="K3215" t="s">
        <v>78</v>
      </c>
      <c r="L3215" t="s">
        <v>482</v>
      </c>
      <c r="M3215" t="s">
        <v>483</v>
      </c>
      <c r="N3215" t="s">
        <v>1054</v>
      </c>
      <c r="O3215" t="s">
        <v>82</v>
      </c>
      <c r="P3215" t="str">
        <f>"217071873                     "</f>
        <v xml:space="preserve">217071873 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6.71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 s="4">
        <v>39.42</v>
      </c>
      <c r="BM3215" s="4">
        <v>5.91</v>
      </c>
      <c r="BN3215" s="4">
        <v>45.33</v>
      </c>
      <c r="BO3215" s="4">
        <v>45.33</v>
      </c>
      <c r="BQ3215" t="s">
        <v>109</v>
      </c>
      <c r="BR3215" t="s">
        <v>84</v>
      </c>
      <c r="BS3215" s="3">
        <v>43796</v>
      </c>
      <c r="BT3215" s="5">
        <v>0.34583333333333338</v>
      </c>
      <c r="BU3215" t="s">
        <v>3114</v>
      </c>
      <c r="BV3215" t="s">
        <v>86</v>
      </c>
      <c r="BY3215">
        <v>1200</v>
      </c>
      <c r="CA3215" t="s">
        <v>486</v>
      </c>
      <c r="CC3215" t="s">
        <v>483</v>
      </c>
      <c r="CD3215">
        <v>1459</v>
      </c>
      <c r="CE3215" t="s">
        <v>147</v>
      </c>
      <c r="CF3215" s="3">
        <v>43797</v>
      </c>
      <c r="CI3215">
        <v>1</v>
      </c>
      <c r="CJ3215">
        <v>1</v>
      </c>
      <c r="CK3215">
        <v>22</v>
      </c>
      <c r="CL3215" t="s">
        <v>89</v>
      </c>
    </row>
    <row r="3216" spans="1:90">
      <c r="A3216" t="s">
        <v>72</v>
      </c>
      <c r="B3216" t="s">
        <v>73</v>
      </c>
      <c r="C3216" t="s">
        <v>74</v>
      </c>
      <c r="E3216" t="str">
        <f>"FES1162725221"</f>
        <v>FES1162725221</v>
      </c>
      <c r="F3216" s="3">
        <v>43795</v>
      </c>
      <c r="G3216">
        <v>202005</v>
      </c>
      <c r="H3216" t="s">
        <v>75</v>
      </c>
      <c r="I3216" t="s">
        <v>76</v>
      </c>
      <c r="J3216" t="s">
        <v>77</v>
      </c>
      <c r="K3216" t="s">
        <v>78</v>
      </c>
      <c r="L3216" t="s">
        <v>90</v>
      </c>
      <c r="M3216" t="s">
        <v>91</v>
      </c>
      <c r="N3216" t="s">
        <v>1194</v>
      </c>
      <c r="O3216" t="s">
        <v>82</v>
      </c>
      <c r="P3216" t="str">
        <f>"2170716743                    "</f>
        <v xml:space="preserve">2170716743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60.05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13.9</v>
      </c>
      <c r="BJ3216">
        <v>8.1999999999999993</v>
      </c>
      <c r="BK3216">
        <v>14</v>
      </c>
      <c r="BL3216" s="4">
        <v>352.96</v>
      </c>
      <c r="BM3216" s="4">
        <v>52.94</v>
      </c>
      <c r="BN3216" s="4">
        <v>405.9</v>
      </c>
      <c r="BO3216" s="4">
        <v>405.9</v>
      </c>
      <c r="BR3216" t="s">
        <v>84</v>
      </c>
      <c r="BS3216" s="3">
        <v>43796</v>
      </c>
      <c r="BT3216" s="5">
        <v>0.4236111111111111</v>
      </c>
      <c r="BU3216" t="s">
        <v>3097</v>
      </c>
      <c r="BV3216" t="s">
        <v>86</v>
      </c>
      <c r="BY3216">
        <v>40962.639999999999</v>
      </c>
      <c r="CA3216" t="s">
        <v>1309</v>
      </c>
      <c r="CC3216" t="s">
        <v>91</v>
      </c>
      <c r="CD3216">
        <v>7580</v>
      </c>
      <c r="CE3216" t="s">
        <v>88</v>
      </c>
      <c r="CF3216" s="3">
        <v>43797</v>
      </c>
      <c r="CI3216">
        <v>1</v>
      </c>
      <c r="CJ3216">
        <v>1</v>
      </c>
      <c r="CK3216">
        <v>21</v>
      </c>
      <c r="CL3216" t="s">
        <v>89</v>
      </c>
    </row>
    <row r="3217" spans="1:90">
      <c r="A3217" t="s">
        <v>72</v>
      </c>
      <c r="B3217" t="s">
        <v>73</v>
      </c>
      <c r="C3217" t="s">
        <v>74</v>
      </c>
      <c r="E3217" t="str">
        <f>"FES1162725107"</f>
        <v>FES1162725107</v>
      </c>
      <c r="F3217" s="3">
        <v>43795</v>
      </c>
      <c r="G3217">
        <v>202005</v>
      </c>
      <c r="H3217" t="s">
        <v>75</v>
      </c>
      <c r="I3217" t="s">
        <v>76</v>
      </c>
      <c r="J3217" t="s">
        <v>77</v>
      </c>
      <c r="K3217" t="s">
        <v>78</v>
      </c>
      <c r="L3217" t="s">
        <v>124</v>
      </c>
      <c r="M3217" t="s">
        <v>125</v>
      </c>
      <c r="N3217" t="s">
        <v>3115</v>
      </c>
      <c r="O3217" t="s">
        <v>82</v>
      </c>
      <c r="P3217" t="str">
        <f>"2170716909                    "</f>
        <v xml:space="preserve">2170716909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18.760000000000002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9.3000000000000007</v>
      </c>
      <c r="BJ3217">
        <v>3.8</v>
      </c>
      <c r="BK3217">
        <v>9.5</v>
      </c>
      <c r="BL3217" s="4">
        <v>110.27</v>
      </c>
      <c r="BM3217" s="4">
        <v>16.54</v>
      </c>
      <c r="BN3217" s="4">
        <v>126.81</v>
      </c>
      <c r="BO3217" s="4">
        <v>126.81</v>
      </c>
      <c r="BR3217" t="s">
        <v>84</v>
      </c>
      <c r="BS3217" s="3">
        <v>43796</v>
      </c>
      <c r="BT3217" s="5">
        <v>0.375</v>
      </c>
      <c r="BU3217" t="s">
        <v>3116</v>
      </c>
      <c r="BV3217" t="s">
        <v>86</v>
      </c>
      <c r="BY3217">
        <v>19216.439999999999</v>
      </c>
      <c r="CA3217" t="s">
        <v>123</v>
      </c>
      <c r="CC3217" t="s">
        <v>125</v>
      </c>
      <c r="CD3217">
        <v>2013</v>
      </c>
      <c r="CE3217" t="s">
        <v>88</v>
      </c>
      <c r="CI3217">
        <v>1</v>
      </c>
      <c r="CJ3217">
        <v>1</v>
      </c>
      <c r="CK3217">
        <v>22</v>
      </c>
      <c r="CL3217" t="s">
        <v>89</v>
      </c>
    </row>
    <row r="3218" spans="1:90">
      <c r="A3218" t="s">
        <v>72</v>
      </c>
      <c r="B3218" t="s">
        <v>73</v>
      </c>
      <c r="C3218" t="s">
        <v>74</v>
      </c>
      <c r="E3218" t="str">
        <f>"FES1162725132"</f>
        <v>FES1162725132</v>
      </c>
      <c r="F3218" s="3">
        <v>43795</v>
      </c>
      <c r="G3218">
        <v>202005</v>
      </c>
      <c r="H3218" t="s">
        <v>75</v>
      </c>
      <c r="I3218" t="s">
        <v>76</v>
      </c>
      <c r="J3218" t="s">
        <v>77</v>
      </c>
      <c r="K3218" t="s">
        <v>78</v>
      </c>
      <c r="L3218" t="s">
        <v>339</v>
      </c>
      <c r="M3218" t="s">
        <v>340</v>
      </c>
      <c r="N3218" t="s">
        <v>3117</v>
      </c>
      <c r="O3218" t="s">
        <v>82</v>
      </c>
      <c r="P3218" t="str">
        <f>"2170718744                    "</f>
        <v xml:space="preserve">2170718744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8.58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 s="4">
        <v>50.45</v>
      </c>
      <c r="BM3218" s="4">
        <v>7.57</v>
      </c>
      <c r="BN3218" s="4">
        <v>58.02</v>
      </c>
      <c r="BO3218" s="4">
        <v>58.02</v>
      </c>
      <c r="BR3218" t="s">
        <v>84</v>
      </c>
      <c r="BS3218" s="3">
        <v>43796</v>
      </c>
      <c r="BT3218" s="5">
        <v>0.42152777777777778</v>
      </c>
      <c r="BU3218" t="s">
        <v>3118</v>
      </c>
      <c r="BV3218" t="s">
        <v>86</v>
      </c>
      <c r="BY3218">
        <v>1200</v>
      </c>
      <c r="CA3218" t="s">
        <v>2854</v>
      </c>
      <c r="CC3218" t="s">
        <v>340</v>
      </c>
      <c r="CD3218">
        <v>157</v>
      </c>
      <c r="CE3218" t="s">
        <v>147</v>
      </c>
      <c r="CF3218" s="3">
        <v>43797</v>
      </c>
      <c r="CI3218">
        <v>1</v>
      </c>
      <c r="CJ3218">
        <v>1</v>
      </c>
      <c r="CK3218">
        <v>21</v>
      </c>
      <c r="CL3218" t="s">
        <v>89</v>
      </c>
    </row>
    <row r="3219" spans="1:90">
      <c r="A3219" t="s">
        <v>72</v>
      </c>
      <c r="B3219" t="s">
        <v>73</v>
      </c>
      <c r="C3219" t="s">
        <v>74</v>
      </c>
      <c r="E3219" t="str">
        <f>"FES1162725260"</f>
        <v>FES1162725260</v>
      </c>
      <c r="F3219" s="3">
        <v>43795</v>
      </c>
      <c r="G3219">
        <v>202005</v>
      </c>
      <c r="H3219" t="s">
        <v>75</v>
      </c>
      <c r="I3219" t="s">
        <v>76</v>
      </c>
      <c r="J3219" t="s">
        <v>77</v>
      </c>
      <c r="K3219" t="s">
        <v>78</v>
      </c>
      <c r="L3219" t="s">
        <v>202</v>
      </c>
      <c r="M3219" t="s">
        <v>203</v>
      </c>
      <c r="N3219" t="s">
        <v>521</v>
      </c>
      <c r="O3219" t="s">
        <v>82</v>
      </c>
      <c r="P3219" t="str">
        <f>"2170718996                    "</f>
        <v xml:space="preserve">2170718996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6.71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 s="4">
        <v>39.42</v>
      </c>
      <c r="BM3219" s="4">
        <v>5.91</v>
      </c>
      <c r="BN3219" s="4">
        <v>45.33</v>
      </c>
      <c r="BO3219" s="4">
        <v>45.33</v>
      </c>
      <c r="BQ3219" t="s">
        <v>109</v>
      </c>
      <c r="BR3219" t="s">
        <v>84</v>
      </c>
      <c r="BS3219" s="3">
        <v>43796</v>
      </c>
      <c r="BT3219" s="5">
        <v>0.42708333333333331</v>
      </c>
      <c r="BU3219" t="s">
        <v>480</v>
      </c>
      <c r="BV3219" t="s">
        <v>86</v>
      </c>
      <c r="BY3219">
        <v>1200</v>
      </c>
      <c r="CA3219" t="s">
        <v>123</v>
      </c>
      <c r="CC3219" t="s">
        <v>203</v>
      </c>
      <c r="CD3219">
        <v>1428</v>
      </c>
      <c r="CE3219" t="s">
        <v>147</v>
      </c>
      <c r="CF3219" s="3">
        <v>43797</v>
      </c>
      <c r="CI3219">
        <v>1</v>
      </c>
      <c r="CJ3219">
        <v>1</v>
      </c>
      <c r="CK3219">
        <v>22</v>
      </c>
      <c r="CL3219" t="s">
        <v>89</v>
      </c>
    </row>
    <row r="3220" spans="1:90">
      <c r="A3220" t="s">
        <v>72</v>
      </c>
      <c r="B3220" t="s">
        <v>73</v>
      </c>
      <c r="C3220" t="s">
        <v>74</v>
      </c>
      <c r="E3220" t="str">
        <f>"FES1162725266"</f>
        <v>FES1162725266</v>
      </c>
      <c r="F3220" s="3">
        <v>43795</v>
      </c>
      <c r="G3220">
        <v>202005</v>
      </c>
      <c r="H3220" t="s">
        <v>75</v>
      </c>
      <c r="I3220" t="s">
        <v>76</v>
      </c>
      <c r="J3220" t="s">
        <v>77</v>
      </c>
      <c r="K3220" t="s">
        <v>78</v>
      </c>
      <c r="L3220" t="s">
        <v>202</v>
      </c>
      <c r="M3220" t="s">
        <v>203</v>
      </c>
      <c r="N3220" t="s">
        <v>1372</v>
      </c>
      <c r="O3220" t="s">
        <v>82</v>
      </c>
      <c r="P3220" t="str">
        <f>"2170719005                    "</f>
        <v xml:space="preserve">2170719005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6.71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 s="4">
        <v>39.42</v>
      </c>
      <c r="BM3220" s="4">
        <v>5.91</v>
      </c>
      <c r="BN3220" s="4">
        <v>45.33</v>
      </c>
      <c r="BO3220" s="4">
        <v>45.33</v>
      </c>
      <c r="BQ3220" t="s">
        <v>1373</v>
      </c>
      <c r="BR3220" t="s">
        <v>84</v>
      </c>
      <c r="BS3220" s="3">
        <v>43796</v>
      </c>
      <c r="BT3220" s="5">
        <v>0.40972222222222227</v>
      </c>
      <c r="BU3220" t="s">
        <v>3119</v>
      </c>
      <c r="BV3220" t="s">
        <v>86</v>
      </c>
      <c r="BY3220">
        <v>1200</v>
      </c>
      <c r="CA3220" t="s">
        <v>123</v>
      </c>
      <c r="CC3220" t="s">
        <v>203</v>
      </c>
      <c r="CD3220">
        <v>1422</v>
      </c>
      <c r="CE3220" t="s">
        <v>147</v>
      </c>
      <c r="CF3220" s="3">
        <v>43797</v>
      </c>
      <c r="CI3220">
        <v>1</v>
      </c>
      <c r="CJ3220">
        <v>1</v>
      </c>
      <c r="CK3220">
        <v>22</v>
      </c>
      <c r="CL3220" t="s">
        <v>89</v>
      </c>
    </row>
    <row r="3221" spans="1:90">
      <c r="A3221" t="s">
        <v>72</v>
      </c>
      <c r="B3221" t="s">
        <v>73</v>
      </c>
      <c r="C3221" t="s">
        <v>74</v>
      </c>
      <c r="E3221" t="str">
        <f>"FES1162725094"</f>
        <v>FES1162725094</v>
      </c>
      <c r="F3221" s="3">
        <v>43795</v>
      </c>
      <c r="G3221">
        <v>202005</v>
      </c>
      <c r="H3221" t="s">
        <v>75</v>
      </c>
      <c r="I3221" t="s">
        <v>76</v>
      </c>
      <c r="J3221" t="s">
        <v>77</v>
      </c>
      <c r="K3221" t="s">
        <v>78</v>
      </c>
      <c r="L3221" t="s">
        <v>101</v>
      </c>
      <c r="M3221" t="s">
        <v>102</v>
      </c>
      <c r="N3221" t="s">
        <v>3120</v>
      </c>
      <c r="O3221" t="s">
        <v>82</v>
      </c>
      <c r="P3221" t="str">
        <f>"2170718840                    "</f>
        <v xml:space="preserve">2170718840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8.58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 s="4">
        <v>50.45</v>
      </c>
      <c r="BM3221" s="4">
        <v>7.57</v>
      </c>
      <c r="BN3221" s="4">
        <v>58.02</v>
      </c>
      <c r="BO3221" s="4">
        <v>58.02</v>
      </c>
      <c r="BQ3221" t="s">
        <v>109</v>
      </c>
      <c r="BR3221" t="s">
        <v>84</v>
      </c>
      <c r="BS3221" s="3">
        <v>43796</v>
      </c>
      <c r="BT3221" s="5">
        <v>0.39930555555555558</v>
      </c>
      <c r="BU3221" t="s">
        <v>3121</v>
      </c>
      <c r="BV3221" t="s">
        <v>86</v>
      </c>
      <c r="BY3221">
        <v>1200</v>
      </c>
      <c r="CC3221" t="s">
        <v>102</v>
      </c>
      <c r="CD3221">
        <v>200</v>
      </c>
      <c r="CE3221" t="s">
        <v>147</v>
      </c>
      <c r="CF3221" s="3">
        <v>43797</v>
      </c>
      <c r="CI3221">
        <v>1</v>
      </c>
      <c r="CJ3221">
        <v>1</v>
      </c>
      <c r="CK3221">
        <v>21</v>
      </c>
      <c r="CL3221" t="s">
        <v>89</v>
      </c>
    </row>
    <row r="3222" spans="1:90">
      <c r="A3222" t="s">
        <v>72</v>
      </c>
      <c r="B3222" t="s">
        <v>73</v>
      </c>
      <c r="C3222" t="s">
        <v>74</v>
      </c>
      <c r="E3222" t="str">
        <f>"FES1162725108"</f>
        <v>FES1162725108</v>
      </c>
      <c r="F3222" s="3">
        <v>43795</v>
      </c>
      <c r="G3222">
        <v>202005</v>
      </c>
      <c r="H3222" t="s">
        <v>75</v>
      </c>
      <c r="I3222" t="s">
        <v>76</v>
      </c>
      <c r="J3222" t="s">
        <v>77</v>
      </c>
      <c r="K3222" t="s">
        <v>78</v>
      </c>
      <c r="L3222" t="s">
        <v>79</v>
      </c>
      <c r="M3222" t="s">
        <v>80</v>
      </c>
      <c r="N3222" t="s">
        <v>458</v>
      </c>
      <c r="O3222" t="s">
        <v>82</v>
      </c>
      <c r="P3222" t="str">
        <f>"2170717136                    "</f>
        <v xml:space="preserve">2170717136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10.73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2.1</v>
      </c>
      <c r="BJ3222">
        <v>1.4</v>
      </c>
      <c r="BK3222">
        <v>2.5</v>
      </c>
      <c r="BL3222" s="4">
        <v>63.06</v>
      </c>
      <c r="BM3222" s="4">
        <v>9.4600000000000009</v>
      </c>
      <c r="BN3222" s="4">
        <v>72.52</v>
      </c>
      <c r="BO3222" s="4">
        <v>72.52</v>
      </c>
      <c r="BQ3222" t="s">
        <v>109</v>
      </c>
      <c r="BR3222" t="s">
        <v>84</v>
      </c>
      <c r="BS3222" s="3">
        <v>43796</v>
      </c>
      <c r="BT3222" s="5">
        <v>0.31944444444444448</v>
      </c>
      <c r="BU3222" t="s">
        <v>3122</v>
      </c>
      <c r="BV3222" t="s">
        <v>86</v>
      </c>
      <c r="BY3222">
        <v>6943.1</v>
      </c>
      <c r="CA3222" t="s">
        <v>87</v>
      </c>
      <c r="CC3222" t="s">
        <v>80</v>
      </c>
      <c r="CD3222">
        <v>6230</v>
      </c>
      <c r="CE3222" t="s">
        <v>88</v>
      </c>
      <c r="CF3222" s="3">
        <v>43797</v>
      </c>
      <c r="CI3222">
        <v>1</v>
      </c>
      <c r="CJ3222">
        <v>1</v>
      </c>
      <c r="CK3222">
        <v>21</v>
      </c>
      <c r="CL3222" t="s">
        <v>89</v>
      </c>
    </row>
    <row r="3223" spans="1:90">
      <c r="A3223" t="s">
        <v>72</v>
      </c>
      <c r="B3223" t="s">
        <v>73</v>
      </c>
      <c r="C3223" t="s">
        <v>74</v>
      </c>
      <c r="E3223" t="str">
        <f>"FES1162725262"</f>
        <v>FES1162725262</v>
      </c>
      <c r="F3223" s="3">
        <v>43795</v>
      </c>
      <c r="G3223">
        <v>202005</v>
      </c>
      <c r="H3223" t="s">
        <v>75</v>
      </c>
      <c r="I3223" t="s">
        <v>76</v>
      </c>
      <c r="J3223" t="s">
        <v>77</v>
      </c>
      <c r="K3223" t="s">
        <v>78</v>
      </c>
      <c r="L3223" t="s">
        <v>202</v>
      </c>
      <c r="M3223" t="s">
        <v>203</v>
      </c>
      <c r="N3223" t="s">
        <v>1700</v>
      </c>
      <c r="O3223" t="s">
        <v>82</v>
      </c>
      <c r="P3223" t="str">
        <f>"2170718999                    "</f>
        <v xml:space="preserve">2170718999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6.71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0.8</v>
      </c>
      <c r="BJ3223">
        <v>1.3</v>
      </c>
      <c r="BK3223">
        <v>1.5</v>
      </c>
      <c r="BL3223" s="4">
        <v>39.42</v>
      </c>
      <c r="BM3223" s="4">
        <v>5.91</v>
      </c>
      <c r="BN3223" s="4">
        <v>45.33</v>
      </c>
      <c r="BO3223" s="4">
        <v>45.33</v>
      </c>
      <c r="BQ3223" t="s">
        <v>1701</v>
      </c>
      <c r="BR3223" t="s">
        <v>84</v>
      </c>
      <c r="BS3223" s="3">
        <v>43796</v>
      </c>
      <c r="BT3223" s="5">
        <v>0.45208333333333334</v>
      </c>
      <c r="BU3223" t="s">
        <v>3123</v>
      </c>
      <c r="BV3223" t="s">
        <v>89</v>
      </c>
      <c r="BW3223" t="s">
        <v>319</v>
      </c>
      <c r="BX3223" t="s">
        <v>761</v>
      </c>
      <c r="BY3223">
        <v>6265.15</v>
      </c>
      <c r="CA3223" t="s">
        <v>123</v>
      </c>
      <c r="CC3223" t="s">
        <v>203</v>
      </c>
      <c r="CD3223">
        <v>1428</v>
      </c>
      <c r="CE3223" t="s">
        <v>88</v>
      </c>
      <c r="CF3223" s="3">
        <v>43797</v>
      </c>
      <c r="CI3223">
        <v>1</v>
      </c>
      <c r="CJ3223">
        <v>1</v>
      </c>
      <c r="CK3223">
        <v>22</v>
      </c>
      <c r="CL3223" t="s">
        <v>89</v>
      </c>
    </row>
    <row r="3224" spans="1:90">
      <c r="A3224" t="s">
        <v>72</v>
      </c>
      <c r="B3224" t="s">
        <v>73</v>
      </c>
      <c r="C3224" t="s">
        <v>74</v>
      </c>
      <c r="E3224" t="str">
        <f>"FES1162725267"</f>
        <v>FES1162725267</v>
      </c>
      <c r="F3224" s="3">
        <v>43795</v>
      </c>
      <c r="G3224">
        <v>202005</v>
      </c>
      <c r="H3224" t="s">
        <v>75</v>
      </c>
      <c r="I3224" t="s">
        <v>76</v>
      </c>
      <c r="J3224" t="s">
        <v>77</v>
      </c>
      <c r="K3224" t="s">
        <v>78</v>
      </c>
      <c r="L3224" t="s">
        <v>75</v>
      </c>
      <c r="M3224" t="s">
        <v>76</v>
      </c>
      <c r="N3224" t="s">
        <v>1859</v>
      </c>
      <c r="O3224" t="s">
        <v>82</v>
      </c>
      <c r="P3224" t="str">
        <f>"2170719007                    "</f>
        <v xml:space="preserve">2170719007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6.71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 s="4">
        <v>39.42</v>
      </c>
      <c r="BM3224" s="4">
        <v>5.91</v>
      </c>
      <c r="BN3224" s="4">
        <v>45.33</v>
      </c>
      <c r="BO3224" s="4">
        <v>45.33</v>
      </c>
      <c r="BQ3224" t="s">
        <v>109</v>
      </c>
      <c r="BR3224" t="s">
        <v>84</v>
      </c>
      <c r="BS3224" s="3">
        <v>43796</v>
      </c>
      <c r="BT3224" s="5">
        <v>0.33333333333333331</v>
      </c>
      <c r="BU3224" t="s">
        <v>3124</v>
      </c>
      <c r="BV3224" t="s">
        <v>86</v>
      </c>
      <c r="BY3224">
        <v>1200</v>
      </c>
      <c r="CA3224" t="s">
        <v>368</v>
      </c>
      <c r="CC3224" t="s">
        <v>76</v>
      </c>
      <c r="CD3224">
        <v>1619</v>
      </c>
      <c r="CE3224" t="s">
        <v>147</v>
      </c>
      <c r="CF3224" s="3">
        <v>43797</v>
      </c>
      <c r="CI3224">
        <v>1</v>
      </c>
      <c r="CJ3224">
        <v>1</v>
      </c>
      <c r="CK3224">
        <v>22</v>
      </c>
      <c r="CL3224" t="s">
        <v>89</v>
      </c>
    </row>
    <row r="3225" spans="1:90">
      <c r="A3225" t="s">
        <v>72</v>
      </c>
      <c r="B3225" t="s">
        <v>73</v>
      </c>
      <c r="C3225" t="s">
        <v>74</v>
      </c>
      <c r="E3225" t="str">
        <f>"FES1162725264"</f>
        <v>FES1162725264</v>
      </c>
      <c r="F3225" s="3">
        <v>43795</v>
      </c>
      <c r="G3225">
        <v>202005</v>
      </c>
      <c r="H3225" t="s">
        <v>75</v>
      </c>
      <c r="I3225" t="s">
        <v>76</v>
      </c>
      <c r="J3225" t="s">
        <v>77</v>
      </c>
      <c r="K3225" t="s">
        <v>78</v>
      </c>
      <c r="L3225" t="s">
        <v>522</v>
      </c>
      <c r="M3225" t="s">
        <v>523</v>
      </c>
      <c r="N3225" t="s">
        <v>1080</v>
      </c>
      <c r="O3225" t="s">
        <v>82</v>
      </c>
      <c r="P3225" t="str">
        <f>"1162725264                    "</f>
        <v xml:space="preserve">1162725264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16.63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1.2</v>
      </c>
      <c r="BJ3225">
        <v>1.6</v>
      </c>
      <c r="BK3225">
        <v>2</v>
      </c>
      <c r="BL3225" s="4">
        <v>97.75</v>
      </c>
      <c r="BM3225" s="4">
        <v>14.66</v>
      </c>
      <c r="BN3225" s="4">
        <v>112.41</v>
      </c>
      <c r="BO3225" s="4">
        <v>112.41</v>
      </c>
      <c r="BQ3225" t="s">
        <v>121</v>
      </c>
      <c r="BR3225" t="s">
        <v>84</v>
      </c>
      <c r="BS3225" s="3">
        <v>43796</v>
      </c>
      <c r="BT3225" s="5">
        <v>0.33333333333333331</v>
      </c>
      <c r="BU3225" t="s">
        <v>3125</v>
      </c>
      <c r="BV3225" t="s">
        <v>86</v>
      </c>
      <c r="BY3225">
        <v>8103.77</v>
      </c>
      <c r="CA3225" t="s">
        <v>526</v>
      </c>
      <c r="CC3225" t="s">
        <v>523</v>
      </c>
      <c r="CD3225">
        <v>1911</v>
      </c>
      <c r="CE3225" t="s">
        <v>88</v>
      </c>
      <c r="CF3225" s="3">
        <v>43797</v>
      </c>
      <c r="CI3225">
        <v>1</v>
      </c>
      <c r="CJ3225">
        <v>1</v>
      </c>
      <c r="CK3225">
        <v>23</v>
      </c>
      <c r="CL3225" t="s">
        <v>89</v>
      </c>
    </row>
    <row r="3226" spans="1:90">
      <c r="A3226" t="s">
        <v>72</v>
      </c>
      <c r="B3226" t="s">
        <v>73</v>
      </c>
      <c r="C3226" t="s">
        <v>74</v>
      </c>
      <c r="E3226" t="str">
        <f>"FES1162725199"</f>
        <v>FES1162725199</v>
      </c>
      <c r="F3226" s="3">
        <v>43795</v>
      </c>
      <c r="G3226">
        <v>202005</v>
      </c>
      <c r="H3226" t="s">
        <v>75</v>
      </c>
      <c r="I3226" t="s">
        <v>76</v>
      </c>
      <c r="J3226" t="s">
        <v>77</v>
      </c>
      <c r="K3226" t="s">
        <v>78</v>
      </c>
      <c r="L3226" t="s">
        <v>106</v>
      </c>
      <c r="M3226" t="s">
        <v>107</v>
      </c>
      <c r="N3226" t="s">
        <v>1401</v>
      </c>
      <c r="O3226" t="s">
        <v>82</v>
      </c>
      <c r="P3226" t="str">
        <f>"2170718944                    "</f>
        <v xml:space="preserve">2170718944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10.73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2.2999999999999998</v>
      </c>
      <c r="BJ3226">
        <v>1.5</v>
      </c>
      <c r="BK3226">
        <v>2.5</v>
      </c>
      <c r="BL3226" s="4">
        <v>63.06</v>
      </c>
      <c r="BM3226" s="4">
        <v>9.4600000000000009</v>
      </c>
      <c r="BN3226" s="4">
        <v>72.52</v>
      </c>
      <c r="BO3226" s="4">
        <v>72.52</v>
      </c>
      <c r="BQ3226" t="s">
        <v>109</v>
      </c>
      <c r="BR3226" t="s">
        <v>84</v>
      </c>
      <c r="BS3226" s="3">
        <v>43796</v>
      </c>
      <c r="BT3226" s="5">
        <v>0.41319444444444442</v>
      </c>
      <c r="BU3226" t="s">
        <v>1402</v>
      </c>
      <c r="BV3226" t="s">
        <v>86</v>
      </c>
      <c r="BY3226">
        <v>7486.39</v>
      </c>
      <c r="CA3226" t="s">
        <v>87</v>
      </c>
      <c r="CC3226" t="s">
        <v>107</v>
      </c>
      <c r="CD3226">
        <v>6001</v>
      </c>
      <c r="CE3226" t="s">
        <v>88</v>
      </c>
      <c r="CF3226" s="3">
        <v>43797</v>
      </c>
      <c r="CI3226">
        <v>1</v>
      </c>
      <c r="CJ3226">
        <v>1</v>
      </c>
      <c r="CK3226">
        <v>21</v>
      </c>
      <c r="CL3226" t="s">
        <v>89</v>
      </c>
    </row>
    <row r="3227" spans="1:90">
      <c r="A3227" t="s">
        <v>72</v>
      </c>
      <c r="B3227" t="s">
        <v>73</v>
      </c>
      <c r="C3227" t="s">
        <v>74</v>
      </c>
      <c r="E3227" t="str">
        <f>"FES1162725102"</f>
        <v>FES1162725102</v>
      </c>
      <c r="F3227" s="3">
        <v>43795</v>
      </c>
      <c r="G3227">
        <v>202005</v>
      </c>
      <c r="H3227" t="s">
        <v>75</v>
      </c>
      <c r="I3227" t="s">
        <v>76</v>
      </c>
      <c r="J3227" t="s">
        <v>77</v>
      </c>
      <c r="K3227" t="s">
        <v>78</v>
      </c>
      <c r="L3227" t="s">
        <v>112</v>
      </c>
      <c r="M3227" t="s">
        <v>113</v>
      </c>
      <c r="N3227" t="s">
        <v>272</v>
      </c>
      <c r="O3227" t="s">
        <v>82</v>
      </c>
      <c r="P3227" t="str">
        <f>"2170715786                    "</f>
        <v xml:space="preserve">2170715786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68.62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9.1</v>
      </c>
      <c r="BJ3227">
        <v>16</v>
      </c>
      <c r="BK3227">
        <v>16</v>
      </c>
      <c r="BL3227" s="4">
        <v>403.37</v>
      </c>
      <c r="BM3227" s="4">
        <v>60.51</v>
      </c>
      <c r="BN3227" s="4">
        <v>463.88</v>
      </c>
      <c r="BO3227" s="4">
        <v>463.88</v>
      </c>
      <c r="BQ3227" t="s">
        <v>142</v>
      </c>
      <c r="BR3227" t="s">
        <v>84</v>
      </c>
      <c r="BS3227" s="3">
        <v>43796</v>
      </c>
      <c r="BT3227" s="5">
        <v>0.31736111111111115</v>
      </c>
      <c r="BU3227" t="s">
        <v>2363</v>
      </c>
      <c r="BV3227" t="s">
        <v>86</v>
      </c>
      <c r="BY3227">
        <v>79846.86</v>
      </c>
      <c r="CA3227" t="s">
        <v>2071</v>
      </c>
      <c r="CC3227" t="s">
        <v>113</v>
      </c>
      <c r="CD3227">
        <v>4064</v>
      </c>
      <c r="CE3227" t="s">
        <v>88</v>
      </c>
      <c r="CF3227" s="3">
        <v>43797</v>
      </c>
      <c r="CI3227">
        <v>1</v>
      </c>
      <c r="CJ3227">
        <v>1</v>
      </c>
      <c r="CK3227">
        <v>21</v>
      </c>
      <c r="CL3227" t="s">
        <v>89</v>
      </c>
    </row>
    <row r="3228" spans="1:90">
      <c r="A3228" t="s">
        <v>72</v>
      </c>
      <c r="B3228" t="s">
        <v>73</v>
      </c>
      <c r="C3228" t="s">
        <v>74</v>
      </c>
      <c r="E3228" t="str">
        <f>"FES1162725143"</f>
        <v>FES1162725143</v>
      </c>
      <c r="F3228" s="3">
        <v>43795</v>
      </c>
      <c r="G3228">
        <v>202005</v>
      </c>
      <c r="H3228" t="s">
        <v>75</v>
      </c>
      <c r="I3228" t="s">
        <v>76</v>
      </c>
      <c r="J3228" t="s">
        <v>77</v>
      </c>
      <c r="K3228" t="s">
        <v>78</v>
      </c>
      <c r="L3228" t="s">
        <v>118</v>
      </c>
      <c r="M3228" t="s">
        <v>119</v>
      </c>
      <c r="N3228" t="s">
        <v>120</v>
      </c>
      <c r="O3228" t="s">
        <v>82</v>
      </c>
      <c r="P3228" t="str">
        <f>"2170718866                    "</f>
        <v xml:space="preserve">2170718866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17.16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3.9</v>
      </c>
      <c r="BJ3228">
        <v>0.9</v>
      </c>
      <c r="BK3228">
        <v>4</v>
      </c>
      <c r="BL3228" s="4">
        <v>100.87</v>
      </c>
      <c r="BM3228" s="4">
        <v>15.13</v>
      </c>
      <c r="BN3228" s="4">
        <v>116</v>
      </c>
      <c r="BO3228" s="4">
        <v>116</v>
      </c>
      <c r="BQ3228" t="s">
        <v>121</v>
      </c>
      <c r="BR3228" t="s">
        <v>84</v>
      </c>
      <c r="BS3228" s="3">
        <v>43796</v>
      </c>
      <c r="BT3228" s="5">
        <v>0.3611111111111111</v>
      </c>
      <c r="BU3228" t="s">
        <v>249</v>
      </c>
      <c r="BV3228" t="s">
        <v>86</v>
      </c>
      <c r="BY3228">
        <v>4490.24</v>
      </c>
      <c r="CA3228" t="s">
        <v>250</v>
      </c>
      <c r="CC3228" t="s">
        <v>119</v>
      </c>
      <c r="CD3228">
        <v>3201</v>
      </c>
      <c r="CE3228" t="s">
        <v>88</v>
      </c>
      <c r="CF3228" s="3">
        <v>43797</v>
      </c>
      <c r="CI3228">
        <v>1</v>
      </c>
      <c r="CJ3228">
        <v>1</v>
      </c>
      <c r="CK3228">
        <v>21</v>
      </c>
      <c r="CL3228" t="s">
        <v>89</v>
      </c>
    </row>
    <row r="3229" spans="1:90">
      <c r="A3229" t="s">
        <v>72</v>
      </c>
      <c r="B3229" t="s">
        <v>73</v>
      </c>
      <c r="C3229" t="s">
        <v>74</v>
      </c>
      <c r="E3229" t="str">
        <f>"FES1162725248"</f>
        <v>FES1162725248</v>
      </c>
      <c r="F3229" s="3">
        <v>43795</v>
      </c>
      <c r="G3229">
        <v>202005</v>
      </c>
      <c r="H3229" t="s">
        <v>75</v>
      </c>
      <c r="I3229" t="s">
        <v>76</v>
      </c>
      <c r="J3229" t="s">
        <v>77</v>
      </c>
      <c r="K3229" t="s">
        <v>78</v>
      </c>
      <c r="L3229" t="s">
        <v>106</v>
      </c>
      <c r="M3229" t="s">
        <v>107</v>
      </c>
      <c r="N3229" t="s">
        <v>301</v>
      </c>
      <c r="O3229" t="s">
        <v>82</v>
      </c>
      <c r="P3229" t="str">
        <f>"1162725248                    "</f>
        <v xml:space="preserve">1162725248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8.58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0.9</v>
      </c>
      <c r="BJ3229">
        <v>1.2</v>
      </c>
      <c r="BK3229">
        <v>1.5</v>
      </c>
      <c r="BL3229" s="4">
        <v>50.45</v>
      </c>
      <c r="BM3229" s="4">
        <v>7.57</v>
      </c>
      <c r="BN3229" s="4">
        <v>58.02</v>
      </c>
      <c r="BO3229" s="4">
        <v>58.02</v>
      </c>
      <c r="BQ3229" t="s">
        <v>302</v>
      </c>
      <c r="BR3229" t="s">
        <v>84</v>
      </c>
      <c r="BS3229" s="3">
        <v>43796</v>
      </c>
      <c r="BT3229" s="5">
        <v>0.30833333333333335</v>
      </c>
      <c r="BU3229" t="s">
        <v>3126</v>
      </c>
      <c r="BV3229" t="s">
        <v>86</v>
      </c>
      <c r="BY3229">
        <v>5959.45</v>
      </c>
      <c r="CA3229" t="s">
        <v>2227</v>
      </c>
      <c r="CC3229" t="s">
        <v>107</v>
      </c>
      <c r="CD3229">
        <v>6001</v>
      </c>
      <c r="CE3229" t="s">
        <v>88</v>
      </c>
      <c r="CF3229" s="3">
        <v>43797</v>
      </c>
      <c r="CI3229">
        <v>1</v>
      </c>
      <c r="CJ3229">
        <v>1</v>
      </c>
      <c r="CK3229">
        <v>21</v>
      </c>
      <c r="CL3229" t="s">
        <v>89</v>
      </c>
    </row>
    <row r="3230" spans="1:90">
      <c r="A3230" t="s">
        <v>72</v>
      </c>
      <c r="B3230" t="s">
        <v>73</v>
      </c>
      <c r="C3230" t="s">
        <v>74</v>
      </c>
      <c r="E3230" t="str">
        <f>"FES1162725097"</f>
        <v>FES1162725097</v>
      </c>
      <c r="F3230" s="3">
        <v>43795</v>
      </c>
      <c r="G3230">
        <v>202005</v>
      </c>
      <c r="H3230" t="s">
        <v>75</v>
      </c>
      <c r="I3230" t="s">
        <v>76</v>
      </c>
      <c r="J3230" t="s">
        <v>77</v>
      </c>
      <c r="K3230" t="s">
        <v>78</v>
      </c>
      <c r="L3230" t="s">
        <v>202</v>
      </c>
      <c r="M3230" t="s">
        <v>203</v>
      </c>
      <c r="N3230" t="s">
        <v>1440</v>
      </c>
      <c r="O3230" t="s">
        <v>82</v>
      </c>
      <c r="P3230" t="str">
        <f>"217071749                     "</f>
        <v xml:space="preserve">217071749 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6.71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 s="4">
        <v>39.42</v>
      </c>
      <c r="BM3230" s="4">
        <v>5.91</v>
      </c>
      <c r="BN3230" s="4">
        <v>45.33</v>
      </c>
      <c r="BO3230" s="4">
        <v>45.33</v>
      </c>
      <c r="BQ3230" t="s">
        <v>109</v>
      </c>
      <c r="BR3230" t="s">
        <v>84</v>
      </c>
      <c r="BS3230" s="3">
        <v>43796</v>
      </c>
      <c r="BT3230" s="5">
        <v>0.4375</v>
      </c>
      <c r="BU3230" t="s">
        <v>3127</v>
      </c>
      <c r="BV3230" t="s">
        <v>86</v>
      </c>
      <c r="BY3230">
        <v>1200</v>
      </c>
      <c r="CA3230" t="s">
        <v>123</v>
      </c>
      <c r="CC3230" t="s">
        <v>203</v>
      </c>
      <c r="CD3230">
        <v>1428</v>
      </c>
      <c r="CE3230" t="s">
        <v>147</v>
      </c>
      <c r="CF3230" s="3">
        <v>43797</v>
      </c>
      <c r="CI3230">
        <v>1</v>
      </c>
      <c r="CJ3230">
        <v>1</v>
      </c>
      <c r="CK3230">
        <v>22</v>
      </c>
      <c r="CL3230" t="s">
        <v>89</v>
      </c>
    </row>
    <row r="3231" spans="1:90">
      <c r="A3231" t="s">
        <v>72</v>
      </c>
      <c r="B3231" t="s">
        <v>73</v>
      </c>
      <c r="C3231" t="s">
        <v>74</v>
      </c>
      <c r="E3231" t="str">
        <f>"FES1162725238"</f>
        <v>FES1162725238</v>
      </c>
      <c r="F3231" s="3">
        <v>43795</v>
      </c>
      <c r="G3231">
        <v>202005</v>
      </c>
      <c r="H3231" t="s">
        <v>75</v>
      </c>
      <c r="I3231" t="s">
        <v>76</v>
      </c>
      <c r="J3231" t="s">
        <v>77</v>
      </c>
      <c r="K3231" t="s">
        <v>78</v>
      </c>
      <c r="L3231" t="s">
        <v>112</v>
      </c>
      <c r="M3231" t="s">
        <v>113</v>
      </c>
      <c r="N3231" t="s">
        <v>397</v>
      </c>
      <c r="O3231" t="s">
        <v>82</v>
      </c>
      <c r="P3231" t="str">
        <f>"1162725078                    "</f>
        <v xml:space="preserve">1162725078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21.45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5</v>
      </c>
      <c r="BJ3231">
        <v>3.1</v>
      </c>
      <c r="BK3231">
        <v>5</v>
      </c>
      <c r="BL3231" s="4">
        <v>126.08</v>
      </c>
      <c r="BM3231" s="4">
        <v>18.91</v>
      </c>
      <c r="BN3231" s="4">
        <v>144.99</v>
      </c>
      <c r="BO3231" s="4">
        <v>144.99</v>
      </c>
      <c r="BQ3231" t="s">
        <v>1076</v>
      </c>
      <c r="BR3231" t="s">
        <v>84</v>
      </c>
      <c r="BS3231" s="3">
        <v>43796</v>
      </c>
      <c r="BT3231" s="5">
        <v>0.38194444444444442</v>
      </c>
      <c r="BU3231" t="s">
        <v>3128</v>
      </c>
      <c r="BV3231" t="s">
        <v>86</v>
      </c>
      <c r="BY3231">
        <v>15568.52</v>
      </c>
      <c r="CA3231" t="s">
        <v>163</v>
      </c>
      <c r="CC3231" t="s">
        <v>113</v>
      </c>
      <c r="CD3231">
        <v>4051</v>
      </c>
      <c r="CE3231" t="s">
        <v>88</v>
      </c>
      <c r="CF3231" s="3">
        <v>43797</v>
      </c>
      <c r="CI3231">
        <v>1</v>
      </c>
      <c r="CJ3231">
        <v>1</v>
      </c>
      <c r="CK3231">
        <v>21</v>
      </c>
      <c r="CL3231" t="s">
        <v>89</v>
      </c>
    </row>
    <row r="3232" spans="1:90">
      <c r="A3232" t="s">
        <v>72</v>
      </c>
      <c r="B3232" t="s">
        <v>73</v>
      </c>
      <c r="C3232" t="s">
        <v>74</v>
      </c>
      <c r="E3232" t="str">
        <f>"FES1162725125"</f>
        <v>FES1162725125</v>
      </c>
      <c r="F3232" s="3">
        <v>43795</v>
      </c>
      <c r="G3232">
        <v>202005</v>
      </c>
      <c r="H3232" t="s">
        <v>75</v>
      </c>
      <c r="I3232" t="s">
        <v>76</v>
      </c>
      <c r="J3232" t="s">
        <v>77</v>
      </c>
      <c r="K3232" t="s">
        <v>78</v>
      </c>
      <c r="L3232" t="s">
        <v>176</v>
      </c>
      <c r="M3232" t="s">
        <v>177</v>
      </c>
      <c r="N3232" t="s">
        <v>178</v>
      </c>
      <c r="O3232" t="s">
        <v>82</v>
      </c>
      <c r="P3232" t="str">
        <f>"2170718321                    "</f>
        <v xml:space="preserve">2170718321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27.88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6.3</v>
      </c>
      <c r="BJ3232">
        <v>1.9</v>
      </c>
      <c r="BK3232">
        <v>6.5</v>
      </c>
      <c r="BL3232" s="4">
        <v>163.89</v>
      </c>
      <c r="BM3232" s="4">
        <v>24.58</v>
      </c>
      <c r="BN3232" s="4">
        <v>188.47</v>
      </c>
      <c r="BO3232" s="4">
        <v>188.47</v>
      </c>
      <c r="BQ3232" t="s">
        <v>142</v>
      </c>
      <c r="BR3232" t="s">
        <v>84</v>
      </c>
      <c r="BS3232" s="3">
        <v>43797</v>
      </c>
      <c r="BT3232" s="5">
        <v>0.3520833333333333</v>
      </c>
      <c r="BU3232" t="s">
        <v>1053</v>
      </c>
      <c r="BV3232" t="s">
        <v>89</v>
      </c>
      <c r="BW3232" t="s">
        <v>144</v>
      </c>
      <c r="BX3232" t="s">
        <v>145</v>
      </c>
      <c r="BY3232">
        <v>9737.09</v>
      </c>
      <c r="CA3232" t="s">
        <v>180</v>
      </c>
      <c r="CC3232" t="s">
        <v>177</v>
      </c>
      <c r="CD3232">
        <v>3610</v>
      </c>
      <c r="CE3232" t="s">
        <v>1598</v>
      </c>
      <c r="CF3232" s="3">
        <v>43798</v>
      </c>
      <c r="CI3232">
        <v>1</v>
      </c>
      <c r="CJ3232">
        <v>2</v>
      </c>
      <c r="CK3232">
        <v>21</v>
      </c>
      <c r="CL3232" t="s">
        <v>89</v>
      </c>
    </row>
    <row r="3233" spans="1:90">
      <c r="A3233" t="s">
        <v>72</v>
      </c>
      <c r="B3233" t="s">
        <v>73</v>
      </c>
      <c r="C3233" t="s">
        <v>74</v>
      </c>
      <c r="E3233" t="str">
        <f>"FES1162725186"</f>
        <v>FES1162725186</v>
      </c>
      <c r="F3233" s="3">
        <v>43795</v>
      </c>
      <c r="G3233">
        <v>202005</v>
      </c>
      <c r="H3233" t="s">
        <v>75</v>
      </c>
      <c r="I3233" t="s">
        <v>76</v>
      </c>
      <c r="J3233" t="s">
        <v>77</v>
      </c>
      <c r="K3233" t="s">
        <v>78</v>
      </c>
      <c r="L3233" t="s">
        <v>1268</v>
      </c>
      <c r="M3233" t="s">
        <v>1269</v>
      </c>
      <c r="N3233" t="s">
        <v>1270</v>
      </c>
      <c r="O3233" t="s">
        <v>82</v>
      </c>
      <c r="P3233" t="str">
        <f>"2170718928                    "</f>
        <v xml:space="preserve">2170718928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8.58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0.9</v>
      </c>
      <c r="BJ3233">
        <v>0.8</v>
      </c>
      <c r="BK3233">
        <v>1</v>
      </c>
      <c r="BL3233" s="4">
        <v>50.45</v>
      </c>
      <c r="BM3233" s="4">
        <v>7.57</v>
      </c>
      <c r="BN3233" s="4">
        <v>58.02</v>
      </c>
      <c r="BO3233" s="4">
        <v>58.02</v>
      </c>
      <c r="BQ3233" t="s">
        <v>109</v>
      </c>
      <c r="BR3233" t="s">
        <v>84</v>
      </c>
      <c r="BS3233" s="3">
        <v>43796</v>
      </c>
      <c r="BT3233" s="5">
        <v>0.45416666666666666</v>
      </c>
      <c r="BU3233" t="s">
        <v>1824</v>
      </c>
      <c r="BV3233" t="s">
        <v>86</v>
      </c>
      <c r="BY3233">
        <v>4213.1000000000004</v>
      </c>
      <c r="CA3233" t="s">
        <v>1668</v>
      </c>
      <c r="CC3233" t="s">
        <v>1269</v>
      </c>
      <c r="CD3233">
        <v>3290</v>
      </c>
      <c r="CE3233" t="s">
        <v>88</v>
      </c>
      <c r="CF3233" s="3">
        <v>43797</v>
      </c>
      <c r="CI3233">
        <v>1</v>
      </c>
      <c r="CJ3233">
        <v>1</v>
      </c>
      <c r="CK3233">
        <v>21</v>
      </c>
      <c r="CL3233" t="s">
        <v>89</v>
      </c>
    </row>
    <row r="3234" spans="1:90">
      <c r="A3234" t="s">
        <v>72</v>
      </c>
      <c r="B3234" t="s">
        <v>73</v>
      </c>
      <c r="C3234" t="s">
        <v>74</v>
      </c>
      <c r="E3234" t="str">
        <f>"FES1162725121"</f>
        <v>FES1162725121</v>
      </c>
      <c r="F3234" s="3">
        <v>43795</v>
      </c>
      <c r="G3234">
        <v>202005</v>
      </c>
      <c r="H3234" t="s">
        <v>75</v>
      </c>
      <c r="I3234" t="s">
        <v>76</v>
      </c>
      <c r="J3234" t="s">
        <v>77</v>
      </c>
      <c r="K3234" t="s">
        <v>78</v>
      </c>
      <c r="L3234" t="s">
        <v>106</v>
      </c>
      <c r="M3234" t="s">
        <v>107</v>
      </c>
      <c r="N3234" t="s">
        <v>153</v>
      </c>
      <c r="O3234" t="s">
        <v>82</v>
      </c>
      <c r="P3234" t="str">
        <f>"2170718116                    "</f>
        <v xml:space="preserve">2170718116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8.58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1.1000000000000001</v>
      </c>
      <c r="BJ3234">
        <v>1.2</v>
      </c>
      <c r="BK3234">
        <v>1.5</v>
      </c>
      <c r="BL3234" s="4">
        <v>50.45</v>
      </c>
      <c r="BM3234" s="4">
        <v>7.57</v>
      </c>
      <c r="BN3234" s="4">
        <v>58.02</v>
      </c>
      <c r="BO3234" s="4">
        <v>58.02</v>
      </c>
      <c r="BQ3234" t="s">
        <v>121</v>
      </c>
      <c r="BR3234" t="s">
        <v>84</v>
      </c>
      <c r="BS3234" s="3">
        <v>43796</v>
      </c>
      <c r="BT3234" s="5">
        <v>0.39861111111111108</v>
      </c>
      <c r="BU3234" t="s">
        <v>3129</v>
      </c>
      <c r="BV3234" t="s">
        <v>86</v>
      </c>
      <c r="BY3234">
        <v>6206</v>
      </c>
      <c r="CA3234" t="s">
        <v>2415</v>
      </c>
      <c r="CC3234" t="s">
        <v>107</v>
      </c>
      <c r="CD3234">
        <v>6001</v>
      </c>
      <c r="CE3234" t="s">
        <v>88</v>
      </c>
      <c r="CF3234" s="3">
        <v>43797</v>
      </c>
      <c r="CI3234">
        <v>1</v>
      </c>
      <c r="CJ3234">
        <v>1</v>
      </c>
      <c r="CK3234">
        <v>21</v>
      </c>
      <c r="CL3234" t="s">
        <v>89</v>
      </c>
    </row>
    <row r="3235" spans="1:90">
      <c r="A3235" t="s">
        <v>72</v>
      </c>
      <c r="B3235" t="s">
        <v>73</v>
      </c>
      <c r="C3235" t="s">
        <v>74</v>
      </c>
      <c r="E3235" t="str">
        <f>"FES1162725119"</f>
        <v>FES1162725119</v>
      </c>
      <c r="F3235" s="3">
        <v>43795</v>
      </c>
      <c r="G3235">
        <v>202005</v>
      </c>
      <c r="H3235" t="s">
        <v>75</v>
      </c>
      <c r="I3235" t="s">
        <v>76</v>
      </c>
      <c r="J3235" t="s">
        <v>77</v>
      </c>
      <c r="K3235" t="s">
        <v>78</v>
      </c>
      <c r="L3235" t="s">
        <v>112</v>
      </c>
      <c r="M3235" t="s">
        <v>113</v>
      </c>
      <c r="N3235" t="s">
        <v>3130</v>
      </c>
      <c r="O3235" t="s">
        <v>82</v>
      </c>
      <c r="P3235" t="str">
        <f>"2170717991                    "</f>
        <v xml:space="preserve">2170717991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19.3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4.4000000000000004</v>
      </c>
      <c r="BJ3235">
        <v>3.3</v>
      </c>
      <c r="BK3235">
        <v>4.5</v>
      </c>
      <c r="BL3235" s="4">
        <v>113.47</v>
      </c>
      <c r="BM3235" s="4">
        <v>17.02</v>
      </c>
      <c r="BN3235" s="4">
        <v>130.49</v>
      </c>
      <c r="BO3235" s="4">
        <v>130.49</v>
      </c>
      <c r="BR3235" t="s">
        <v>84</v>
      </c>
      <c r="BS3235" s="3">
        <v>43796</v>
      </c>
      <c r="BT3235" s="5">
        <v>0.6333333333333333</v>
      </c>
      <c r="BU3235" t="s">
        <v>3131</v>
      </c>
      <c r="BV3235" t="s">
        <v>89</v>
      </c>
      <c r="BW3235" t="s">
        <v>144</v>
      </c>
      <c r="BX3235" t="s">
        <v>145</v>
      </c>
      <c r="BY3235">
        <v>16434.8</v>
      </c>
      <c r="CA3235" t="s">
        <v>3109</v>
      </c>
      <c r="CC3235" t="s">
        <v>113</v>
      </c>
      <c r="CD3235">
        <v>4052</v>
      </c>
      <c r="CE3235" t="s">
        <v>88</v>
      </c>
      <c r="CF3235" s="3">
        <v>43797</v>
      </c>
      <c r="CI3235">
        <v>1</v>
      </c>
      <c r="CJ3235">
        <v>1</v>
      </c>
      <c r="CK3235">
        <v>21</v>
      </c>
      <c r="CL3235" t="s">
        <v>89</v>
      </c>
    </row>
    <row r="3236" spans="1:90">
      <c r="A3236" t="s">
        <v>72</v>
      </c>
      <c r="B3236" t="s">
        <v>73</v>
      </c>
      <c r="C3236" t="s">
        <v>74</v>
      </c>
      <c r="E3236" t="str">
        <f>"FES1162725167"</f>
        <v>FES1162725167</v>
      </c>
      <c r="F3236" s="3">
        <v>43795</v>
      </c>
      <c r="G3236">
        <v>202005</v>
      </c>
      <c r="H3236" t="s">
        <v>75</v>
      </c>
      <c r="I3236" t="s">
        <v>76</v>
      </c>
      <c r="J3236" t="s">
        <v>77</v>
      </c>
      <c r="K3236" t="s">
        <v>78</v>
      </c>
      <c r="L3236" t="s">
        <v>75</v>
      </c>
      <c r="M3236" t="s">
        <v>76</v>
      </c>
      <c r="N3236" t="s">
        <v>1963</v>
      </c>
      <c r="O3236" t="s">
        <v>82</v>
      </c>
      <c r="P3236" t="str">
        <f>"2170718896                    "</f>
        <v xml:space="preserve">2170718896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6.71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 s="4">
        <v>39.42</v>
      </c>
      <c r="BM3236" s="4">
        <v>5.91</v>
      </c>
      <c r="BN3236" s="4">
        <v>45.33</v>
      </c>
      <c r="BO3236" s="4">
        <v>45.33</v>
      </c>
      <c r="BQ3236" t="s">
        <v>1964</v>
      </c>
      <c r="BR3236" t="s">
        <v>84</v>
      </c>
      <c r="BS3236" s="3">
        <v>43796</v>
      </c>
      <c r="BT3236" s="5">
        <v>0.40277777777777773</v>
      </c>
      <c r="BU3236" t="s">
        <v>2266</v>
      </c>
      <c r="BV3236" t="s">
        <v>86</v>
      </c>
      <c r="BY3236">
        <v>1200</v>
      </c>
      <c r="CA3236" t="s">
        <v>238</v>
      </c>
      <c r="CC3236" t="s">
        <v>76</v>
      </c>
      <c r="CD3236">
        <v>1666</v>
      </c>
      <c r="CE3236" t="s">
        <v>147</v>
      </c>
      <c r="CF3236" s="3">
        <v>43797</v>
      </c>
      <c r="CI3236">
        <v>1</v>
      </c>
      <c r="CJ3236">
        <v>1</v>
      </c>
      <c r="CK3236">
        <v>22</v>
      </c>
      <c r="CL3236" t="s">
        <v>89</v>
      </c>
    </row>
    <row r="3237" spans="1:90">
      <c r="A3237" t="s">
        <v>72</v>
      </c>
      <c r="B3237" t="s">
        <v>73</v>
      </c>
      <c r="C3237" t="s">
        <v>74</v>
      </c>
      <c r="E3237" t="str">
        <f>"FES1162725230"</f>
        <v>FES1162725230</v>
      </c>
      <c r="F3237" s="3">
        <v>43795</v>
      </c>
      <c r="G3237">
        <v>202005</v>
      </c>
      <c r="H3237" t="s">
        <v>75</v>
      </c>
      <c r="I3237" t="s">
        <v>76</v>
      </c>
      <c r="J3237" t="s">
        <v>77</v>
      </c>
      <c r="K3237" t="s">
        <v>78</v>
      </c>
      <c r="L3237" t="s">
        <v>106</v>
      </c>
      <c r="M3237" t="s">
        <v>107</v>
      </c>
      <c r="N3237" t="s">
        <v>108</v>
      </c>
      <c r="O3237" t="s">
        <v>82</v>
      </c>
      <c r="P3237" t="str">
        <f>"2170718964                    "</f>
        <v xml:space="preserve">2170718964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38.6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8.6999999999999993</v>
      </c>
      <c r="BJ3237">
        <v>3.5</v>
      </c>
      <c r="BK3237">
        <v>9</v>
      </c>
      <c r="BL3237" s="4">
        <v>226.91</v>
      </c>
      <c r="BM3237" s="4">
        <v>34.04</v>
      </c>
      <c r="BN3237" s="4">
        <v>260.95</v>
      </c>
      <c r="BO3237" s="4">
        <v>260.95</v>
      </c>
      <c r="BQ3237" t="s">
        <v>109</v>
      </c>
      <c r="BR3237" t="s">
        <v>84</v>
      </c>
      <c r="BS3237" s="3">
        <v>43796</v>
      </c>
      <c r="BT3237" s="5">
        <v>0.43541666666666662</v>
      </c>
      <c r="BU3237" t="s">
        <v>3005</v>
      </c>
      <c r="BV3237" t="s">
        <v>86</v>
      </c>
      <c r="BY3237">
        <v>17380.689999999999</v>
      </c>
      <c r="CA3237" t="s">
        <v>111</v>
      </c>
      <c r="CC3237" t="s">
        <v>107</v>
      </c>
      <c r="CD3237">
        <v>6001</v>
      </c>
      <c r="CE3237" t="s">
        <v>88</v>
      </c>
      <c r="CF3237" s="3">
        <v>43797</v>
      </c>
      <c r="CI3237">
        <v>1</v>
      </c>
      <c r="CJ3237">
        <v>1</v>
      </c>
      <c r="CK3237">
        <v>21</v>
      </c>
      <c r="CL3237" t="s">
        <v>89</v>
      </c>
    </row>
    <row r="3238" spans="1:90">
      <c r="A3238" t="s">
        <v>72</v>
      </c>
      <c r="B3238" t="s">
        <v>73</v>
      </c>
      <c r="C3238" t="s">
        <v>74</v>
      </c>
      <c r="E3238" t="str">
        <f>"FES1162725117"</f>
        <v>FES1162725117</v>
      </c>
      <c r="F3238" s="3">
        <v>43795</v>
      </c>
      <c r="G3238">
        <v>202005</v>
      </c>
      <c r="H3238" t="s">
        <v>75</v>
      </c>
      <c r="I3238" t="s">
        <v>76</v>
      </c>
      <c r="J3238" t="s">
        <v>77</v>
      </c>
      <c r="K3238" t="s">
        <v>78</v>
      </c>
      <c r="L3238" t="s">
        <v>118</v>
      </c>
      <c r="M3238" t="s">
        <v>119</v>
      </c>
      <c r="N3238" t="s">
        <v>439</v>
      </c>
      <c r="O3238" t="s">
        <v>82</v>
      </c>
      <c r="P3238" t="str">
        <f>"2170717927                    "</f>
        <v xml:space="preserve">2170717927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8.58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 s="4">
        <v>50.45</v>
      </c>
      <c r="BM3238" s="4">
        <v>7.57</v>
      </c>
      <c r="BN3238" s="4">
        <v>58.02</v>
      </c>
      <c r="BO3238" s="4">
        <v>58.02</v>
      </c>
      <c r="BQ3238" t="s">
        <v>121</v>
      </c>
      <c r="BR3238" t="s">
        <v>84</v>
      </c>
      <c r="BS3238" s="3">
        <v>43796</v>
      </c>
      <c r="BT3238" s="5">
        <v>0.42708333333333331</v>
      </c>
      <c r="BU3238" t="s">
        <v>3132</v>
      </c>
      <c r="BV3238" t="s">
        <v>86</v>
      </c>
      <c r="BY3238">
        <v>1200</v>
      </c>
      <c r="CA3238" t="s">
        <v>132</v>
      </c>
      <c r="CC3238" t="s">
        <v>119</v>
      </c>
      <c r="CD3238">
        <v>3201</v>
      </c>
      <c r="CE3238" t="s">
        <v>147</v>
      </c>
      <c r="CF3238" s="3">
        <v>43797</v>
      </c>
      <c r="CI3238">
        <v>1</v>
      </c>
      <c r="CJ3238">
        <v>1</v>
      </c>
      <c r="CK3238">
        <v>21</v>
      </c>
      <c r="CL3238" t="s">
        <v>89</v>
      </c>
    </row>
    <row r="3239" spans="1:90">
      <c r="A3239" t="s">
        <v>72</v>
      </c>
      <c r="B3239" t="s">
        <v>73</v>
      </c>
      <c r="C3239" t="s">
        <v>74</v>
      </c>
      <c r="E3239" t="str">
        <f>"FES1162725112"</f>
        <v>FES1162725112</v>
      </c>
      <c r="F3239" s="3">
        <v>43795</v>
      </c>
      <c r="G3239">
        <v>202005</v>
      </c>
      <c r="H3239" t="s">
        <v>75</v>
      </c>
      <c r="I3239" t="s">
        <v>76</v>
      </c>
      <c r="J3239" t="s">
        <v>77</v>
      </c>
      <c r="K3239" t="s">
        <v>78</v>
      </c>
      <c r="L3239" t="s">
        <v>124</v>
      </c>
      <c r="M3239" t="s">
        <v>125</v>
      </c>
      <c r="N3239" t="s">
        <v>3133</v>
      </c>
      <c r="O3239" t="s">
        <v>82</v>
      </c>
      <c r="P3239" t="str">
        <f>"2170717724                    "</f>
        <v xml:space="preserve">2170717724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6.71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 s="4">
        <v>39.42</v>
      </c>
      <c r="BM3239" s="4">
        <v>5.91</v>
      </c>
      <c r="BN3239" s="4">
        <v>45.33</v>
      </c>
      <c r="BO3239" s="4">
        <v>45.33</v>
      </c>
      <c r="BR3239" t="s">
        <v>84</v>
      </c>
      <c r="BS3239" s="3">
        <v>43796</v>
      </c>
      <c r="BT3239" s="5">
        <v>0.33749999999999997</v>
      </c>
      <c r="BU3239" t="s">
        <v>3134</v>
      </c>
      <c r="BV3239" t="s">
        <v>86</v>
      </c>
      <c r="BY3239">
        <v>1200</v>
      </c>
      <c r="CA3239" t="s">
        <v>837</v>
      </c>
      <c r="CC3239" t="s">
        <v>125</v>
      </c>
      <c r="CD3239">
        <v>2049</v>
      </c>
      <c r="CE3239" t="s">
        <v>147</v>
      </c>
      <c r="CF3239" s="3">
        <v>43797</v>
      </c>
      <c r="CI3239">
        <v>1</v>
      </c>
      <c r="CJ3239">
        <v>1</v>
      </c>
      <c r="CK3239">
        <v>22</v>
      </c>
      <c r="CL3239" t="s">
        <v>89</v>
      </c>
    </row>
    <row r="3240" spans="1:90">
      <c r="A3240" t="s">
        <v>72</v>
      </c>
      <c r="B3240" t="s">
        <v>73</v>
      </c>
      <c r="C3240" t="s">
        <v>74</v>
      </c>
      <c r="E3240" t="str">
        <f>"FES1162725189"</f>
        <v>FES1162725189</v>
      </c>
      <c r="F3240" s="3">
        <v>43795</v>
      </c>
      <c r="G3240">
        <v>202005</v>
      </c>
      <c r="H3240" t="s">
        <v>75</v>
      </c>
      <c r="I3240" t="s">
        <v>76</v>
      </c>
      <c r="J3240" t="s">
        <v>77</v>
      </c>
      <c r="K3240" t="s">
        <v>78</v>
      </c>
      <c r="L3240" t="s">
        <v>251</v>
      </c>
      <c r="M3240" t="s">
        <v>252</v>
      </c>
      <c r="N3240" t="s">
        <v>3135</v>
      </c>
      <c r="O3240" t="s">
        <v>82</v>
      </c>
      <c r="P3240" t="str">
        <f>"2170718929                    "</f>
        <v xml:space="preserve">2170718929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8.58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 s="4">
        <v>50.45</v>
      </c>
      <c r="BM3240" s="4">
        <v>7.57</v>
      </c>
      <c r="BN3240" s="4">
        <v>58.02</v>
      </c>
      <c r="BO3240" s="4">
        <v>58.02</v>
      </c>
      <c r="BQ3240" t="s">
        <v>142</v>
      </c>
      <c r="BR3240" t="s">
        <v>84</v>
      </c>
      <c r="BS3240" s="3">
        <v>43796</v>
      </c>
      <c r="BT3240" s="5">
        <v>0.4368055555555555</v>
      </c>
      <c r="BU3240" t="s">
        <v>3136</v>
      </c>
      <c r="BV3240" t="s">
        <v>86</v>
      </c>
      <c r="BY3240">
        <v>1200</v>
      </c>
      <c r="CA3240" t="s">
        <v>255</v>
      </c>
      <c r="CC3240" t="s">
        <v>252</v>
      </c>
      <c r="CD3240">
        <v>4110</v>
      </c>
      <c r="CE3240" t="s">
        <v>147</v>
      </c>
      <c r="CF3240" s="3">
        <v>43797</v>
      </c>
      <c r="CI3240">
        <v>1</v>
      </c>
      <c r="CJ3240">
        <v>1</v>
      </c>
      <c r="CK3240">
        <v>21</v>
      </c>
      <c r="CL3240" t="s">
        <v>89</v>
      </c>
    </row>
    <row r="3241" spans="1:90">
      <c r="A3241" t="s">
        <v>72</v>
      </c>
      <c r="B3241" t="s">
        <v>73</v>
      </c>
      <c r="C3241" t="s">
        <v>74</v>
      </c>
      <c r="E3241" t="str">
        <f>"FES1162725103"</f>
        <v>FES1162725103</v>
      </c>
      <c r="F3241" s="3">
        <v>43795</v>
      </c>
      <c r="G3241">
        <v>202005</v>
      </c>
      <c r="H3241" t="s">
        <v>75</v>
      </c>
      <c r="I3241" t="s">
        <v>76</v>
      </c>
      <c r="J3241" t="s">
        <v>77</v>
      </c>
      <c r="K3241" t="s">
        <v>78</v>
      </c>
      <c r="L3241" t="s">
        <v>106</v>
      </c>
      <c r="M3241" t="s">
        <v>107</v>
      </c>
      <c r="N3241" t="s">
        <v>353</v>
      </c>
      <c r="O3241" t="s">
        <v>82</v>
      </c>
      <c r="P3241" t="str">
        <f>"2170716177                    "</f>
        <v xml:space="preserve">2170716177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45.04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10.199999999999999</v>
      </c>
      <c r="BJ3241">
        <v>3.1</v>
      </c>
      <c r="BK3241">
        <v>10.5</v>
      </c>
      <c r="BL3241" s="4">
        <v>264.73</v>
      </c>
      <c r="BM3241" s="4">
        <v>39.71</v>
      </c>
      <c r="BN3241" s="4">
        <v>304.44</v>
      </c>
      <c r="BO3241" s="4">
        <v>304.44</v>
      </c>
      <c r="BQ3241" t="s">
        <v>354</v>
      </c>
      <c r="BR3241" t="s">
        <v>84</v>
      </c>
      <c r="BS3241" s="3">
        <v>43796</v>
      </c>
      <c r="BT3241" s="5">
        <v>0.36805555555555558</v>
      </c>
      <c r="BU3241" t="s">
        <v>3137</v>
      </c>
      <c r="BV3241" t="s">
        <v>86</v>
      </c>
      <c r="BY3241">
        <v>15512.86</v>
      </c>
      <c r="CA3241" t="s">
        <v>2415</v>
      </c>
      <c r="CC3241" t="s">
        <v>107</v>
      </c>
      <c r="CD3241">
        <v>6001</v>
      </c>
      <c r="CE3241" t="s">
        <v>88</v>
      </c>
      <c r="CF3241" s="3">
        <v>43797</v>
      </c>
      <c r="CI3241">
        <v>1</v>
      </c>
      <c r="CJ3241">
        <v>1</v>
      </c>
      <c r="CK3241">
        <v>21</v>
      </c>
      <c r="CL3241" t="s">
        <v>89</v>
      </c>
    </row>
    <row r="3242" spans="1:90">
      <c r="A3242" t="s">
        <v>72</v>
      </c>
      <c r="B3242" t="s">
        <v>73</v>
      </c>
      <c r="C3242" t="s">
        <v>74</v>
      </c>
      <c r="E3242" t="str">
        <f>"FES1162725175"</f>
        <v>FES1162725175</v>
      </c>
      <c r="F3242" s="3">
        <v>43795</v>
      </c>
      <c r="G3242">
        <v>202005</v>
      </c>
      <c r="H3242" t="s">
        <v>75</v>
      </c>
      <c r="I3242" t="s">
        <v>76</v>
      </c>
      <c r="J3242" t="s">
        <v>77</v>
      </c>
      <c r="K3242" t="s">
        <v>78</v>
      </c>
      <c r="L3242" t="s">
        <v>124</v>
      </c>
      <c r="M3242" t="s">
        <v>125</v>
      </c>
      <c r="N3242" t="s">
        <v>218</v>
      </c>
      <c r="O3242" t="s">
        <v>82</v>
      </c>
      <c r="P3242" t="str">
        <f>"2170718912                    "</f>
        <v xml:space="preserve">2170718912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8.31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2.8</v>
      </c>
      <c r="BJ3242">
        <v>0.9</v>
      </c>
      <c r="BK3242">
        <v>3</v>
      </c>
      <c r="BL3242" s="4">
        <v>48.86</v>
      </c>
      <c r="BM3242" s="4">
        <v>7.33</v>
      </c>
      <c r="BN3242" s="4">
        <v>56.19</v>
      </c>
      <c r="BO3242" s="4">
        <v>56.19</v>
      </c>
      <c r="BQ3242" t="s">
        <v>121</v>
      </c>
      <c r="BR3242" t="s">
        <v>84</v>
      </c>
      <c r="BS3242" s="3">
        <v>43796</v>
      </c>
      <c r="BT3242" s="5">
        <v>0.38611111111111113</v>
      </c>
      <c r="BU3242" t="s">
        <v>231</v>
      </c>
      <c r="BV3242" t="s">
        <v>86</v>
      </c>
      <c r="BY3242">
        <v>4535.84</v>
      </c>
      <c r="CC3242" t="s">
        <v>125</v>
      </c>
      <c r="CD3242">
        <v>2094</v>
      </c>
      <c r="CE3242" t="s">
        <v>88</v>
      </c>
      <c r="CF3242" s="3">
        <v>43797</v>
      </c>
      <c r="CI3242">
        <v>1</v>
      </c>
      <c r="CJ3242">
        <v>1</v>
      </c>
      <c r="CK3242">
        <v>22</v>
      </c>
      <c r="CL3242" t="s">
        <v>89</v>
      </c>
    </row>
    <row r="3243" spans="1:90">
      <c r="A3243" t="s">
        <v>72</v>
      </c>
      <c r="B3243" t="s">
        <v>73</v>
      </c>
      <c r="C3243" t="s">
        <v>74</v>
      </c>
      <c r="E3243" t="str">
        <f>"FES1162725177"</f>
        <v>FES1162725177</v>
      </c>
      <c r="F3243" s="3">
        <v>43795</v>
      </c>
      <c r="G3243">
        <v>202005</v>
      </c>
      <c r="H3243" t="s">
        <v>75</v>
      </c>
      <c r="I3243" t="s">
        <v>76</v>
      </c>
      <c r="J3243" t="s">
        <v>77</v>
      </c>
      <c r="K3243" t="s">
        <v>78</v>
      </c>
      <c r="L3243" t="s">
        <v>90</v>
      </c>
      <c r="M3243" t="s">
        <v>91</v>
      </c>
      <c r="N3243" t="s">
        <v>1003</v>
      </c>
      <c r="O3243" t="s">
        <v>82</v>
      </c>
      <c r="P3243" t="str">
        <f>"217071879214                  "</f>
        <v xml:space="preserve">217071879214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8.58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 s="4">
        <v>50.45</v>
      </c>
      <c r="BM3243" s="4">
        <v>7.57</v>
      </c>
      <c r="BN3243" s="4">
        <v>58.02</v>
      </c>
      <c r="BO3243" s="4">
        <v>58.02</v>
      </c>
      <c r="BQ3243" t="s">
        <v>187</v>
      </c>
      <c r="BR3243" t="s">
        <v>84</v>
      </c>
      <c r="BS3243" s="3">
        <v>43796</v>
      </c>
      <c r="BT3243" s="5">
        <v>0.43055555555555558</v>
      </c>
      <c r="BU3243" t="s">
        <v>2271</v>
      </c>
      <c r="BV3243" t="s">
        <v>86</v>
      </c>
      <c r="BY3243">
        <v>1200</v>
      </c>
      <c r="CA3243" t="s">
        <v>515</v>
      </c>
      <c r="CC3243" t="s">
        <v>91</v>
      </c>
      <c r="CD3243">
        <v>7500</v>
      </c>
      <c r="CE3243" t="s">
        <v>147</v>
      </c>
      <c r="CF3243" s="3">
        <v>43797</v>
      </c>
      <c r="CI3243">
        <v>1</v>
      </c>
      <c r="CJ3243">
        <v>1</v>
      </c>
      <c r="CK3243">
        <v>21</v>
      </c>
      <c r="CL3243" t="s">
        <v>89</v>
      </c>
    </row>
    <row r="3244" spans="1:90">
      <c r="A3244" t="s">
        <v>72</v>
      </c>
      <c r="B3244" t="s">
        <v>73</v>
      </c>
      <c r="C3244" t="s">
        <v>74</v>
      </c>
      <c r="E3244" t="str">
        <f>"FES1162725164"</f>
        <v>FES1162725164</v>
      </c>
      <c r="F3244" s="3">
        <v>43795</v>
      </c>
      <c r="G3244">
        <v>202005</v>
      </c>
      <c r="H3244" t="s">
        <v>75</v>
      </c>
      <c r="I3244" t="s">
        <v>76</v>
      </c>
      <c r="J3244" t="s">
        <v>77</v>
      </c>
      <c r="K3244" t="s">
        <v>78</v>
      </c>
      <c r="L3244" t="s">
        <v>3138</v>
      </c>
      <c r="M3244" t="s">
        <v>3139</v>
      </c>
      <c r="N3244" t="s">
        <v>3140</v>
      </c>
      <c r="O3244" t="s">
        <v>82</v>
      </c>
      <c r="P3244" t="str">
        <f>"217071888889                  "</f>
        <v xml:space="preserve">217071888889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8.58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 s="4">
        <v>50.45</v>
      </c>
      <c r="BM3244" s="4">
        <v>7.57</v>
      </c>
      <c r="BN3244" s="4">
        <v>58.02</v>
      </c>
      <c r="BO3244" s="4">
        <v>58.02</v>
      </c>
      <c r="BQ3244" t="s">
        <v>3141</v>
      </c>
      <c r="BR3244" t="s">
        <v>84</v>
      </c>
      <c r="BS3244" s="3">
        <v>43797</v>
      </c>
      <c r="BT3244" s="5">
        <v>0.49305555555555558</v>
      </c>
      <c r="BU3244" t="s">
        <v>3142</v>
      </c>
      <c r="BV3244" t="s">
        <v>89</v>
      </c>
      <c r="BW3244" t="s">
        <v>144</v>
      </c>
      <c r="BX3244" t="s">
        <v>3143</v>
      </c>
      <c r="BY3244">
        <v>1200</v>
      </c>
      <c r="CA3244" t="s">
        <v>3144</v>
      </c>
      <c r="CC3244" t="s">
        <v>3139</v>
      </c>
      <c r="CD3244">
        <v>3250</v>
      </c>
      <c r="CE3244" t="s">
        <v>147</v>
      </c>
      <c r="CI3244">
        <v>1</v>
      </c>
      <c r="CJ3244">
        <v>2</v>
      </c>
      <c r="CK3244">
        <v>21</v>
      </c>
      <c r="CL3244" t="s">
        <v>89</v>
      </c>
    </row>
    <row r="3245" spans="1:90">
      <c r="A3245" t="s">
        <v>72</v>
      </c>
      <c r="B3245" t="s">
        <v>73</v>
      </c>
      <c r="C3245" t="s">
        <v>74</v>
      </c>
      <c r="E3245" t="str">
        <f>"FES1162725137"</f>
        <v>FES1162725137</v>
      </c>
      <c r="F3245" s="3">
        <v>43795</v>
      </c>
      <c r="G3245">
        <v>202005</v>
      </c>
      <c r="H3245" t="s">
        <v>75</v>
      </c>
      <c r="I3245" t="s">
        <v>76</v>
      </c>
      <c r="J3245" t="s">
        <v>77</v>
      </c>
      <c r="K3245" t="s">
        <v>78</v>
      </c>
      <c r="L3245" t="s">
        <v>106</v>
      </c>
      <c r="M3245" t="s">
        <v>107</v>
      </c>
      <c r="N3245" t="s">
        <v>128</v>
      </c>
      <c r="O3245" t="s">
        <v>82</v>
      </c>
      <c r="P3245" t="str">
        <f>"2170718850                    "</f>
        <v xml:space="preserve">2170718850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8.58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 s="4">
        <v>50.45</v>
      </c>
      <c r="BM3245" s="4">
        <v>7.57</v>
      </c>
      <c r="BN3245" s="4">
        <v>58.02</v>
      </c>
      <c r="BO3245" s="4">
        <v>58.02</v>
      </c>
      <c r="BQ3245" t="s">
        <v>121</v>
      </c>
      <c r="BR3245" t="s">
        <v>84</v>
      </c>
      <c r="BS3245" s="3">
        <v>43796</v>
      </c>
      <c r="BT3245" s="5">
        <v>0.33680555555555558</v>
      </c>
      <c r="BU3245" t="s">
        <v>714</v>
      </c>
      <c r="BV3245" t="s">
        <v>86</v>
      </c>
      <c r="BY3245">
        <v>1200</v>
      </c>
      <c r="CA3245" t="s">
        <v>87</v>
      </c>
      <c r="CC3245" t="s">
        <v>107</v>
      </c>
      <c r="CD3245">
        <v>6001</v>
      </c>
      <c r="CE3245" t="s">
        <v>147</v>
      </c>
      <c r="CF3245" s="3">
        <v>43797</v>
      </c>
      <c r="CI3245">
        <v>1</v>
      </c>
      <c r="CJ3245">
        <v>1</v>
      </c>
      <c r="CK3245">
        <v>21</v>
      </c>
      <c r="CL3245" t="s">
        <v>89</v>
      </c>
    </row>
    <row r="3246" spans="1:90">
      <c r="A3246" t="s">
        <v>72</v>
      </c>
      <c r="B3246" t="s">
        <v>73</v>
      </c>
      <c r="C3246" t="s">
        <v>74</v>
      </c>
      <c r="E3246" t="str">
        <f>"FES1162725080"</f>
        <v>FES1162725080</v>
      </c>
      <c r="F3246" s="3">
        <v>43795</v>
      </c>
      <c r="G3246">
        <v>202005</v>
      </c>
      <c r="H3246" t="s">
        <v>75</v>
      </c>
      <c r="I3246" t="s">
        <v>76</v>
      </c>
      <c r="J3246" t="s">
        <v>77</v>
      </c>
      <c r="K3246" t="s">
        <v>78</v>
      </c>
      <c r="L3246" t="s">
        <v>112</v>
      </c>
      <c r="M3246" t="s">
        <v>113</v>
      </c>
      <c r="N3246" t="s">
        <v>160</v>
      </c>
      <c r="O3246" t="s">
        <v>82</v>
      </c>
      <c r="P3246" t="str">
        <f>"2170718822                    "</f>
        <v xml:space="preserve">2170718822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15.02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3.2</v>
      </c>
      <c r="BJ3246">
        <v>0.9</v>
      </c>
      <c r="BK3246">
        <v>3.5</v>
      </c>
      <c r="BL3246" s="4">
        <v>88.27</v>
      </c>
      <c r="BM3246" s="4">
        <v>13.24</v>
      </c>
      <c r="BN3246" s="4">
        <v>101.51</v>
      </c>
      <c r="BO3246" s="4">
        <v>101.51</v>
      </c>
      <c r="BQ3246" t="s">
        <v>161</v>
      </c>
      <c r="BR3246" t="s">
        <v>84</v>
      </c>
      <c r="BS3246" s="3">
        <v>43796</v>
      </c>
      <c r="BT3246" s="5">
        <v>0.36388888888888887</v>
      </c>
      <c r="BU3246" t="s">
        <v>162</v>
      </c>
      <c r="BV3246" t="s">
        <v>86</v>
      </c>
      <c r="BY3246">
        <v>4504.7299999999996</v>
      </c>
      <c r="CA3246" t="s">
        <v>163</v>
      </c>
      <c r="CC3246" t="s">
        <v>113</v>
      </c>
      <c r="CD3246">
        <v>4000</v>
      </c>
      <c r="CE3246" t="s">
        <v>88</v>
      </c>
      <c r="CF3246" s="3">
        <v>43797</v>
      </c>
      <c r="CI3246">
        <v>1</v>
      </c>
      <c r="CJ3246">
        <v>1</v>
      </c>
      <c r="CK3246">
        <v>21</v>
      </c>
      <c r="CL3246" t="s">
        <v>89</v>
      </c>
    </row>
    <row r="3247" spans="1:90">
      <c r="A3247" t="s">
        <v>72</v>
      </c>
      <c r="B3247" t="s">
        <v>73</v>
      </c>
      <c r="C3247" t="s">
        <v>74</v>
      </c>
      <c r="E3247" t="str">
        <f>"FES1162725139"</f>
        <v>FES1162725139</v>
      </c>
      <c r="F3247" s="3">
        <v>43795</v>
      </c>
      <c r="G3247">
        <v>202005</v>
      </c>
      <c r="H3247" t="s">
        <v>75</v>
      </c>
      <c r="I3247" t="s">
        <v>76</v>
      </c>
      <c r="J3247" t="s">
        <v>77</v>
      </c>
      <c r="K3247" t="s">
        <v>78</v>
      </c>
      <c r="L3247" t="s">
        <v>112</v>
      </c>
      <c r="M3247" t="s">
        <v>113</v>
      </c>
      <c r="N3247" t="s">
        <v>1380</v>
      </c>
      <c r="O3247" t="s">
        <v>82</v>
      </c>
      <c r="P3247" t="str">
        <f>"2170718854                    "</f>
        <v xml:space="preserve">2170718854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8.58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1.2</v>
      </c>
      <c r="BJ3247">
        <v>0.8</v>
      </c>
      <c r="BK3247">
        <v>1.5</v>
      </c>
      <c r="BL3247" s="4">
        <v>50.45</v>
      </c>
      <c r="BM3247" s="4">
        <v>7.57</v>
      </c>
      <c r="BN3247" s="4">
        <v>58.02</v>
      </c>
      <c r="BO3247" s="4">
        <v>58.02</v>
      </c>
      <c r="BQ3247" t="s">
        <v>121</v>
      </c>
      <c r="BR3247" t="s">
        <v>84</v>
      </c>
      <c r="BS3247" s="3">
        <v>43796</v>
      </c>
      <c r="BT3247" s="5">
        <v>0.47430555555555554</v>
      </c>
      <c r="BU3247" t="s">
        <v>1045</v>
      </c>
      <c r="BV3247" t="s">
        <v>89</v>
      </c>
      <c r="BW3247" t="s">
        <v>144</v>
      </c>
      <c r="BX3247" t="s">
        <v>145</v>
      </c>
      <c r="BY3247">
        <v>4184.87</v>
      </c>
      <c r="CA3247" t="s">
        <v>1046</v>
      </c>
      <c r="CC3247" t="s">
        <v>113</v>
      </c>
      <c r="CD3247">
        <v>4051</v>
      </c>
      <c r="CE3247" t="s">
        <v>88</v>
      </c>
      <c r="CF3247" s="3">
        <v>43797</v>
      </c>
      <c r="CI3247">
        <v>1</v>
      </c>
      <c r="CJ3247">
        <v>1</v>
      </c>
      <c r="CK3247">
        <v>21</v>
      </c>
      <c r="CL3247" t="s">
        <v>89</v>
      </c>
    </row>
    <row r="3248" spans="1:90">
      <c r="A3248" t="s">
        <v>72</v>
      </c>
      <c r="B3248" t="s">
        <v>73</v>
      </c>
      <c r="C3248" t="s">
        <v>74</v>
      </c>
      <c r="E3248" t="str">
        <f>"FES1162725135"</f>
        <v>FES1162725135</v>
      </c>
      <c r="F3248" s="3">
        <v>43795</v>
      </c>
      <c r="G3248">
        <v>202005</v>
      </c>
      <c r="H3248" t="s">
        <v>75</v>
      </c>
      <c r="I3248" t="s">
        <v>76</v>
      </c>
      <c r="J3248" t="s">
        <v>77</v>
      </c>
      <c r="K3248" t="s">
        <v>78</v>
      </c>
      <c r="L3248" t="s">
        <v>133</v>
      </c>
      <c r="M3248" t="s">
        <v>134</v>
      </c>
      <c r="N3248" t="s">
        <v>735</v>
      </c>
      <c r="O3248" t="s">
        <v>82</v>
      </c>
      <c r="P3248" t="str">
        <f>"2170718782                    "</f>
        <v xml:space="preserve">2170718782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8.58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 s="4">
        <v>50.45</v>
      </c>
      <c r="BM3248" s="4">
        <v>7.57</v>
      </c>
      <c r="BN3248" s="4">
        <v>58.02</v>
      </c>
      <c r="BO3248" s="4">
        <v>58.02</v>
      </c>
      <c r="BQ3248" t="s">
        <v>109</v>
      </c>
      <c r="BR3248" t="s">
        <v>84</v>
      </c>
      <c r="BS3248" s="3">
        <v>43796</v>
      </c>
      <c r="BT3248" s="5">
        <v>0.3756944444444445</v>
      </c>
      <c r="BU3248" t="s">
        <v>3145</v>
      </c>
      <c r="BV3248" t="s">
        <v>86</v>
      </c>
      <c r="BY3248">
        <v>1200</v>
      </c>
      <c r="CA3248" t="s">
        <v>698</v>
      </c>
      <c r="CC3248" t="s">
        <v>134</v>
      </c>
      <c r="CD3248">
        <v>5201</v>
      </c>
      <c r="CE3248" t="s">
        <v>147</v>
      </c>
      <c r="CF3248" s="3">
        <v>43797</v>
      </c>
      <c r="CI3248">
        <v>1</v>
      </c>
      <c r="CJ3248">
        <v>1</v>
      </c>
      <c r="CK3248">
        <v>21</v>
      </c>
      <c r="CL3248" t="s">
        <v>89</v>
      </c>
    </row>
    <row r="3249" spans="1:90">
      <c r="A3249" t="s">
        <v>72</v>
      </c>
      <c r="B3249" t="s">
        <v>73</v>
      </c>
      <c r="C3249" t="s">
        <v>74</v>
      </c>
      <c r="E3249" t="str">
        <f>"FES1162725151"</f>
        <v>FES1162725151</v>
      </c>
      <c r="F3249" s="3">
        <v>43795</v>
      </c>
      <c r="G3249">
        <v>202005</v>
      </c>
      <c r="H3249" t="s">
        <v>75</v>
      </c>
      <c r="I3249" t="s">
        <v>76</v>
      </c>
      <c r="J3249" t="s">
        <v>77</v>
      </c>
      <c r="K3249" t="s">
        <v>78</v>
      </c>
      <c r="L3249" t="s">
        <v>482</v>
      </c>
      <c r="M3249" t="s">
        <v>483</v>
      </c>
      <c r="N3249" t="s">
        <v>1442</v>
      </c>
      <c r="O3249" t="s">
        <v>82</v>
      </c>
      <c r="P3249" t="str">
        <f>"2170718763                    "</f>
        <v xml:space="preserve">2170718763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6.71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1.5</v>
      </c>
      <c r="BJ3249">
        <v>0.9</v>
      </c>
      <c r="BK3249">
        <v>1.5</v>
      </c>
      <c r="BL3249" s="4">
        <v>39.42</v>
      </c>
      <c r="BM3249" s="4">
        <v>5.91</v>
      </c>
      <c r="BN3249" s="4">
        <v>45.33</v>
      </c>
      <c r="BO3249" s="4">
        <v>45.33</v>
      </c>
      <c r="BR3249" t="s">
        <v>84</v>
      </c>
      <c r="BS3249" s="3">
        <v>43796</v>
      </c>
      <c r="BT3249" s="5">
        <v>0.26111111111111113</v>
      </c>
      <c r="BU3249" t="s">
        <v>3146</v>
      </c>
      <c r="BV3249" t="s">
        <v>86</v>
      </c>
      <c r="BY3249">
        <v>4503.91</v>
      </c>
      <c r="CA3249" t="s">
        <v>1336</v>
      </c>
      <c r="CC3249" t="s">
        <v>483</v>
      </c>
      <c r="CD3249">
        <v>1460</v>
      </c>
      <c r="CE3249" t="s">
        <v>88</v>
      </c>
      <c r="CF3249" s="3">
        <v>43797</v>
      </c>
      <c r="CI3249">
        <v>1</v>
      </c>
      <c r="CJ3249">
        <v>1</v>
      </c>
      <c r="CK3249">
        <v>22</v>
      </c>
      <c r="CL3249" t="s">
        <v>89</v>
      </c>
    </row>
    <row r="3250" spans="1:90">
      <c r="A3250" t="s">
        <v>72</v>
      </c>
      <c r="B3250" t="s">
        <v>73</v>
      </c>
      <c r="C3250" t="s">
        <v>74</v>
      </c>
      <c r="E3250" t="str">
        <f>"FES1162725100"</f>
        <v>FES1162725100</v>
      </c>
      <c r="F3250" s="3">
        <v>43795</v>
      </c>
      <c r="G3250">
        <v>202005</v>
      </c>
      <c r="H3250" t="s">
        <v>75</v>
      </c>
      <c r="I3250" t="s">
        <v>76</v>
      </c>
      <c r="J3250" t="s">
        <v>77</v>
      </c>
      <c r="K3250" t="s">
        <v>78</v>
      </c>
      <c r="L3250" t="s">
        <v>112</v>
      </c>
      <c r="M3250" t="s">
        <v>113</v>
      </c>
      <c r="N3250" t="s">
        <v>1864</v>
      </c>
      <c r="O3250" t="s">
        <v>82</v>
      </c>
      <c r="P3250" t="str">
        <f>"2170714001                    "</f>
        <v xml:space="preserve">2170714001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8.58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 s="4">
        <v>50.45</v>
      </c>
      <c r="BM3250" s="4">
        <v>7.57</v>
      </c>
      <c r="BN3250" s="4">
        <v>58.02</v>
      </c>
      <c r="BO3250" s="4">
        <v>58.02</v>
      </c>
      <c r="BQ3250" t="s">
        <v>121</v>
      </c>
      <c r="BR3250" t="s">
        <v>84</v>
      </c>
      <c r="BS3250" s="3">
        <v>43796</v>
      </c>
      <c r="BT3250" s="5">
        <v>0.37222222222222223</v>
      </c>
      <c r="BU3250" t="s">
        <v>3147</v>
      </c>
      <c r="BV3250" t="s">
        <v>86</v>
      </c>
      <c r="BY3250">
        <v>1200</v>
      </c>
      <c r="CA3250" t="s">
        <v>255</v>
      </c>
      <c r="CC3250" t="s">
        <v>113</v>
      </c>
      <c r="CD3250">
        <v>4052</v>
      </c>
      <c r="CE3250" t="s">
        <v>147</v>
      </c>
      <c r="CF3250" s="3">
        <v>43797</v>
      </c>
      <c r="CI3250">
        <v>1</v>
      </c>
      <c r="CJ3250">
        <v>1</v>
      </c>
      <c r="CK3250">
        <v>21</v>
      </c>
      <c r="CL3250" t="s">
        <v>89</v>
      </c>
    </row>
    <row r="3251" spans="1:90">
      <c r="A3251" t="s">
        <v>72</v>
      </c>
      <c r="B3251" t="s">
        <v>73</v>
      </c>
      <c r="C3251" t="s">
        <v>74</v>
      </c>
      <c r="E3251" t="str">
        <f>"FES1162725193"</f>
        <v>FES1162725193</v>
      </c>
      <c r="F3251" s="3">
        <v>43795</v>
      </c>
      <c r="G3251">
        <v>202005</v>
      </c>
      <c r="H3251" t="s">
        <v>75</v>
      </c>
      <c r="I3251" t="s">
        <v>76</v>
      </c>
      <c r="J3251" t="s">
        <v>77</v>
      </c>
      <c r="K3251" t="s">
        <v>78</v>
      </c>
      <c r="L3251" t="s">
        <v>176</v>
      </c>
      <c r="M3251" t="s">
        <v>177</v>
      </c>
      <c r="N3251" t="s">
        <v>419</v>
      </c>
      <c r="O3251" t="s">
        <v>82</v>
      </c>
      <c r="P3251" t="str">
        <f>"2170718937                    "</f>
        <v xml:space="preserve">2170718937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8.58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 s="4">
        <v>50.45</v>
      </c>
      <c r="BM3251" s="4">
        <v>7.57</v>
      </c>
      <c r="BN3251" s="4">
        <v>58.02</v>
      </c>
      <c r="BO3251" s="4">
        <v>58.02</v>
      </c>
      <c r="BQ3251" t="s">
        <v>109</v>
      </c>
      <c r="BR3251" t="s">
        <v>84</v>
      </c>
      <c r="BS3251" s="3">
        <v>43796</v>
      </c>
      <c r="BT3251" s="5">
        <v>0.42152777777777778</v>
      </c>
      <c r="BU3251" t="s">
        <v>3148</v>
      </c>
      <c r="BV3251" t="s">
        <v>86</v>
      </c>
      <c r="BY3251">
        <v>1200</v>
      </c>
      <c r="CA3251" t="s">
        <v>2786</v>
      </c>
      <c r="CC3251" t="s">
        <v>177</v>
      </c>
      <c r="CD3251">
        <v>3620</v>
      </c>
      <c r="CE3251" t="s">
        <v>147</v>
      </c>
      <c r="CF3251" s="3">
        <v>43797</v>
      </c>
      <c r="CI3251">
        <v>1</v>
      </c>
      <c r="CJ3251">
        <v>1</v>
      </c>
      <c r="CK3251">
        <v>21</v>
      </c>
      <c r="CL3251" t="s">
        <v>89</v>
      </c>
    </row>
    <row r="3252" spans="1:90">
      <c r="A3252" t="s">
        <v>72</v>
      </c>
      <c r="B3252" t="s">
        <v>73</v>
      </c>
      <c r="C3252" t="s">
        <v>74</v>
      </c>
      <c r="E3252" t="str">
        <f>"FES1162725099"</f>
        <v>FES1162725099</v>
      </c>
      <c r="F3252" s="3">
        <v>43795</v>
      </c>
      <c r="G3252">
        <v>202005</v>
      </c>
      <c r="H3252" t="s">
        <v>75</v>
      </c>
      <c r="I3252" t="s">
        <v>76</v>
      </c>
      <c r="J3252" t="s">
        <v>77</v>
      </c>
      <c r="K3252" t="s">
        <v>78</v>
      </c>
      <c r="L3252" t="s">
        <v>270</v>
      </c>
      <c r="M3252" t="s">
        <v>271</v>
      </c>
      <c r="N3252" t="s">
        <v>1478</v>
      </c>
      <c r="O3252" t="s">
        <v>82</v>
      </c>
      <c r="P3252" t="str">
        <f>"2170713755                    "</f>
        <v xml:space="preserve">2170713755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8.58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 s="4">
        <v>50.45</v>
      </c>
      <c r="BM3252" s="4">
        <v>7.57</v>
      </c>
      <c r="BN3252" s="4">
        <v>58.02</v>
      </c>
      <c r="BO3252" s="4">
        <v>58.02</v>
      </c>
      <c r="BQ3252" t="s">
        <v>142</v>
      </c>
      <c r="BR3252" t="s">
        <v>84</v>
      </c>
      <c r="BS3252" s="3">
        <v>43796</v>
      </c>
      <c r="BT3252" s="5">
        <v>0.42222222222222222</v>
      </c>
      <c r="BU3252" t="s">
        <v>2218</v>
      </c>
      <c r="BV3252" t="s">
        <v>86</v>
      </c>
      <c r="BY3252">
        <v>1200</v>
      </c>
      <c r="CA3252" t="s">
        <v>773</v>
      </c>
      <c r="CC3252" t="s">
        <v>271</v>
      </c>
      <c r="CD3252">
        <v>6220</v>
      </c>
      <c r="CE3252" t="s">
        <v>147</v>
      </c>
      <c r="CF3252" s="3">
        <v>43797</v>
      </c>
      <c r="CI3252">
        <v>1</v>
      </c>
      <c r="CJ3252">
        <v>1</v>
      </c>
      <c r="CK3252">
        <v>21</v>
      </c>
      <c r="CL3252" t="s">
        <v>89</v>
      </c>
    </row>
    <row r="3253" spans="1:90">
      <c r="A3253" t="s">
        <v>72</v>
      </c>
      <c r="B3253" t="s">
        <v>73</v>
      </c>
      <c r="C3253" t="s">
        <v>74</v>
      </c>
      <c r="E3253" t="str">
        <f>"FES1162725113"</f>
        <v>FES1162725113</v>
      </c>
      <c r="F3253" s="3">
        <v>43795</v>
      </c>
      <c r="G3253">
        <v>202005</v>
      </c>
      <c r="H3253" t="s">
        <v>75</v>
      </c>
      <c r="I3253" t="s">
        <v>76</v>
      </c>
      <c r="J3253" t="s">
        <v>77</v>
      </c>
      <c r="K3253" t="s">
        <v>78</v>
      </c>
      <c r="L3253" t="s">
        <v>90</v>
      </c>
      <c r="M3253" t="s">
        <v>91</v>
      </c>
      <c r="N3253" t="s">
        <v>2594</v>
      </c>
      <c r="O3253" t="s">
        <v>82</v>
      </c>
      <c r="P3253" t="str">
        <f>"2170717799                    "</f>
        <v xml:space="preserve">2170717799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8.58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 s="4">
        <v>50.45</v>
      </c>
      <c r="BM3253" s="4">
        <v>7.57</v>
      </c>
      <c r="BN3253" s="4">
        <v>58.02</v>
      </c>
      <c r="BO3253" s="4">
        <v>58.02</v>
      </c>
      <c r="BQ3253" t="s">
        <v>121</v>
      </c>
      <c r="BR3253" t="s">
        <v>84</v>
      </c>
      <c r="BS3253" s="3">
        <v>43796</v>
      </c>
      <c r="BT3253" s="5">
        <v>0.3743055555555555</v>
      </c>
      <c r="BU3253" t="s">
        <v>3149</v>
      </c>
      <c r="BV3253" t="s">
        <v>86</v>
      </c>
      <c r="BY3253">
        <v>1200</v>
      </c>
      <c r="CA3253" t="s">
        <v>515</v>
      </c>
      <c r="CC3253" t="s">
        <v>91</v>
      </c>
      <c r="CD3253">
        <v>7493</v>
      </c>
      <c r="CE3253" t="s">
        <v>147</v>
      </c>
      <c r="CF3253" s="3">
        <v>43797</v>
      </c>
      <c r="CI3253">
        <v>1</v>
      </c>
      <c r="CJ3253">
        <v>1</v>
      </c>
      <c r="CK3253">
        <v>21</v>
      </c>
      <c r="CL3253" t="s">
        <v>89</v>
      </c>
    </row>
    <row r="3254" spans="1:90">
      <c r="A3254" t="s">
        <v>72</v>
      </c>
      <c r="B3254" t="s">
        <v>73</v>
      </c>
      <c r="C3254" t="s">
        <v>74</v>
      </c>
      <c r="E3254" t="str">
        <f>"FES1162725120"</f>
        <v>FES1162725120</v>
      </c>
      <c r="F3254" s="3">
        <v>43795</v>
      </c>
      <c r="G3254">
        <v>202005</v>
      </c>
      <c r="H3254" t="s">
        <v>75</v>
      </c>
      <c r="I3254" t="s">
        <v>76</v>
      </c>
      <c r="J3254" t="s">
        <v>77</v>
      </c>
      <c r="K3254" t="s">
        <v>78</v>
      </c>
      <c r="L3254" t="s">
        <v>106</v>
      </c>
      <c r="M3254" t="s">
        <v>107</v>
      </c>
      <c r="N3254" t="s">
        <v>3150</v>
      </c>
      <c r="O3254" t="s">
        <v>82</v>
      </c>
      <c r="P3254" t="str">
        <f>"2170718042                    "</f>
        <v xml:space="preserve">2170718042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8.58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1.3</v>
      </c>
      <c r="BJ3254">
        <v>1.5</v>
      </c>
      <c r="BK3254">
        <v>1.5</v>
      </c>
      <c r="BL3254" s="4">
        <v>50.45</v>
      </c>
      <c r="BM3254" s="4">
        <v>7.57</v>
      </c>
      <c r="BN3254" s="4">
        <v>58.02</v>
      </c>
      <c r="BO3254" s="4">
        <v>58.02</v>
      </c>
      <c r="BQ3254" t="s">
        <v>3151</v>
      </c>
      <c r="BR3254" t="s">
        <v>84</v>
      </c>
      <c r="BS3254" s="3">
        <v>43796</v>
      </c>
      <c r="BT3254" s="5">
        <v>0.3354166666666667</v>
      </c>
      <c r="BU3254" t="s">
        <v>3152</v>
      </c>
      <c r="BV3254" t="s">
        <v>86</v>
      </c>
      <c r="BY3254">
        <v>7702.29</v>
      </c>
      <c r="CA3254" t="s">
        <v>773</v>
      </c>
      <c r="CC3254" t="s">
        <v>107</v>
      </c>
      <c r="CD3254">
        <v>6001</v>
      </c>
      <c r="CE3254" t="s">
        <v>88</v>
      </c>
      <c r="CF3254" s="3">
        <v>43797</v>
      </c>
      <c r="CI3254">
        <v>1</v>
      </c>
      <c r="CJ3254">
        <v>1</v>
      </c>
      <c r="CK3254">
        <v>21</v>
      </c>
      <c r="CL3254" t="s">
        <v>89</v>
      </c>
    </row>
    <row r="3255" spans="1:90">
      <c r="A3255" t="s">
        <v>72</v>
      </c>
      <c r="B3255" t="s">
        <v>73</v>
      </c>
      <c r="C3255" t="s">
        <v>74</v>
      </c>
      <c r="E3255" t="str">
        <f>"FES1162725145"</f>
        <v>FES1162725145</v>
      </c>
      <c r="F3255" s="3">
        <v>43795</v>
      </c>
      <c r="G3255">
        <v>202005</v>
      </c>
      <c r="H3255" t="s">
        <v>75</v>
      </c>
      <c r="I3255" t="s">
        <v>76</v>
      </c>
      <c r="J3255" t="s">
        <v>77</v>
      </c>
      <c r="K3255" t="s">
        <v>78</v>
      </c>
      <c r="L3255" t="s">
        <v>90</v>
      </c>
      <c r="M3255" t="s">
        <v>91</v>
      </c>
      <c r="N3255" t="s">
        <v>527</v>
      </c>
      <c r="O3255" t="s">
        <v>82</v>
      </c>
      <c r="P3255" t="str">
        <f>"2170718867                    "</f>
        <v xml:space="preserve">2170718867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8.58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 s="4">
        <v>50.45</v>
      </c>
      <c r="BM3255" s="4">
        <v>7.57</v>
      </c>
      <c r="BN3255" s="4">
        <v>58.02</v>
      </c>
      <c r="BO3255" s="4">
        <v>58.02</v>
      </c>
      <c r="BQ3255" t="s">
        <v>109</v>
      </c>
      <c r="BR3255" t="s">
        <v>84</v>
      </c>
      <c r="BS3255" s="3">
        <v>43796</v>
      </c>
      <c r="BT3255" s="5">
        <v>0.31180555555555556</v>
      </c>
      <c r="BU3255" t="s">
        <v>3153</v>
      </c>
      <c r="BV3255" t="s">
        <v>86</v>
      </c>
      <c r="BY3255">
        <v>1200</v>
      </c>
      <c r="CA3255" t="s">
        <v>221</v>
      </c>
      <c r="CC3255" t="s">
        <v>91</v>
      </c>
      <c r="CD3255">
        <v>7405</v>
      </c>
      <c r="CE3255" t="s">
        <v>147</v>
      </c>
      <c r="CF3255" s="3">
        <v>43797</v>
      </c>
      <c r="CI3255">
        <v>1</v>
      </c>
      <c r="CJ3255">
        <v>1</v>
      </c>
      <c r="CK3255">
        <v>21</v>
      </c>
      <c r="CL3255" t="s">
        <v>89</v>
      </c>
    </row>
    <row r="3256" spans="1:90">
      <c r="A3256" t="s">
        <v>72</v>
      </c>
      <c r="B3256" t="s">
        <v>73</v>
      </c>
      <c r="C3256" t="s">
        <v>74</v>
      </c>
      <c r="E3256" t="str">
        <f>"FES1162725110"</f>
        <v>FES1162725110</v>
      </c>
      <c r="F3256" s="3">
        <v>43795</v>
      </c>
      <c r="G3256">
        <v>202005</v>
      </c>
      <c r="H3256" t="s">
        <v>75</v>
      </c>
      <c r="I3256" t="s">
        <v>76</v>
      </c>
      <c r="J3256" t="s">
        <v>77</v>
      </c>
      <c r="K3256" t="s">
        <v>78</v>
      </c>
      <c r="L3256" t="s">
        <v>124</v>
      </c>
      <c r="M3256" t="s">
        <v>125</v>
      </c>
      <c r="N3256" t="s">
        <v>2184</v>
      </c>
      <c r="O3256" t="s">
        <v>82</v>
      </c>
      <c r="P3256" t="str">
        <f>"2170717413                    "</f>
        <v xml:space="preserve">2170717413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6.71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 s="4">
        <v>39.42</v>
      </c>
      <c r="BM3256" s="4">
        <v>5.91</v>
      </c>
      <c r="BN3256" s="4">
        <v>45.33</v>
      </c>
      <c r="BO3256" s="4">
        <v>45.33</v>
      </c>
      <c r="BQ3256" t="s">
        <v>142</v>
      </c>
      <c r="BR3256" t="s">
        <v>84</v>
      </c>
      <c r="BS3256" s="3">
        <v>43796</v>
      </c>
      <c r="BT3256" s="5">
        <v>0.32500000000000001</v>
      </c>
      <c r="BU3256" t="s">
        <v>3107</v>
      </c>
      <c r="BV3256" t="s">
        <v>86</v>
      </c>
      <c r="BY3256">
        <v>1200</v>
      </c>
      <c r="CA3256" t="s">
        <v>123</v>
      </c>
      <c r="CC3256" t="s">
        <v>125</v>
      </c>
      <c r="CD3256">
        <v>2013</v>
      </c>
      <c r="CE3256" t="s">
        <v>147</v>
      </c>
      <c r="CF3256" s="3">
        <v>43797</v>
      </c>
      <c r="CI3256">
        <v>1</v>
      </c>
      <c r="CJ3256">
        <v>1</v>
      </c>
      <c r="CK3256">
        <v>22</v>
      </c>
      <c r="CL3256" t="s">
        <v>89</v>
      </c>
    </row>
    <row r="3257" spans="1:90">
      <c r="A3257" t="s">
        <v>72</v>
      </c>
      <c r="B3257" t="s">
        <v>73</v>
      </c>
      <c r="C3257" t="s">
        <v>74</v>
      </c>
      <c r="E3257" t="str">
        <f>"FES1162725187"</f>
        <v>FES1162725187</v>
      </c>
      <c r="F3257" s="3">
        <v>43795</v>
      </c>
      <c r="G3257">
        <v>202005</v>
      </c>
      <c r="H3257" t="s">
        <v>75</v>
      </c>
      <c r="I3257" t="s">
        <v>76</v>
      </c>
      <c r="J3257" t="s">
        <v>77</v>
      </c>
      <c r="K3257" t="s">
        <v>78</v>
      </c>
      <c r="L3257" t="s">
        <v>90</v>
      </c>
      <c r="M3257" t="s">
        <v>91</v>
      </c>
      <c r="N3257" t="s">
        <v>1825</v>
      </c>
      <c r="O3257" t="s">
        <v>82</v>
      </c>
      <c r="P3257" t="str">
        <f>"2170716876                    "</f>
        <v xml:space="preserve">2170716876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8.58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 s="4">
        <v>50.45</v>
      </c>
      <c r="BM3257" s="4">
        <v>7.57</v>
      </c>
      <c r="BN3257" s="4">
        <v>58.02</v>
      </c>
      <c r="BO3257" s="4">
        <v>58.02</v>
      </c>
      <c r="BQ3257" t="s">
        <v>121</v>
      </c>
      <c r="BR3257" t="s">
        <v>84</v>
      </c>
      <c r="BS3257" s="3">
        <v>43796</v>
      </c>
      <c r="BT3257" s="5">
        <v>0.40138888888888885</v>
      </c>
      <c r="BU3257" t="s">
        <v>3154</v>
      </c>
      <c r="BV3257" t="s">
        <v>86</v>
      </c>
      <c r="BY3257">
        <v>1200</v>
      </c>
      <c r="CA3257" t="s">
        <v>2527</v>
      </c>
      <c r="CC3257" t="s">
        <v>91</v>
      </c>
      <c r="CD3257">
        <v>7460</v>
      </c>
      <c r="CE3257" t="s">
        <v>147</v>
      </c>
      <c r="CF3257" s="3">
        <v>43797</v>
      </c>
      <c r="CI3257">
        <v>1</v>
      </c>
      <c r="CJ3257">
        <v>1</v>
      </c>
      <c r="CK3257">
        <v>21</v>
      </c>
      <c r="CL3257" t="s">
        <v>89</v>
      </c>
    </row>
    <row r="3258" spans="1:90">
      <c r="A3258" t="s">
        <v>72</v>
      </c>
      <c r="B3258" t="s">
        <v>73</v>
      </c>
      <c r="C3258" t="s">
        <v>74</v>
      </c>
      <c r="E3258" t="str">
        <f>"FES1162725105"</f>
        <v>FES1162725105</v>
      </c>
      <c r="F3258" s="3">
        <v>43795</v>
      </c>
      <c r="G3258">
        <v>202005</v>
      </c>
      <c r="H3258" t="s">
        <v>75</v>
      </c>
      <c r="I3258" t="s">
        <v>76</v>
      </c>
      <c r="J3258" t="s">
        <v>77</v>
      </c>
      <c r="K3258" t="s">
        <v>78</v>
      </c>
      <c r="L3258" t="s">
        <v>75</v>
      </c>
      <c r="M3258" t="s">
        <v>76</v>
      </c>
      <c r="N3258" t="s">
        <v>366</v>
      </c>
      <c r="O3258" t="s">
        <v>82</v>
      </c>
      <c r="P3258" t="str">
        <f>"2170716815                    "</f>
        <v xml:space="preserve">2170716815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6.71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 s="4">
        <v>39.42</v>
      </c>
      <c r="BM3258" s="4">
        <v>5.91</v>
      </c>
      <c r="BN3258" s="4">
        <v>45.33</v>
      </c>
      <c r="BO3258" s="4">
        <v>45.33</v>
      </c>
      <c r="BR3258" t="s">
        <v>84</v>
      </c>
      <c r="BS3258" s="3">
        <v>43796</v>
      </c>
      <c r="BT3258" s="5">
        <v>0.33333333333333331</v>
      </c>
      <c r="BU3258" t="s">
        <v>3155</v>
      </c>
      <c r="BV3258" t="s">
        <v>86</v>
      </c>
      <c r="BY3258">
        <v>1200</v>
      </c>
      <c r="CA3258" t="s">
        <v>368</v>
      </c>
      <c r="CC3258" t="s">
        <v>76</v>
      </c>
      <c r="CD3258">
        <v>1624</v>
      </c>
      <c r="CE3258" t="s">
        <v>147</v>
      </c>
      <c r="CF3258" s="3">
        <v>43797</v>
      </c>
      <c r="CI3258">
        <v>1</v>
      </c>
      <c r="CJ3258">
        <v>1</v>
      </c>
      <c r="CK3258">
        <v>22</v>
      </c>
      <c r="CL3258" t="s">
        <v>89</v>
      </c>
    </row>
    <row r="3259" spans="1:90">
      <c r="A3259" t="s">
        <v>72</v>
      </c>
      <c r="B3259" t="s">
        <v>73</v>
      </c>
      <c r="C3259" t="s">
        <v>74</v>
      </c>
      <c r="E3259" t="str">
        <f>"FES1162725159"</f>
        <v>FES1162725159</v>
      </c>
      <c r="F3259" s="3">
        <v>43795</v>
      </c>
      <c r="G3259">
        <v>202005</v>
      </c>
      <c r="H3259" t="s">
        <v>75</v>
      </c>
      <c r="I3259" t="s">
        <v>76</v>
      </c>
      <c r="J3259" t="s">
        <v>77</v>
      </c>
      <c r="K3259" t="s">
        <v>78</v>
      </c>
      <c r="L3259" t="s">
        <v>124</v>
      </c>
      <c r="M3259" t="s">
        <v>125</v>
      </c>
      <c r="N3259" t="s">
        <v>218</v>
      </c>
      <c r="O3259" t="s">
        <v>82</v>
      </c>
      <c r="P3259" t="str">
        <f>"2170718880                    "</f>
        <v xml:space="preserve">2170718880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9.92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3.2</v>
      </c>
      <c r="BJ3259">
        <v>4</v>
      </c>
      <c r="BK3259">
        <v>4</v>
      </c>
      <c r="BL3259" s="4">
        <v>58.31</v>
      </c>
      <c r="BM3259" s="4">
        <v>8.75</v>
      </c>
      <c r="BN3259" s="4">
        <v>67.06</v>
      </c>
      <c r="BO3259" s="4">
        <v>67.06</v>
      </c>
      <c r="BQ3259" t="s">
        <v>121</v>
      </c>
      <c r="BR3259" t="s">
        <v>84</v>
      </c>
      <c r="BS3259" s="3">
        <v>43796</v>
      </c>
      <c r="BT3259" s="5">
        <v>0.38611111111111113</v>
      </c>
      <c r="BU3259" t="s">
        <v>838</v>
      </c>
      <c r="BV3259" t="s">
        <v>86</v>
      </c>
      <c r="BY3259">
        <v>20075.099999999999</v>
      </c>
      <c r="CA3259" t="s">
        <v>837</v>
      </c>
      <c r="CC3259" t="s">
        <v>125</v>
      </c>
      <c r="CD3259">
        <v>2094</v>
      </c>
      <c r="CE3259" t="s">
        <v>88</v>
      </c>
      <c r="CF3259" s="3">
        <v>43797</v>
      </c>
      <c r="CI3259">
        <v>1</v>
      </c>
      <c r="CJ3259">
        <v>1</v>
      </c>
      <c r="CK3259">
        <v>22</v>
      </c>
      <c r="CL3259" t="s">
        <v>89</v>
      </c>
    </row>
    <row r="3260" spans="1:90">
      <c r="A3260" t="s">
        <v>72</v>
      </c>
      <c r="B3260" t="s">
        <v>73</v>
      </c>
      <c r="C3260" t="s">
        <v>74</v>
      </c>
      <c r="E3260" t="str">
        <f>"FES1162725140"</f>
        <v>FES1162725140</v>
      </c>
      <c r="F3260" s="3">
        <v>43795</v>
      </c>
      <c r="G3260">
        <v>202005</v>
      </c>
      <c r="H3260" t="s">
        <v>75</v>
      </c>
      <c r="I3260" t="s">
        <v>76</v>
      </c>
      <c r="J3260" t="s">
        <v>77</v>
      </c>
      <c r="K3260" t="s">
        <v>78</v>
      </c>
      <c r="L3260" t="s">
        <v>90</v>
      </c>
      <c r="M3260" t="s">
        <v>91</v>
      </c>
      <c r="N3260" t="s">
        <v>1306</v>
      </c>
      <c r="O3260" t="s">
        <v>82</v>
      </c>
      <c r="P3260" t="str">
        <f>"2170718855                    "</f>
        <v xml:space="preserve">2170718855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15.02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1.8</v>
      </c>
      <c r="BJ3260">
        <v>3.2</v>
      </c>
      <c r="BK3260">
        <v>3.5</v>
      </c>
      <c r="BL3260" s="4">
        <v>88.27</v>
      </c>
      <c r="BM3260" s="4">
        <v>13.24</v>
      </c>
      <c r="BN3260" s="4">
        <v>101.51</v>
      </c>
      <c r="BO3260" s="4">
        <v>101.51</v>
      </c>
      <c r="BQ3260" t="s">
        <v>1307</v>
      </c>
      <c r="BR3260" t="s">
        <v>84</v>
      </c>
      <c r="BS3260" s="3">
        <v>43796</v>
      </c>
      <c r="BT3260" s="5">
        <v>0.34791666666666665</v>
      </c>
      <c r="BU3260" t="s">
        <v>3156</v>
      </c>
      <c r="BV3260" t="s">
        <v>86</v>
      </c>
      <c r="BY3260">
        <v>16098.26</v>
      </c>
      <c r="CA3260" t="s">
        <v>1309</v>
      </c>
      <c r="CC3260" t="s">
        <v>91</v>
      </c>
      <c r="CD3260">
        <v>7530</v>
      </c>
      <c r="CE3260" t="s">
        <v>88</v>
      </c>
      <c r="CF3260" s="3">
        <v>43797</v>
      </c>
      <c r="CI3260">
        <v>1</v>
      </c>
      <c r="CJ3260">
        <v>1</v>
      </c>
      <c r="CK3260">
        <v>21</v>
      </c>
      <c r="CL3260" t="s">
        <v>89</v>
      </c>
    </row>
    <row r="3261" spans="1:90">
      <c r="A3261" t="s">
        <v>72</v>
      </c>
      <c r="B3261" t="s">
        <v>73</v>
      </c>
      <c r="C3261" t="s">
        <v>74</v>
      </c>
      <c r="E3261" t="str">
        <f>"FES1162725124"</f>
        <v>FES1162725124</v>
      </c>
      <c r="F3261" s="3">
        <v>43795</v>
      </c>
      <c r="G3261">
        <v>202005</v>
      </c>
      <c r="H3261" t="s">
        <v>75</v>
      </c>
      <c r="I3261" t="s">
        <v>76</v>
      </c>
      <c r="J3261" t="s">
        <v>77</v>
      </c>
      <c r="K3261" t="s">
        <v>78</v>
      </c>
      <c r="L3261" t="s">
        <v>106</v>
      </c>
      <c r="M3261" t="s">
        <v>107</v>
      </c>
      <c r="N3261" t="s">
        <v>108</v>
      </c>
      <c r="O3261" t="s">
        <v>82</v>
      </c>
      <c r="P3261" t="str">
        <f>"2170718300                    "</f>
        <v xml:space="preserve">2170718300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34.31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7.9</v>
      </c>
      <c r="BJ3261">
        <v>4.0999999999999996</v>
      </c>
      <c r="BK3261">
        <v>8</v>
      </c>
      <c r="BL3261" s="4">
        <v>201.7</v>
      </c>
      <c r="BM3261" s="4">
        <v>30.26</v>
      </c>
      <c r="BN3261" s="4">
        <v>231.96</v>
      </c>
      <c r="BO3261" s="4">
        <v>231.96</v>
      </c>
      <c r="BQ3261" t="s">
        <v>109</v>
      </c>
      <c r="BR3261" t="s">
        <v>84</v>
      </c>
      <c r="BS3261" s="3">
        <v>43796</v>
      </c>
      <c r="BT3261" s="5">
        <v>0.43541666666666662</v>
      </c>
      <c r="BU3261" t="s">
        <v>1614</v>
      </c>
      <c r="BV3261" t="s">
        <v>86</v>
      </c>
      <c r="BY3261">
        <v>20306</v>
      </c>
      <c r="CA3261" t="s">
        <v>111</v>
      </c>
      <c r="CC3261" t="s">
        <v>107</v>
      </c>
      <c r="CD3261">
        <v>6001</v>
      </c>
      <c r="CE3261" t="s">
        <v>88</v>
      </c>
      <c r="CF3261" s="3">
        <v>43797</v>
      </c>
      <c r="CI3261">
        <v>1</v>
      </c>
      <c r="CJ3261">
        <v>1</v>
      </c>
      <c r="CK3261">
        <v>21</v>
      </c>
      <c r="CL3261" t="s">
        <v>89</v>
      </c>
    </row>
    <row r="3262" spans="1:90">
      <c r="A3262" t="s">
        <v>72</v>
      </c>
      <c r="B3262" t="s">
        <v>73</v>
      </c>
      <c r="C3262" t="s">
        <v>74</v>
      </c>
      <c r="E3262" t="str">
        <f>"FES1162725116"</f>
        <v>FES1162725116</v>
      </c>
      <c r="F3262" s="3">
        <v>43795</v>
      </c>
      <c r="G3262">
        <v>202005</v>
      </c>
      <c r="H3262" t="s">
        <v>75</v>
      </c>
      <c r="I3262" t="s">
        <v>76</v>
      </c>
      <c r="J3262" t="s">
        <v>77</v>
      </c>
      <c r="K3262" t="s">
        <v>78</v>
      </c>
      <c r="L3262" t="s">
        <v>106</v>
      </c>
      <c r="M3262" t="s">
        <v>107</v>
      </c>
      <c r="N3262" t="s">
        <v>153</v>
      </c>
      <c r="O3262" t="s">
        <v>82</v>
      </c>
      <c r="P3262" t="str">
        <f>"2170717921                    "</f>
        <v xml:space="preserve">2170717921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8.58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 s="4">
        <v>50.45</v>
      </c>
      <c r="BM3262" s="4">
        <v>7.57</v>
      </c>
      <c r="BN3262" s="4">
        <v>58.02</v>
      </c>
      <c r="BO3262" s="4">
        <v>58.02</v>
      </c>
      <c r="BQ3262" t="s">
        <v>121</v>
      </c>
      <c r="BR3262" t="s">
        <v>84</v>
      </c>
      <c r="BS3262" s="3">
        <v>43796</v>
      </c>
      <c r="BT3262" s="5">
        <v>0.39861111111111108</v>
      </c>
      <c r="BU3262" t="s">
        <v>3129</v>
      </c>
      <c r="BV3262" t="s">
        <v>86</v>
      </c>
      <c r="BY3262">
        <v>1200</v>
      </c>
      <c r="CA3262" t="s">
        <v>2415</v>
      </c>
      <c r="CC3262" t="s">
        <v>107</v>
      </c>
      <c r="CD3262">
        <v>6001</v>
      </c>
      <c r="CE3262" t="s">
        <v>147</v>
      </c>
      <c r="CF3262" s="3">
        <v>43797</v>
      </c>
      <c r="CI3262">
        <v>1</v>
      </c>
      <c r="CJ3262">
        <v>1</v>
      </c>
      <c r="CK3262">
        <v>21</v>
      </c>
      <c r="CL3262" t="s">
        <v>89</v>
      </c>
    </row>
    <row r="3263" spans="1:90">
      <c r="A3263" t="s">
        <v>72</v>
      </c>
      <c r="B3263" t="s">
        <v>73</v>
      </c>
      <c r="C3263" t="s">
        <v>74</v>
      </c>
      <c r="E3263" t="str">
        <f>"FES1162725136"</f>
        <v>FES1162725136</v>
      </c>
      <c r="F3263" s="3">
        <v>43795</v>
      </c>
      <c r="G3263">
        <v>202005</v>
      </c>
      <c r="H3263" t="s">
        <v>75</v>
      </c>
      <c r="I3263" t="s">
        <v>76</v>
      </c>
      <c r="J3263" t="s">
        <v>77</v>
      </c>
      <c r="K3263" t="s">
        <v>78</v>
      </c>
      <c r="L3263" t="s">
        <v>106</v>
      </c>
      <c r="M3263" t="s">
        <v>107</v>
      </c>
      <c r="N3263" t="s">
        <v>771</v>
      </c>
      <c r="O3263" t="s">
        <v>82</v>
      </c>
      <c r="P3263" t="str">
        <f>"2170718844                    "</f>
        <v xml:space="preserve">2170718844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8.58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 s="4">
        <v>50.45</v>
      </c>
      <c r="BM3263" s="4">
        <v>7.57</v>
      </c>
      <c r="BN3263" s="4">
        <v>58.02</v>
      </c>
      <c r="BO3263" s="4">
        <v>58.02</v>
      </c>
      <c r="BQ3263" t="s">
        <v>109</v>
      </c>
      <c r="BR3263" t="s">
        <v>84</v>
      </c>
      <c r="BS3263" s="3">
        <v>43796</v>
      </c>
      <c r="BT3263" s="5">
        <v>0.39583333333333331</v>
      </c>
      <c r="BU3263" t="s">
        <v>1816</v>
      </c>
      <c r="BV3263" t="s">
        <v>86</v>
      </c>
      <c r="BY3263">
        <v>1200</v>
      </c>
      <c r="CA3263" t="s">
        <v>773</v>
      </c>
      <c r="CC3263" t="s">
        <v>107</v>
      </c>
      <c r="CD3263">
        <v>6012</v>
      </c>
      <c r="CE3263" t="s">
        <v>147</v>
      </c>
      <c r="CF3263" s="3">
        <v>43797</v>
      </c>
      <c r="CI3263">
        <v>1</v>
      </c>
      <c r="CJ3263">
        <v>1</v>
      </c>
      <c r="CK3263">
        <v>21</v>
      </c>
      <c r="CL3263" t="s">
        <v>89</v>
      </c>
    </row>
    <row r="3264" spans="1:90">
      <c r="A3264" t="s">
        <v>72</v>
      </c>
      <c r="B3264" t="s">
        <v>73</v>
      </c>
      <c r="C3264" t="s">
        <v>74</v>
      </c>
      <c r="E3264" t="str">
        <f>"FES1162725172"</f>
        <v>FES1162725172</v>
      </c>
      <c r="F3264" s="3">
        <v>43795</v>
      </c>
      <c r="G3264">
        <v>202005</v>
      </c>
      <c r="H3264" t="s">
        <v>75</v>
      </c>
      <c r="I3264" t="s">
        <v>76</v>
      </c>
      <c r="J3264" t="s">
        <v>77</v>
      </c>
      <c r="K3264" t="s">
        <v>78</v>
      </c>
      <c r="L3264" t="s">
        <v>90</v>
      </c>
      <c r="M3264" t="s">
        <v>91</v>
      </c>
      <c r="N3264" t="s">
        <v>576</v>
      </c>
      <c r="O3264" t="s">
        <v>82</v>
      </c>
      <c r="P3264" t="str">
        <f>"2170718907                    "</f>
        <v xml:space="preserve">2170718907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8.58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 s="4">
        <v>50.45</v>
      </c>
      <c r="BM3264" s="4">
        <v>7.57</v>
      </c>
      <c r="BN3264" s="4">
        <v>58.02</v>
      </c>
      <c r="BO3264" s="4">
        <v>58.02</v>
      </c>
      <c r="BQ3264" t="s">
        <v>109</v>
      </c>
      <c r="BR3264" t="s">
        <v>84</v>
      </c>
      <c r="BS3264" s="3">
        <v>43796</v>
      </c>
      <c r="BT3264" s="5">
        <v>0.35833333333333334</v>
      </c>
      <c r="BU3264" t="s">
        <v>1477</v>
      </c>
      <c r="BV3264" t="s">
        <v>86</v>
      </c>
      <c r="BY3264">
        <v>1200</v>
      </c>
      <c r="CA3264" t="s">
        <v>213</v>
      </c>
      <c r="CC3264" t="s">
        <v>91</v>
      </c>
      <c r="CD3264">
        <v>7441</v>
      </c>
      <c r="CE3264" t="s">
        <v>147</v>
      </c>
      <c r="CF3264" s="3">
        <v>43797</v>
      </c>
      <c r="CI3264">
        <v>1</v>
      </c>
      <c r="CJ3264">
        <v>1</v>
      </c>
      <c r="CK3264">
        <v>21</v>
      </c>
      <c r="CL3264" t="s">
        <v>89</v>
      </c>
    </row>
    <row r="3265" spans="1:90">
      <c r="A3265" t="s">
        <v>72</v>
      </c>
      <c r="B3265" t="s">
        <v>73</v>
      </c>
      <c r="C3265" t="s">
        <v>74</v>
      </c>
      <c r="E3265" t="str">
        <f>"FES1162725114"</f>
        <v>FES1162725114</v>
      </c>
      <c r="F3265" s="3">
        <v>43795</v>
      </c>
      <c r="G3265">
        <v>202005</v>
      </c>
      <c r="H3265" t="s">
        <v>75</v>
      </c>
      <c r="I3265" t="s">
        <v>76</v>
      </c>
      <c r="J3265" t="s">
        <v>77</v>
      </c>
      <c r="K3265" t="s">
        <v>78</v>
      </c>
      <c r="L3265" t="s">
        <v>79</v>
      </c>
      <c r="M3265" t="s">
        <v>80</v>
      </c>
      <c r="N3265" t="s">
        <v>456</v>
      </c>
      <c r="O3265" t="s">
        <v>82</v>
      </c>
      <c r="P3265" t="str">
        <f>"2170717887                    "</f>
        <v xml:space="preserve">2170717887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8.58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 s="4">
        <v>50.45</v>
      </c>
      <c r="BM3265" s="4">
        <v>7.57</v>
      </c>
      <c r="BN3265" s="4">
        <v>58.02</v>
      </c>
      <c r="BO3265" s="4">
        <v>58.02</v>
      </c>
      <c r="BQ3265" t="s">
        <v>109</v>
      </c>
      <c r="BR3265" t="s">
        <v>84</v>
      </c>
      <c r="BS3265" s="3">
        <v>43796</v>
      </c>
      <c r="BT3265" s="5">
        <v>0.3298611111111111</v>
      </c>
      <c r="BU3265" t="s">
        <v>1484</v>
      </c>
      <c r="BV3265" t="s">
        <v>86</v>
      </c>
      <c r="BY3265">
        <v>1200</v>
      </c>
      <c r="CA3265" t="s">
        <v>87</v>
      </c>
      <c r="CC3265" t="s">
        <v>80</v>
      </c>
      <c r="CD3265">
        <v>6230</v>
      </c>
      <c r="CE3265" t="s">
        <v>147</v>
      </c>
      <c r="CF3265" s="3">
        <v>43797</v>
      </c>
      <c r="CI3265">
        <v>1</v>
      </c>
      <c r="CJ3265">
        <v>1</v>
      </c>
      <c r="CK3265">
        <v>21</v>
      </c>
      <c r="CL3265" t="s">
        <v>89</v>
      </c>
    </row>
    <row r="3266" spans="1:90">
      <c r="A3266" t="s">
        <v>72</v>
      </c>
      <c r="B3266" t="s">
        <v>73</v>
      </c>
      <c r="C3266" t="s">
        <v>74</v>
      </c>
      <c r="E3266" t="str">
        <f>"FES1162725163"</f>
        <v>FES1162725163</v>
      </c>
      <c r="F3266" s="3">
        <v>43795</v>
      </c>
      <c r="G3266">
        <v>202005</v>
      </c>
      <c r="H3266" t="s">
        <v>75</v>
      </c>
      <c r="I3266" t="s">
        <v>76</v>
      </c>
      <c r="J3266" t="s">
        <v>77</v>
      </c>
      <c r="K3266" t="s">
        <v>78</v>
      </c>
      <c r="L3266" t="s">
        <v>124</v>
      </c>
      <c r="M3266" t="s">
        <v>125</v>
      </c>
      <c r="N3266" t="s">
        <v>230</v>
      </c>
      <c r="O3266" t="s">
        <v>82</v>
      </c>
      <c r="P3266" t="str">
        <f>"21707188886                   "</f>
        <v xml:space="preserve">21707188886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6.71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 s="4">
        <v>39.42</v>
      </c>
      <c r="BM3266" s="4">
        <v>5.91</v>
      </c>
      <c r="BN3266" s="4">
        <v>45.33</v>
      </c>
      <c r="BO3266" s="4">
        <v>45.33</v>
      </c>
      <c r="BQ3266" t="s">
        <v>109</v>
      </c>
      <c r="BR3266" t="s">
        <v>84</v>
      </c>
      <c r="BS3266" s="3">
        <v>43796</v>
      </c>
      <c r="BT3266" s="5">
        <v>0.375</v>
      </c>
      <c r="BU3266" t="s">
        <v>1039</v>
      </c>
      <c r="BV3266" t="s">
        <v>86</v>
      </c>
      <c r="BY3266">
        <v>1200</v>
      </c>
      <c r="CA3266" t="s">
        <v>123</v>
      </c>
      <c r="CC3266" t="s">
        <v>125</v>
      </c>
      <c r="CD3266">
        <v>2091</v>
      </c>
      <c r="CE3266" t="s">
        <v>147</v>
      </c>
      <c r="CF3266" s="3">
        <v>43797</v>
      </c>
      <c r="CI3266">
        <v>1</v>
      </c>
      <c r="CJ3266">
        <v>1</v>
      </c>
      <c r="CK3266">
        <v>22</v>
      </c>
      <c r="CL3266" t="s">
        <v>89</v>
      </c>
    </row>
    <row r="3267" spans="1:90">
      <c r="A3267" t="s">
        <v>72</v>
      </c>
      <c r="B3267" t="s">
        <v>73</v>
      </c>
      <c r="C3267" t="s">
        <v>74</v>
      </c>
      <c r="E3267" t="str">
        <f>"FES1162725160"</f>
        <v>FES1162725160</v>
      </c>
      <c r="F3267" s="3">
        <v>43795</v>
      </c>
      <c r="G3267">
        <v>202005</v>
      </c>
      <c r="H3267" t="s">
        <v>75</v>
      </c>
      <c r="I3267" t="s">
        <v>76</v>
      </c>
      <c r="J3267" t="s">
        <v>77</v>
      </c>
      <c r="K3267" t="s">
        <v>78</v>
      </c>
      <c r="L3267" t="s">
        <v>124</v>
      </c>
      <c r="M3267" t="s">
        <v>125</v>
      </c>
      <c r="N3267" t="s">
        <v>218</v>
      </c>
      <c r="O3267" t="s">
        <v>82</v>
      </c>
      <c r="P3267" t="str">
        <f>"21707188883                   "</f>
        <v xml:space="preserve">21707188883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6.71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 s="4">
        <v>39.42</v>
      </c>
      <c r="BM3267" s="4">
        <v>5.91</v>
      </c>
      <c r="BN3267" s="4">
        <v>45.33</v>
      </c>
      <c r="BO3267" s="4">
        <v>45.33</v>
      </c>
      <c r="BQ3267" t="s">
        <v>121</v>
      </c>
      <c r="BR3267" t="s">
        <v>84</v>
      </c>
      <c r="BS3267" s="3">
        <v>43796</v>
      </c>
      <c r="BT3267" s="5">
        <v>0.38680555555555557</v>
      </c>
      <c r="BU3267" t="s">
        <v>838</v>
      </c>
      <c r="BV3267" t="s">
        <v>86</v>
      </c>
      <c r="BY3267">
        <v>1200</v>
      </c>
      <c r="CA3267" t="s">
        <v>837</v>
      </c>
      <c r="CC3267" t="s">
        <v>125</v>
      </c>
      <c r="CD3267">
        <v>2094</v>
      </c>
      <c r="CE3267" t="s">
        <v>147</v>
      </c>
      <c r="CF3267" s="3">
        <v>43797</v>
      </c>
      <c r="CI3267">
        <v>1</v>
      </c>
      <c r="CJ3267">
        <v>1</v>
      </c>
      <c r="CK3267">
        <v>22</v>
      </c>
      <c r="CL3267" t="s">
        <v>89</v>
      </c>
    </row>
    <row r="3268" spans="1:90">
      <c r="A3268" t="s">
        <v>72</v>
      </c>
      <c r="B3268" t="s">
        <v>73</v>
      </c>
      <c r="C3268" t="s">
        <v>74</v>
      </c>
      <c r="E3268" t="str">
        <f>"FES1162725098"</f>
        <v>FES1162725098</v>
      </c>
      <c r="F3268" s="3">
        <v>43795</v>
      </c>
      <c r="G3268">
        <v>202005</v>
      </c>
      <c r="H3268" t="s">
        <v>75</v>
      </c>
      <c r="I3268" t="s">
        <v>76</v>
      </c>
      <c r="J3268" t="s">
        <v>77</v>
      </c>
      <c r="K3268" t="s">
        <v>78</v>
      </c>
      <c r="L3268" t="s">
        <v>339</v>
      </c>
      <c r="M3268" t="s">
        <v>340</v>
      </c>
      <c r="N3268" t="s">
        <v>341</v>
      </c>
      <c r="O3268" t="s">
        <v>82</v>
      </c>
      <c r="P3268" t="str">
        <f>"2170713701                    "</f>
        <v xml:space="preserve">2170713701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8.58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 s="4">
        <v>50.45</v>
      </c>
      <c r="BM3268" s="4">
        <v>7.57</v>
      </c>
      <c r="BN3268" s="4">
        <v>58.02</v>
      </c>
      <c r="BO3268" s="4">
        <v>58.02</v>
      </c>
      <c r="BQ3268" t="s">
        <v>109</v>
      </c>
      <c r="BR3268" t="s">
        <v>84</v>
      </c>
      <c r="BS3268" s="3">
        <v>43796</v>
      </c>
      <c r="BT3268" s="5">
        <v>0.3923611111111111</v>
      </c>
      <c r="BU3268" t="s">
        <v>3157</v>
      </c>
      <c r="BV3268" t="s">
        <v>86</v>
      </c>
      <c r="BY3268">
        <v>1200</v>
      </c>
      <c r="CA3268" t="s">
        <v>869</v>
      </c>
      <c r="CC3268" t="s">
        <v>340</v>
      </c>
      <c r="CD3268">
        <v>157</v>
      </c>
      <c r="CE3268" t="s">
        <v>147</v>
      </c>
      <c r="CF3268" s="3">
        <v>43797</v>
      </c>
      <c r="CI3268">
        <v>1</v>
      </c>
      <c r="CJ3268">
        <v>1</v>
      </c>
      <c r="CK3268">
        <v>21</v>
      </c>
      <c r="CL3268" t="s">
        <v>89</v>
      </c>
    </row>
    <row r="3269" spans="1:90">
      <c r="A3269" t="s">
        <v>72</v>
      </c>
      <c r="B3269" t="s">
        <v>73</v>
      </c>
      <c r="C3269" t="s">
        <v>74</v>
      </c>
      <c r="E3269" t="str">
        <f>"FES1162725182"</f>
        <v>FES1162725182</v>
      </c>
      <c r="F3269" s="3">
        <v>43795</v>
      </c>
      <c r="G3269">
        <v>202005</v>
      </c>
      <c r="H3269" t="s">
        <v>75</v>
      </c>
      <c r="I3269" t="s">
        <v>76</v>
      </c>
      <c r="J3269" t="s">
        <v>77</v>
      </c>
      <c r="K3269" t="s">
        <v>78</v>
      </c>
      <c r="L3269" t="s">
        <v>90</v>
      </c>
      <c r="M3269" t="s">
        <v>91</v>
      </c>
      <c r="N3269" t="s">
        <v>1854</v>
      </c>
      <c r="O3269" t="s">
        <v>82</v>
      </c>
      <c r="P3269" t="str">
        <f>"2170718922                    "</f>
        <v xml:space="preserve">2170718922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8.58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 s="4">
        <v>50.45</v>
      </c>
      <c r="BM3269" s="4">
        <v>7.57</v>
      </c>
      <c r="BN3269" s="4">
        <v>58.02</v>
      </c>
      <c r="BO3269" s="4">
        <v>58.02</v>
      </c>
      <c r="BQ3269" t="s">
        <v>109</v>
      </c>
      <c r="BR3269" t="s">
        <v>84</v>
      </c>
      <c r="BS3269" s="3">
        <v>43796</v>
      </c>
      <c r="BT3269" s="5">
        <v>0.42152777777777778</v>
      </c>
      <c r="BU3269" t="s">
        <v>3158</v>
      </c>
      <c r="BV3269" t="s">
        <v>86</v>
      </c>
      <c r="BY3269">
        <v>1200</v>
      </c>
      <c r="CA3269" t="s">
        <v>680</v>
      </c>
      <c r="CC3269" t="s">
        <v>91</v>
      </c>
      <c r="CD3269">
        <v>7480</v>
      </c>
      <c r="CE3269" t="s">
        <v>147</v>
      </c>
      <c r="CF3269" s="3">
        <v>43797</v>
      </c>
      <c r="CI3269">
        <v>1</v>
      </c>
      <c r="CJ3269">
        <v>1</v>
      </c>
      <c r="CK3269">
        <v>21</v>
      </c>
      <c r="CL3269" t="s">
        <v>89</v>
      </c>
    </row>
    <row r="3270" spans="1:90">
      <c r="A3270" t="s">
        <v>72</v>
      </c>
      <c r="B3270" t="s">
        <v>73</v>
      </c>
      <c r="C3270" t="s">
        <v>74</v>
      </c>
      <c r="E3270" t="str">
        <f>"FES1162725069"</f>
        <v>FES1162725069</v>
      </c>
      <c r="F3270" s="3">
        <v>43795</v>
      </c>
      <c r="G3270">
        <v>202005</v>
      </c>
      <c r="H3270" t="s">
        <v>75</v>
      </c>
      <c r="I3270" t="s">
        <v>76</v>
      </c>
      <c r="J3270" t="s">
        <v>77</v>
      </c>
      <c r="K3270" t="s">
        <v>78</v>
      </c>
      <c r="L3270" t="s">
        <v>90</v>
      </c>
      <c r="M3270" t="s">
        <v>91</v>
      </c>
      <c r="N3270" t="s">
        <v>945</v>
      </c>
      <c r="O3270" t="s">
        <v>82</v>
      </c>
      <c r="P3270" t="str">
        <f>"217071451                     "</f>
        <v xml:space="preserve">217071451 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8.58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 s="4">
        <v>50.45</v>
      </c>
      <c r="BM3270" s="4">
        <v>7.57</v>
      </c>
      <c r="BN3270" s="4">
        <v>58.02</v>
      </c>
      <c r="BO3270" s="4">
        <v>58.02</v>
      </c>
      <c r="BQ3270" t="s">
        <v>121</v>
      </c>
      <c r="BR3270" t="s">
        <v>84</v>
      </c>
      <c r="BS3270" s="3">
        <v>43796</v>
      </c>
      <c r="BT3270" s="5">
        <v>0.33819444444444446</v>
      </c>
      <c r="BU3270" t="s">
        <v>3159</v>
      </c>
      <c r="BV3270" t="s">
        <v>86</v>
      </c>
      <c r="BY3270">
        <v>1200</v>
      </c>
      <c r="CA3270" t="s">
        <v>2527</v>
      </c>
      <c r="CC3270" t="s">
        <v>91</v>
      </c>
      <c r="CD3270">
        <v>7460</v>
      </c>
      <c r="CE3270" t="s">
        <v>147</v>
      </c>
      <c r="CF3270" s="3">
        <v>43797</v>
      </c>
      <c r="CI3270">
        <v>1</v>
      </c>
      <c r="CJ3270">
        <v>1</v>
      </c>
      <c r="CK3270">
        <v>21</v>
      </c>
      <c r="CL3270" t="s">
        <v>89</v>
      </c>
    </row>
    <row r="3271" spans="1:90">
      <c r="A3271" t="s">
        <v>72</v>
      </c>
      <c r="B3271" t="s">
        <v>73</v>
      </c>
      <c r="C3271" t="s">
        <v>74</v>
      </c>
      <c r="E3271" t="str">
        <f>"FES1162725146"</f>
        <v>FES1162725146</v>
      </c>
      <c r="F3271" s="3">
        <v>43795</v>
      </c>
      <c r="G3271">
        <v>202005</v>
      </c>
      <c r="H3271" t="s">
        <v>75</v>
      </c>
      <c r="I3271" t="s">
        <v>76</v>
      </c>
      <c r="J3271" t="s">
        <v>77</v>
      </c>
      <c r="K3271" t="s">
        <v>78</v>
      </c>
      <c r="L3271" t="s">
        <v>176</v>
      </c>
      <c r="M3271" t="s">
        <v>177</v>
      </c>
      <c r="N3271" t="s">
        <v>419</v>
      </c>
      <c r="O3271" t="s">
        <v>82</v>
      </c>
      <c r="P3271" t="str">
        <f>"2170718869                    "</f>
        <v xml:space="preserve">2170718869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8.58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 s="4">
        <v>50.45</v>
      </c>
      <c r="BM3271" s="4">
        <v>7.57</v>
      </c>
      <c r="BN3271" s="4">
        <v>58.02</v>
      </c>
      <c r="BO3271" s="4">
        <v>58.02</v>
      </c>
      <c r="BQ3271" t="s">
        <v>109</v>
      </c>
      <c r="BR3271" t="s">
        <v>84</v>
      </c>
      <c r="BS3271" s="3">
        <v>43796</v>
      </c>
      <c r="BT3271" s="5">
        <v>0.42152777777777778</v>
      </c>
      <c r="BU3271" t="s">
        <v>3148</v>
      </c>
      <c r="BV3271" t="s">
        <v>86</v>
      </c>
      <c r="BY3271">
        <v>1200</v>
      </c>
      <c r="CA3271" t="s">
        <v>2786</v>
      </c>
      <c r="CC3271" t="s">
        <v>177</v>
      </c>
      <c r="CD3271">
        <v>3620</v>
      </c>
      <c r="CE3271" t="s">
        <v>147</v>
      </c>
      <c r="CF3271" s="3">
        <v>43797</v>
      </c>
      <c r="CI3271">
        <v>1</v>
      </c>
      <c r="CJ3271">
        <v>1</v>
      </c>
      <c r="CK3271">
        <v>21</v>
      </c>
      <c r="CL3271" t="s">
        <v>89</v>
      </c>
    </row>
    <row r="3272" spans="1:90">
      <c r="A3272" t="s">
        <v>72</v>
      </c>
      <c r="B3272" t="s">
        <v>73</v>
      </c>
      <c r="C3272" t="s">
        <v>74</v>
      </c>
      <c r="E3272" t="str">
        <f>"FES1162725168"</f>
        <v>FES1162725168</v>
      </c>
      <c r="F3272" s="3">
        <v>43795</v>
      </c>
      <c r="G3272">
        <v>202005</v>
      </c>
      <c r="H3272" t="s">
        <v>75</v>
      </c>
      <c r="I3272" t="s">
        <v>76</v>
      </c>
      <c r="J3272" t="s">
        <v>77</v>
      </c>
      <c r="K3272" t="s">
        <v>78</v>
      </c>
      <c r="L3272" t="s">
        <v>2895</v>
      </c>
      <c r="M3272" t="s">
        <v>2896</v>
      </c>
      <c r="N3272" t="s">
        <v>2897</v>
      </c>
      <c r="O3272" t="s">
        <v>82</v>
      </c>
      <c r="P3272" t="str">
        <f>"2170718900                    "</f>
        <v xml:space="preserve">2170718900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12.07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 s="4">
        <v>70.95</v>
      </c>
      <c r="BM3272" s="4">
        <v>10.64</v>
      </c>
      <c r="BN3272" s="4">
        <v>81.59</v>
      </c>
      <c r="BO3272" s="4">
        <v>81.59</v>
      </c>
      <c r="BQ3272" t="s">
        <v>2898</v>
      </c>
      <c r="BR3272" t="s">
        <v>84</v>
      </c>
      <c r="BS3272" s="3">
        <v>43796</v>
      </c>
      <c r="BT3272" s="5">
        <v>0.33333333333333331</v>
      </c>
      <c r="BU3272" t="s">
        <v>851</v>
      </c>
      <c r="BV3272" t="s">
        <v>86</v>
      </c>
      <c r="BY3272">
        <v>1200</v>
      </c>
      <c r="CC3272" t="s">
        <v>2896</v>
      </c>
      <c r="CD3272">
        <v>1441</v>
      </c>
      <c r="CE3272" t="s">
        <v>147</v>
      </c>
      <c r="CF3272" s="3">
        <v>43797</v>
      </c>
      <c r="CI3272">
        <v>1</v>
      </c>
      <c r="CJ3272">
        <v>1</v>
      </c>
      <c r="CK3272">
        <v>24</v>
      </c>
      <c r="CL3272" t="s">
        <v>89</v>
      </c>
    </row>
    <row r="3273" spans="1:90">
      <c r="A3273" t="s">
        <v>72</v>
      </c>
      <c r="B3273" t="s">
        <v>73</v>
      </c>
      <c r="C3273" t="s">
        <v>74</v>
      </c>
      <c r="E3273" t="str">
        <f>"FES1162724999"</f>
        <v>FES1162724999</v>
      </c>
      <c r="F3273" s="3">
        <v>43795</v>
      </c>
      <c r="G3273">
        <v>202005</v>
      </c>
      <c r="H3273" t="s">
        <v>75</v>
      </c>
      <c r="I3273" t="s">
        <v>76</v>
      </c>
      <c r="J3273" t="s">
        <v>77</v>
      </c>
      <c r="K3273" t="s">
        <v>78</v>
      </c>
      <c r="L3273" t="s">
        <v>101</v>
      </c>
      <c r="M3273" t="s">
        <v>102</v>
      </c>
      <c r="N3273" t="s">
        <v>2712</v>
      </c>
      <c r="O3273" t="s">
        <v>82</v>
      </c>
      <c r="P3273" t="str">
        <f>"2170718723                    "</f>
        <v xml:space="preserve">2170718723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8.58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 s="4">
        <v>50.45</v>
      </c>
      <c r="BM3273" s="4">
        <v>7.57</v>
      </c>
      <c r="BN3273" s="4">
        <v>58.02</v>
      </c>
      <c r="BO3273" s="4">
        <v>58.02</v>
      </c>
      <c r="BR3273" t="s">
        <v>84</v>
      </c>
      <c r="BS3273" s="3">
        <v>43796</v>
      </c>
      <c r="BT3273" s="5">
        <v>0.38541666666666669</v>
      </c>
      <c r="BU3273" t="s">
        <v>295</v>
      </c>
      <c r="BV3273" t="s">
        <v>86</v>
      </c>
      <c r="BY3273">
        <v>1200</v>
      </c>
      <c r="CC3273" t="s">
        <v>102</v>
      </c>
      <c r="CD3273">
        <v>200</v>
      </c>
      <c r="CE3273" t="s">
        <v>147</v>
      </c>
      <c r="CF3273" s="3">
        <v>43797</v>
      </c>
      <c r="CI3273">
        <v>1</v>
      </c>
      <c r="CJ3273">
        <v>1</v>
      </c>
      <c r="CK3273">
        <v>21</v>
      </c>
      <c r="CL3273" t="s">
        <v>89</v>
      </c>
    </row>
    <row r="3274" spans="1:90">
      <c r="A3274" t="s">
        <v>72</v>
      </c>
      <c r="B3274" t="s">
        <v>73</v>
      </c>
      <c r="C3274" t="s">
        <v>74</v>
      </c>
      <c r="E3274" t="str">
        <f>"FES1162725096"</f>
        <v>FES1162725096</v>
      </c>
      <c r="F3274" s="3">
        <v>43795</v>
      </c>
      <c r="G3274">
        <v>202005</v>
      </c>
      <c r="H3274" t="s">
        <v>75</v>
      </c>
      <c r="I3274" t="s">
        <v>76</v>
      </c>
      <c r="J3274" t="s">
        <v>77</v>
      </c>
      <c r="K3274" t="s">
        <v>78</v>
      </c>
      <c r="L3274" t="s">
        <v>112</v>
      </c>
      <c r="M3274" t="s">
        <v>113</v>
      </c>
      <c r="N3274" t="s">
        <v>1332</v>
      </c>
      <c r="O3274" t="s">
        <v>82</v>
      </c>
      <c r="P3274" t="str">
        <f>"2170718843                    "</f>
        <v xml:space="preserve">2170718843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8.58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 s="4">
        <v>50.45</v>
      </c>
      <c r="BM3274" s="4">
        <v>7.57</v>
      </c>
      <c r="BN3274" s="4">
        <v>58.02</v>
      </c>
      <c r="BO3274" s="4">
        <v>58.02</v>
      </c>
      <c r="BQ3274" t="s">
        <v>3160</v>
      </c>
      <c r="BR3274" t="s">
        <v>84</v>
      </c>
      <c r="BS3274" s="3">
        <v>43796</v>
      </c>
      <c r="BT3274" s="5">
        <v>0.37291666666666662</v>
      </c>
      <c r="BU3274" t="s">
        <v>1333</v>
      </c>
      <c r="BV3274" t="s">
        <v>86</v>
      </c>
      <c r="BY3274">
        <v>1200</v>
      </c>
      <c r="CA3274" t="s">
        <v>1334</v>
      </c>
      <c r="CC3274" t="s">
        <v>113</v>
      </c>
      <c r="CD3274">
        <v>4001</v>
      </c>
      <c r="CE3274" t="s">
        <v>147</v>
      </c>
      <c r="CF3274" s="3">
        <v>43797</v>
      </c>
      <c r="CI3274">
        <v>1</v>
      </c>
      <c r="CJ3274">
        <v>1</v>
      </c>
      <c r="CK3274">
        <v>21</v>
      </c>
      <c r="CL3274" t="s">
        <v>89</v>
      </c>
    </row>
    <row r="3275" spans="1:90">
      <c r="A3275" t="s">
        <v>72</v>
      </c>
      <c r="B3275" t="s">
        <v>73</v>
      </c>
      <c r="C3275" t="s">
        <v>74</v>
      </c>
      <c r="E3275" t="str">
        <f>"FES1162724790"</f>
        <v>FES1162724790</v>
      </c>
      <c r="F3275" s="3">
        <v>43795</v>
      </c>
      <c r="G3275">
        <v>202005</v>
      </c>
      <c r="H3275" t="s">
        <v>75</v>
      </c>
      <c r="I3275" t="s">
        <v>76</v>
      </c>
      <c r="J3275" t="s">
        <v>77</v>
      </c>
      <c r="K3275" t="s">
        <v>78</v>
      </c>
      <c r="L3275" t="s">
        <v>124</v>
      </c>
      <c r="M3275" t="s">
        <v>125</v>
      </c>
      <c r="N3275" t="s">
        <v>218</v>
      </c>
      <c r="O3275" t="s">
        <v>82</v>
      </c>
      <c r="P3275" t="str">
        <f>"2170716453                    "</f>
        <v xml:space="preserve">2170716453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6.71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 s="4">
        <v>39.42</v>
      </c>
      <c r="BM3275" s="4">
        <v>5.91</v>
      </c>
      <c r="BN3275" s="4">
        <v>45.33</v>
      </c>
      <c r="BO3275" s="4">
        <v>45.33</v>
      </c>
      <c r="BQ3275" t="s">
        <v>121</v>
      </c>
      <c r="BR3275" t="s">
        <v>84</v>
      </c>
      <c r="BS3275" s="3">
        <v>43796</v>
      </c>
      <c r="BT3275" s="5">
        <v>0.38541666666666669</v>
      </c>
      <c r="BU3275" t="s">
        <v>838</v>
      </c>
      <c r="BV3275" t="s">
        <v>86</v>
      </c>
      <c r="BY3275">
        <v>1200</v>
      </c>
      <c r="CA3275" t="s">
        <v>837</v>
      </c>
      <c r="CC3275" t="s">
        <v>125</v>
      </c>
      <c r="CD3275">
        <v>2094</v>
      </c>
      <c r="CE3275" t="s">
        <v>147</v>
      </c>
      <c r="CF3275" s="3">
        <v>43797</v>
      </c>
      <c r="CI3275">
        <v>1</v>
      </c>
      <c r="CJ3275">
        <v>1</v>
      </c>
      <c r="CK3275">
        <v>22</v>
      </c>
      <c r="CL3275" t="s">
        <v>89</v>
      </c>
    </row>
    <row r="3276" spans="1:90">
      <c r="A3276" t="s">
        <v>72</v>
      </c>
      <c r="B3276" t="s">
        <v>73</v>
      </c>
      <c r="C3276" t="s">
        <v>74</v>
      </c>
      <c r="E3276" t="str">
        <f>"FES1162725095"</f>
        <v>FES1162725095</v>
      </c>
      <c r="F3276" s="3">
        <v>43795</v>
      </c>
      <c r="G3276">
        <v>202005</v>
      </c>
      <c r="H3276" t="s">
        <v>75</v>
      </c>
      <c r="I3276" t="s">
        <v>76</v>
      </c>
      <c r="J3276" t="s">
        <v>77</v>
      </c>
      <c r="K3276" t="s">
        <v>78</v>
      </c>
      <c r="L3276" t="s">
        <v>112</v>
      </c>
      <c r="M3276" t="s">
        <v>113</v>
      </c>
      <c r="N3276" t="s">
        <v>1083</v>
      </c>
      <c r="O3276" t="s">
        <v>82</v>
      </c>
      <c r="P3276" t="str">
        <f>"2170718841                    "</f>
        <v xml:space="preserve">2170718841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8.58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 s="4">
        <v>50.45</v>
      </c>
      <c r="BM3276" s="4">
        <v>7.57</v>
      </c>
      <c r="BN3276" s="4">
        <v>58.02</v>
      </c>
      <c r="BO3276" s="4">
        <v>58.02</v>
      </c>
      <c r="BQ3276" t="s">
        <v>121</v>
      </c>
      <c r="BR3276" t="s">
        <v>84</v>
      </c>
      <c r="BS3276" s="3">
        <v>43796</v>
      </c>
      <c r="BT3276" s="5">
        <v>0.3215277777777778</v>
      </c>
      <c r="BU3276" t="s">
        <v>3161</v>
      </c>
      <c r="BV3276" t="s">
        <v>86</v>
      </c>
      <c r="BY3276">
        <v>1200</v>
      </c>
      <c r="CA3276" t="s">
        <v>2212</v>
      </c>
      <c r="CC3276" t="s">
        <v>113</v>
      </c>
      <c r="CD3276">
        <v>4001</v>
      </c>
      <c r="CE3276" t="s">
        <v>147</v>
      </c>
      <c r="CF3276" s="3">
        <v>43797</v>
      </c>
      <c r="CI3276">
        <v>1</v>
      </c>
      <c r="CJ3276">
        <v>1</v>
      </c>
      <c r="CK3276">
        <v>21</v>
      </c>
      <c r="CL3276" t="s">
        <v>89</v>
      </c>
    </row>
    <row r="3277" spans="1:90">
      <c r="A3277" t="s">
        <v>72</v>
      </c>
      <c r="B3277" t="s">
        <v>73</v>
      </c>
      <c r="C3277" t="s">
        <v>74</v>
      </c>
      <c r="E3277" t="str">
        <f>"FES1162725118"</f>
        <v>FES1162725118</v>
      </c>
      <c r="F3277" s="3">
        <v>43795</v>
      </c>
      <c r="G3277">
        <v>202005</v>
      </c>
      <c r="H3277" t="s">
        <v>75</v>
      </c>
      <c r="I3277" t="s">
        <v>76</v>
      </c>
      <c r="J3277" t="s">
        <v>77</v>
      </c>
      <c r="K3277" t="s">
        <v>78</v>
      </c>
      <c r="L3277" t="s">
        <v>118</v>
      </c>
      <c r="M3277" t="s">
        <v>119</v>
      </c>
      <c r="N3277" t="s">
        <v>439</v>
      </c>
      <c r="O3277" t="s">
        <v>82</v>
      </c>
      <c r="P3277" t="str">
        <f>"2170717934                    "</f>
        <v xml:space="preserve">2170717934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8.58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 s="4">
        <v>50.45</v>
      </c>
      <c r="BM3277" s="4">
        <v>7.57</v>
      </c>
      <c r="BN3277" s="4">
        <v>58.02</v>
      </c>
      <c r="BO3277" s="4">
        <v>58.02</v>
      </c>
      <c r="BQ3277" t="s">
        <v>121</v>
      </c>
      <c r="BR3277" t="s">
        <v>84</v>
      </c>
      <c r="BS3277" s="3">
        <v>43796</v>
      </c>
      <c r="BT3277" s="5">
        <v>0.42708333333333331</v>
      </c>
      <c r="BU3277" t="s">
        <v>3162</v>
      </c>
      <c r="BV3277" t="s">
        <v>86</v>
      </c>
      <c r="BY3277">
        <v>1200</v>
      </c>
      <c r="CA3277" t="s">
        <v>132</v>
      </c>
      <c r="CC3277" t="s">
        <v>119</v>
      </c>
      <c r="CD3277">
        <v>3201</v>
      </c>
      <c r="CE3277" t="s">
        <v>147</v>
      </c>
      <c r="CF3277" s="3">
        <v>43797</v>
      </c>
      <c r="CI3277">
        <v>1</v>
      </c>
      <c r="CJ3277">
        <v>1</v>
      </c>
      <c r="CK3277">
        <v>21</v>
      </c>
      <c r="CL3277" t="s">
        <v>89</v>
      </c>
    </row>
    <row r="3278" spans="1:90">
      <c r="A3278" t="s">
        <v>72</v>
      </c>
      <c r="B3278" t="s">
        <v>73</v>
      </c>
      <c r="C3278" t="s">
        <v>74</v>
      </c>
      <c r="E3278" t="str">
        <f>"FES1162725104"</f>
        <v>FES1162725104</v>
      </c>
      <c r="F3278" s="3">
        <v>43795</v>
      </c>
      <c r="G3278">
        <v>202005</v>
      </c>
      <c r="H3278" t="s">
        <v>75</v>
      </c>
      <c r="I3278" t="s">
        <v>76</v>
      </c>
      <c r="J3278" t="s">
        <v>77</v>
      </c>
      <c r="K3278" t="s">
        <v>78</v>
      </c>
      <c r="L3278" t="s">
        <v>251</v>
      </c>
      <c r="M3278" t="s">
        <v>252</v>
      </c>
      <c r="N3278" t="s">
        <v>3007</v>
      </c>
      <c r="O3278" t="s">
        <v>82</v>
      </c>
      <c r="P3278" t="str">
        <f>"2170716645                    "</f>
        <v xml:space="preserve">2170716645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8.58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 s="4">
        <v>50.45</v>
      </c>
      <c r="BM3278" s="4">
        <v>7.57</v>
      </c>
      <c r="BN3278" s="4">
        <v>58.02</v>
      </c>
      <c r="BO3278" s="4">
        <v>58.02</v>
      </c>
      <c r="BQ3278" t="s">
        <v>121</v>
      </c>
      <c r="BR3278" t="s">
        <v>84</v>
      </c>
      <c r="BS3278" s="3">
        <v>43796</v>
      </c>
      <c r="BT3278" s="5">
        <v>0.37777777777777777</v>
      </c>
      <c r="BU3278" t="s">
        <v>517</v>
      </c>
      <c r="BV3278" t="s">
        <v>86</v>
      </c>
      <c r="BY3278">
        <v>1200</v>
      </c>
      <c r="CA3278" t="s">
        <v>255</v>
      </c>
      <c r="CC3278" t="s">
        <v>252</v>
      </c>
      <c r="CD3278">
        <v>4113</v>
      </c>
      <c r="CE3278" t="s">
        <v>147</v>
      </c>
      <c r="CF3278" s="3">
        <v>43797</v>
      </c>
      <c r="CI3278">
        <v>1</v>
      </c>
      <c r="CJ3278">
        <v>1</v>
      </c>
      <c r="CK3278">
        <v>21</v>
      </c>
      <c r="CL3278" t="s">
        <v>89</v>
      </c>
    </row>
    <row r="3279" spans="1:90">
      <c r="A3279" t="s">
        <v>72</v>
      </c>
      <c r="B3279" t="s">
        <v>73</v>
      </c>
      <c r="C3279" t="s">
        <v>74</v>
      </c>
      <c r="E3279" t="str">
        <f>"FES1162725192"</f>
        <v>FES1162725192</v>
      </c>
      <c r="F3279" s="3">
        <v>43795</v>
      </c>
      <c r="G3279">
        <v>202005</v>
      </c>
      <c r="H3279" t="s">
        <v>75</v>
      </c>
      <c r="I3279" t="s">
        <v>76</v>
      </c>
      <c r="J3279" t="s">
        <v>77</v>
      </c>
      <c r="K3279" t="s">
        <v>78</v>
      </c>
      <c r="L3279" t="s">
        <v>106</v>
      </c>
      <c r="M3279" t="s">
        <v>107</v>
      </c>
      <c r="N3279" t="s">
        <v>1878</v>
      </c>
      <c r="O3279" t="s">
        <v>82</v>
      </c>
      <c r="P3279" t="str">
        <f>"2170718936                    "</f>
        <v xml:space="preserve">2170718936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8.58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 s="4">
        <v>50.45</v>
      </c>
      <c r="BM3279" s="4">
        <v>7.57</v>
      </c>
      <c r="BN3279" s="4">
        <v>58.02</v>
      </c>
      <c r="BO3279" s="4">
        <v>58.02</v>
      </c>
      <c r="BQ3279" t="s">
        <v>121</v>
      </c>
      <c r="BR3279" t="s">
        <v>84</v>
      </c>
      <c r="BS3279" s="3">
        <v>43796</v>
      </c>
      <c r="BT3279" s="5">
        <v>0.50486111111111109</v>
      </c>
      <c r="BU3279" t="s">
        <v>3163</v>
      </c>
      <c r="BV3279" t="s">
        <v>89</v>
      </c>
      <c r="BW3279" t="s">
        <v>956</v>
      </c>
      <c r="BX3279" t="s">
        <v>320</v>
      </c>
      <c r="BY3279">
        <v>1200</v>
      </c>
      <c r="CA3279" t="s">
        <v>2415</v>
      </c>
      <c r="CC3279" t="s">
        <v>107</v>
      </c>
      <c r="CD3279">
        <v>6000</v>
      </c>
      <c r="CE3279" t="s">
        <v>147</v>
      </c>
      <c r="CF3279" s="3">
        <v>43797</v>
      </c>
      <c r="CI3279">
        <v>1</v>
      </c>
      <c r="CJ3279">
        <v>1</v>
      </c>
      <c r="CK3279">
        <v>21</v>
      </c>
      <c r="CL3279" t="s">
        <v>89</v>
      </c>
    </row>
    <row r="3280" spans="1:90">
      <c r="A3280" t="s">
        <v>72</v>
      </c>
      <c r="B3280" t="s">
        <v>73</v>
      </c>
      <c r="C3280" t="s">
        <v>74</v>
      </c>
      <c r="E3280" t="str">
        <f>"FES1162725144"</f>
        <v>FES1162725144</v>
      </c>
      <c r="F3280" s="3">
        <v>43795</v>
      </c>
      <c r="G3280">
        <v>202005</v>
      </c>
      <c r="H3280" t="s">
        <v>75</v>
      </c>
      <c r="I3280" t="s">
        <v>76</v>
      </c>
      <c r="J3280" t="s">
        <v>77</v>
      </c>
      <c r="K3280" t="s">
        <v>78</v>
      </c>
      <c r="L3280" t="s">
        <v>500</v>
      </c>
      <c r="M3280" t="s">
        <v>501</v>
      </c>
      <c r="N3280" t="s">
        <v>502</v>
      </c>
      <c r="O3280" t="s">
        <v>82</v>
      </c>
      <c r="P3280" t="str">
        <f>"2170718853                    "</f>
        <v xml:space="preserve">2170718853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16.63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 s="4">
        <v>97.75</v>
      </c>
      <c r="BM3280" s="4">
        <v>14.66</v>
      </c>
      <c r="BN3280" s="4">
        <v>112.41</v>
      </c>
      <c r="BO3280" s="4">
        <v>112.41</v>
      </c>
      <c r="BR3280" t="s">
        <v>84</v>
      </c>
      <c r="BS3280" s="3">
        <v>43796</v>
      </c>
      <c r="BT3280" s="5">
        <v>0.52083333333333337</v>
      </c>
      <c r="BU3280" t="s">
        <v>1485</v>
      </c>
      <c r="BV3280" t="s">
        <v>86</v>
      </c>
      <c r="BY3280">
        <v>1200</v>
      </c>
      <c r="CA3280" t="s">
        <v>504</v>
      </c>
      <c r="CC3280" t="s">
        <v>501</v>
      </c>
      <c r="CD3280">
        <v>7349</v>
      </c>
      <c r="CE3280" t="s">
        <v>147</v>
      </c>
      <c r="CF3280" s="3">
        <v>43797</v>
      </c>
      <c r="CI3280">
        <v>1</v>
      </c>
      <c r="CJ3280">
        <v>1</v>
      </c>
      <c r="CK3280">
        <v>23</v>
      </c>
      <c r="CL3280" t="s">
        <v>89</v>
      </c>
    </row>
    <row r="3281" spans="1:90">
      <c r="A3281" t="s">
        <v>72</v>
      </c>
      <c r="B3281" t="s">
        <v>73</v>
      </c>
      <c r="C3281" t="s">
        <v>74</v>
      </c>
      <c r="E3281" t="str">
        <f>"FES1162725051"</f>
        <v>FES1162725051</v>
      </c>
      <c r="F3281" s="3">
        <v>43795</v>
      </c>
      <c r="G3281">
        <v>202005</v>
      </c>
      <c r="H3281" t="s">
        <v>75</v>
      </c>
      <c r="I3281" t="s">
        <v>76</v>
      </c>
      <c r="J3281" t="s">
        <v>77</v>
      </c>
      <c r="K3281" t="s">
        <v>78</v>
      </c>
      <c r="L3281" t="s">
        <v>112</v>
      </c>
      <c r="M3281" t="s">
        <v>113</v>
      </c>
      <c r="N3281" t="s">
        <v>2108</v>
      </c>
      <c r="O3281" t="s">
        <v>82</v>
      </c>
      <c r="P3281" t="str">
        <f>"2170718173                    "</f>
        <v xml:space="preserve">2170718173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42.89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9.8000000000000007</v>
      </c>
      <c r="BJ3281">
        <v>8</v>
      </c>
      <c r="BK3281">
        <v>10</v>
      </c>
      <c r="BL3281" s="4">
        <v>252.12</v>
      </c>
      <c r="BM3281" s="4">
        <v>37.82</v>
      </c>
      <c r="BN3281" s="4">
        <v>289.94</v>
      </c>
      <c r="BO3281" s="4">
        <v>289.94</v>
      </c>
      <c r="BR3281" t="s">
        <v>84</v>
      </c>
      <c r="BS3281" s="3">
        <v>43796</v>
      </c>
      <c r="BT3281" s="5">
        <v>0.46875</v>
      </c>
      <c r="BU3281" t="s">
        <v>3164</v>
      </c>
      <c r="BV3281" t="s">
        <v>89</v>
      </c>
      <c r="BW3281" t="s">
        <v>144</v>
      </c>
      <c r="BX3281" t="s">
        <v>145</v>
      </c>
      <c r="BY3281">
        <v>40122.9</v>
      </c>
      <c r="CA3281" t="s">
        <v>2212</v>
      </c>
      <c r="CC3281" t="s">
        <v>113</v>
      </c>
      <c r="CD3281">
        <v>4001</v>
      </c>
      <c r="CE3281" t="s">
        <v>88</v>
      </c>
      <c r="CF3281" s="3">
        <v>43797</v>
      </c>
      <c r="CI3281">
        <v>1</v>
      </c>
      <c r="CJ3281">
        <v>1</v>
      </c>
      <c r="CK3281">
        <v>21</v>
      </c>
      <c r="CL3281" t="s">
        <v>89</v>
      </c>
    </row>
    <row r="3282" spans="1:90">
      <c r="A3282" t="s">
        <v>72</v>
      </c>
      <c r="B3282" t="s">
        <v>73</v>
      </c>
      <c r="C3282" t="s">
        <v>74</v>
      </c>
      <c r="E3282" t="str">
        <f>"FES1162725171"</f>
        <v>FES1162725171</v>
      </c>
      <c r="F3282" s="3">
        <v>43795</v>
      </c>
      <c r="G3282">
        <v>202005</v>
      </c>
      <c r="H3282" t="s">
        <v>75</v>
      </c>
      <c r="I3282" t="s">
        <v>76</v>
      </c>
      <c r="J3282" t="s">
        <v>77</v>
      </c>
      <c r="K3282" t="s">
        <v>78</v>
      </c>
      <c r="L3282" t="s">
        <v>349</v>
      </c>
      <c r="M3282" t="s">
        <v>350</v>
      </c>
      <c r="N3282" t="s">
        <v>351</v>
      </c>
      <c r="O3282" t="s">
        <v>82</v>
      </c>
      <c r="P3282" t="str">
        <f>"2170718906                    "</f>
        <v xml:space="preserve">2170718906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8.58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1.3</v>
      </c>
      <c r="BJ3282">
        <v>1.2</v>
      </c>
      <c r="BK3282">
        <v>1.5</v>
      </c>
      <c r="BL3282" s="4">
        <v>50.45</v>
      </c>
      <c r="BM3282" s="4">
        <v>7.57</v>
      </c>
      <c r="BN3282" s="4">
        <v>58.02</v>
      </c>
      <c r="BO3282" s="4">
        <v>58.02</v>
      </c>
      <c r="BQ3282" t="s">
        <v>109</v>
      </c>
      <c r="BR3282" t="s">
        <v>84</v>
      </c>
      <c r="BS3282" s="3">
        <v>43796</v>
      </c>
      <c r="BT3282" s="5">
        <v>0.42569444444444443</v>
      </c>
      <c r="BU3282" t="s">
        <v>352</v>
      </c>
      <c r="BV3282" t="s">
        <v>86</v>
      </c>
      <c r="BY3282">
        <v>5963.33</v>
      </c>
      <c r="CC3282" t="s">
        <v>350</v>
      </c>
      <c r="CD3282">
        <v>6536</v>
      </c>
      <c r="CE3282" t="s">
        <v>88</v>
      </c>
      <c r="CF3282" s="3">
        <v>43798</v>
      </c>
      <c r="CI3282">
        <v>1</v>
      </c>
      <c r="CJ3282">
        <v>1</v>
      </c>
      <c r="CK3282">
        <v>21</v>
      </c>
      <c r="CL3282" t="s">
        <v>89</v>
      </c>
    </row>
    <row r="3283" spans="1:90">
      <c r="A3283" t="s">
        <v>72</v>
      </c>
      <c r="B3283" t="s">
        <v>73</v>
      </c>
      <c r="C3283" t="s">
        <v>74</v>
      </c>
      <c r="E3283" t="str">
        <f>"FES1162725115"</f>
        <v>FES1162725115</v>
      </c>
      <c r="F3283" s="3">
        <v>43795</v>
      </c>
      <c r="G3283">
        <v>202005</v>
      </c>
      <c r="H3283" t="s">
        <v>75</v>
      </c>
      <c r="I3283" t="s">
        <v>76</v>
      </c>
      <c r="J3283" t="s">
        <v>77</v>
      </c>
      <c r="K3283" t="s">
        <v>78</v>
      </c>
      <c r="L3283" t="s">
        <v>118</v>
      </c>
      <c r="M3283" t="s">
        <v>119</v>
      </c>
      <c r="N3283" t="s">
        <v>439</v>
      </c>
      <c r="O3283" t="s">
        <v>82</v>
      </c>
      <c r="P3283" t="str">
        <f>"217071919                     "</f>
        <v xml:space="preserve">217071919 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8.58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 s="4">
        <v>50.45</v>
      </c>
      <c r="BM3283" s="4">
        <v>7.57</v>
      </c>
      <c r="BN3283" s="4">
        <v>58.02</v>
      </c>
      <c r="BO3283" s="4">
        <v>58.02</v>
      </c>
      <c r="BQ3283" t="s">
        <v>121</v>
      </c>
      <c r="BR3283" t="s">
        <v>84</v>
      </c>
      <c r="BS3283" s="3">
        <v>43796</v>
      </c>
      <c r="BT3283" s="5">
        <v>0.42708333333333331</v>
      </c>
      <c r="BU3283" t="s">
        <v>3165</v>
      </c>
      <c r="BV3283" t="s">
        <v>86</v>
      </c>
      <c r="BY3283">
        <v>1200</v>
      </c>
      <c r="CA3283" t="s">
        <v>132</v>
      </c>
      <c r="CC3283" t="s">
        <v>119</v>
      </c>
      <c r="CD3283">
        <v>3201</v>
      </c>
      <c r="CE3283" t="s">
        <v>147</v>
      </c>
      <c r="CF3283" s="3">
        <v>43797</v>
      </c>
      <c r="CI3283">
        <v>1</v>
      </c>
      <c r="CJ3283">
        <v>1</v>
      </c>
      <c r="CK3283">
        <v>21</v>
      </c>
      <c r="CL3283" t="s">
        <v>89</v>
      </c>
    </row>
    <row r="3284" spans="1:90">
      <c r="A3284" t="s">
        <v>72</v>
      </c>
      <c r="B3284" t="s">
        <v>73</v>
      </c>
      <c r="C3284" t="s">
        <v>74</v>
      </c>
      <c r="E3284" t="str">
        <f>"FES1162725179"</f>
        <v>FES1162725179</v>
      </c>
      <c r="F3284" s="3">
        <v>43795</v>
      </c>
      <c r="G3284">
        <v>202005</v>
      </c>
      <c r="H3284" t="s">
        <v>75</v>
      </c>
      <c r="I3284" t="s">
        <v>76</v>
      </c>
      <c r="J3284" t="s">
        <v>77</v>
      </c>
      <c r="K3284" t="s">
        <v>78</v>
      </c>
      <c r="L3284" t="s">
        <v>653</v>
      </c>
      <c r="M3284" t="s">
        <v>654</v>
      </c>
      <c r="N3284" t="s">
        <v>655</v>
      </c>
      <c r="O3284" t="s">
        <v>82</v>
      </c>
      <c r="P3284" t="str">
        <f>"2170718916                    "</f>
        <v xml:space="preserve">2170718916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40.75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9.1</v>
      </c>
      <c r="BJ3284">
        <v>3.7</v>
      </c>
      <c r="BK3284">
        <v>9.5</v>
      </c>
      <c r="BL3284" s="4">
        <v>239.52</v>
      </c>
      <c r="BM3284" s="4">
        <v>35.93</v>
      </c>
      <c r="BN3284" s="4">
        <v>275.45</v>
      </c>
      <c r="BO3284" s="4">
        <v>275.45</v>
      </c>
      <c r="BQ3284" t="s">
        <v>109</v>
      </c>
      <c r="BR3284" t="s">
        <v>84</v>
      </c>
      <c r="BS3284" s="3">
        <v>43796</v>
      </c>
      <c r="BT3284" s="5">
        <v>0.33611111111111108</v>
      </c>
      <c r="BU3284" t="s">
        <v>3166</v>
      </c>
      <c r="BV3284" t="s">
        <v>86</v>
      </c>
      <c r="BY3284">
        <v>18345.07</v>
      </c>
      <c r="CA3284" t="s">
        <v>255</v>
      </c>
      <c r="CC3284" t="s">
        <v>654</v>
      </c>
      <c r="CD3284">
        <v>4300</v>
      </c>
      <c r="CE3284" t="s">
        <v>88</v>
      </c>
      <c r="CF3284" s="3">
        <v>43797</v>
      </c>
      <c r="CI3284">
        <v>1</v>
      </c>
      <c r="CJ3284">
        <v>1</v>
      </c>
      <c r="CK3284">
        <v>21</v>
      </c>
      <c r="CL3284" t="s">
        <v>89</v>
      </c>
    </row>
    <row r="3285" spans="1:90">
      <c r="A3285" t="s">
        <v>72</v>
      </c>
      <c r="B3285" t="s">
        <v>73</v>
      </c>
      <c r="C3285" t="s">
        <v>74</v>
      </c>
      <c r="E3285" t="str">
        <f>"FES1162725092"</f>
        <v>FES1162725092</v>
      </c>
      <c r="F3285" s="3">
        <v>43795</v>
      </c>
      <c r="G3285">
        <v>202005</v>
      </c>
      <c r="H3285" t="s">
        <v>75</v>
      </c>
      <c r="I3285" t="s">
        <v>76</v>
      </c>
      <c r="J3285" t="s">
        <v>77</v>
      </c>
      <c r="K3285" t="s">
        <v>78</v>
      </c>
      <c r="L3285" t="s">
        <v>90</v>
      </c>
      <c r="M3285" t="s">
        <v>91</v>
      </c>
      <c r="N3285" t="s">
        <v>505</v>
      </c>
      <c r="O3285" t="s">
        <v>82</v>
      </c>
      <c r="P3285" t="str">
        <f>"2170718839                    "</f>
        <v xml:space="preserve">2170718839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8.58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 s="4">
        <v>50.45</v>
      </c>
      <c r="BM3285" s="4">
        <v>7.57</v>
      </c>
      <c r="BN3285" s="4">
        <v>58.02</v>
      </c>
      <c r="BO3285" s="4">
        <v>58.02</v>
      </c>
      <c r="BQ3285" t="s">
        <v>121</v>
      </c>
      <c r="BR3285" t="s">
        <v>84</v>
      </c>
      <c r="BS3285" s="3">
        <v>43796</v>
      </c>
      <c r="BT3285" s="5">
        <v>0.35416666666666669</v>
      </c>
      <c r="BU3285" t="s">
        <v>1686</v>
      </c>
      <c r="BV3285" t="s">
        <v>86</v>
      </c>
      <c r="BY3285">
        <v>1200</v>
      </c>
      <c r="CA3285" t="s">
        <v>1121</v>
      </c>
      <c r="CC3285" t="s">
        <v>91</v>
      </c>
      <c r="CD3285">
        <v>7764</v>
      </c>
      <c r="CE3285" t="s">
        <v>147</v>
      </c>
      <c r="CF3285" s="3">
        <v>43797</v>
      </c>
      <c r="CI3285">
        <v>1</v>
      </c>
      <c r="CJ3285">
        <v>1</v>
      </c>
      <c r="CK3285">
        <v>21</v>
      </c>
      <c r="CL3285" t="s">
        <v>89</v>
      </c>
    </row>
    <row r="3286" spans="1:90">
      <c r="A3286" t="s">
        <v>72</v>
      </c>
      <c r="B3286" t="s">
        <v>73</v>
      </c>
      <c r="C3286" t="s">
        <v>74</v>
      </c>
      <c r="E3286" t="str">
        <f>"FES1162724728"</f>
        <v>FES1162724728</v>
      </c>
      <c r="F3286" s="3">
        <v>43795</v>
      </c>
      <c r="G3286">
        <v>202005</v>
      </c>
      <c r="H3286" t="s">
        <v>75</v>
      </c>
      <c r="I3286" t="s">
        <v>76</v>
      </c>
      <c r="J3286" t="s">
        <v>77</v>
      </c>
      <c r="K3286" t="s">
        <v>78</v>
      </c>
      <c r="L3286" t="s">
        <v>90</v>
      </c>
      <c r="M3286" t="s">
        <v>91</v>
      </c>
      <c r="N3286" t="s">
        <v>576</v>
      </c>
      <c r="O3286" t="s">
        <v>82</v>
      </c>
      <c r="P3286" t="str">
        <f>"2170718518                    "</f>
        <v xml:space="preserve">2170718518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8.58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 s="4">
        <v>50.45</v>
      </c>
      <c r="BM3286" s="4">
        <v>7.57</v>
      </c>
      <c r="BN3286" s="4">
        <v>58.02</v>
      </c>
      <c r="BO3286" s="4">
        <v>58.02</v>
      </c>
      <c r="BQ3286" t="s">
        <v>109</v>
      </c>
      <c r="BR3286" t="s">
        <v>84</v>
      </c>
      <c r="BS3286" s="3">
        <v>43796</v>
      </c>
      <c r="BT3286" s="5">
        <v>0.35833333333333334</v>
      </c>
      <c r="BU3286" t="s">
        <v>1477</v>
      </c>
      <c r="BV3286" t="s">
        <v>86</v>
      </c>
      <c r="BY3286">
        <v>1200</v>
      </c>
      <c r="CA3286" t="s">
        <v>213</v>
      </c>
      <c r="CC3286" t="s">
        <v>91</v>
      </c>
      <c r="CD3286">
        <v>7441</v>
      </c>
      <c r="CE3286" t="s">
        <v>147</v>
      </c>
      <c r="CF3286" s="3">
        <v>43797</v>
      </c>
      <c r="CI3286">
        <v>1</v>
      </c>
      <c r="CJ3286">
        <v>1</v>
      </c>
      <c r="CK3286">
        <v>21</v>
      </c>
      <c r="CL3286" t="s">
        <v>89</v>
      </c>
    </row>
    <row r="3287" spans="1:90">
      <c r="A3287" t="s">
        <v>72</v>
      </c>
      <c r="B3287" t="s">
        <v>73</v>
      </c>
      <c r="C3287" t="s">
        <v>74</v>
      </c>
      <c r="E3287" t="str">
        <f>"FES1162725073"</f>
        <v>FES1162725073</v>
      </c>
      <c r="F3287" s="3">
        <v>43795</v>
      </c>
      <c r="G3287">
        <v>202005</v>
      </c>
      <c r="H3287" t="s">
        <v>75</v>
      </c>
      <c r="I3287" t="s">
        <v>76</v>
      </c>
      <c r="J3287" t="s">
        <v>77</v>
      </c>
      <c r="K3287" t="s">
        <v>78</v>
      </c>
      <c r="L3287" t="s">
        <v>164</v>
      </c>
      <c r="M3287" t="s">
        <v>165</v>
      </c>
      <c r="N3287" t="s">
        <v>166</v>
      </c>
      <c r="O3287" t="s">
        <v>82</v>
      </c>
      <c r="P3287" t="str">
        <f>"2170718813                    "</f>
        <v xml:space="preserve">2170718813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16.63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 s="4">
        <v>97.75</v>
      </c>
      <c r="BM3287" s="4">
        <v>14.66</v>
      </c>
      <c r="BN3287" s="4">
        <v>112.41</v>
      </c>
      <c r="BO3287" s="4">
        <v>112.41</v>
      </c>
      <c r="BQ3287" t="s">
        <v>121</v>
      </c>
      <c r="BR3287" t="s">
        <v>84</v>
      </c>
      <c r="BS3287" s="3">
        <v>43796</v>
      </c>
      <c r="BT3287" s="5">
        <v>0.49652777777777773</v>
      </c>
      <c r="BU3287" t="s">
        <v>870</v>
      </c>
      <c r="BV3287" t="s">
        <v>86</v>
      </c>
      <c r="BY3287">
        <v>1200</v>
      </c>
      <c r="CA3287" t="s">
        <v>168</v>
      </c>
      <c r="CC3287" t="s">
        <v>165</v>
      </c>
      <c r="CD3287">
        <v>3370</v>
      </c>
      <c r="CE3287" t="s">
        <v>147</v>
      </c>
      <c r="CF3287" s="3">
        <v>43798</v>
      </c>
      <c r="CI3287">
        <v>3</v>
      </c>
      <c r="CJ3287">
        <v>1</v>
      </c>
      <c r="CK3287">
        <v>23</v>
      </c>
      <c r="CL3287" t="s">
        <v>89</v>
      </c>
    </row>
    <row r="3288" spans="1:90">
      <c r="A3288" t="s">
        <v>72</v>
      </c>
      <c r="B3288" t="s">
        <v>73</v>
      </c>
      <c r="C3288" t="s">
        <v>74</v>
      </c>
      <c r="E3288" t="str">
        <f>"FES1162725106"</f>
        <v>FES1162725106</v>
      </c>
      <c r="F3288" s="3">
        <v>43795</v>
      </c>
      <c r="G3288">
        <v>202005</v>
      </c>
      <c r="H3288" t="s">
        <v>75</v>
      </c>
      <c r="I3288" t="s">
        <v>76</v>
      </c>
      <c r="J3288" t="s">
        <v>77</v>
      </c>
      <c r="K3288" t="s">
        <v>78</v>
      </c>
      <c r="L3288" t="s">
        <v>176</v>
      </c>
      <c r="M3288" t="s">
        <v>177</v>
      </c>
      <c r="N3288" t="s">
        <v>429</v>
      </c>
      <c r="O3288" t="s">
        <v>82</v>
      </c>
      <c r="P3288" t="str">
        <f>"2170716885                    "</f>
        <v xml:space="preserve">2170716885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8.58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 s="4">
        <v>50.45</v>
      </c>
      <c r="BM3288" s="4">
        <v>7.57</v>
      </c>
      <c r="BN3288" s="4">
        <v>58.02</v>
      </c>
      <c r="BO3288" s="4">
        <v>58.02</v>
      </c>
      <c r="BQ3288" t="s">
        <v>2696</v>
      </c>
      <c r="BR3288" t="s">
        <v>84</v>
      </c>
      <c r="BS3288" s="3">
        <v>43796</v>
      </c>
      <c r="BT3288" s="5">
        <v>0.36180555555555555</v>
      </c>
      <c r="BU3288" t="s">
        <v>430</v>
      </c>
      <c r="BV3288" t="s">
        <v>86</v>
      </c>
      <c r="BY3288">
        <v>1200</v>
      </c>
      <c r="CA3288" t="s">
        <v>180</v>
      </c>
      <c r="CC3288" t="s">
        <v>177</v>
      </c>
      <c r="CD3288">
        <v>3610</v>
      </c>
      <c r="CE3288" t="s">
        <v>147</v>
      </c>
      <c r="CF3288" s="3">
        <v>43797</v>
      </c>
      <c r="CI3288">
        <v>1</v>
      </c>
      <c r="CJ3288">
        <v>1</v>
      </c>
      <c r="CK3288">
        <v>21</v>
      </c>
      <c r="CL3288" t="s">
        <v>89</v>
      </c>
    </row>
    <row r="3289" spans="1:90">
      <c r="A3289" t="s">
        <v>72</v>
      </c>
      <c r="B3289" t="s">
        <v>73</v>
      </c>
      <c r="C3289" t="s">
        <v>74</v>
      </c>
      <c r="E3289" t="str">
        <f>"FES1162725141"</f>
        <v>FES1162725141</v>
      </c>
      <c r="F3289" s="3">
        <v>43795</v>
      </c>
      <c r="G3289">
        <v>202005</v>
      </c>
      <c r="H3289" t="s">
        <v>75</v>
      </c>
      <c r="I3289" t="s">
        <v>76</v>
      </c>
      <c r="J3289" t="s">
        <v>77</v>
      </c>
      <c r="K3289" t="s">
        <v>78</v>
      </c>
      <c r="L3289" t="s">
        <v>90</v>
      </c>
      <c r="M3289" t="s">
        <v>91</v>
      </c>
      <c r="N3289" t="s">
        <v>538</v>
      </c>
      <c r="O3289" t="s">
        <v>82</v>
      </c>
      <c r="P3289" t="str">
        <f>"2170718863                    "</f>
        <v xml:space="preserve">2170718863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8.58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 s="4">
        <v>50.45</v>
      </c>
      <c r="BM3289" s="4">
        <v>7.57</v>
      </c>
      <c r="BN3289" s="4">
        <v>58.02</v>
      </c>
      <c r="BO3289" s="4">
        <v>58.02</v>
      </c>
      <c r="BQ3289" t="s">
        <v>109</v>
      </c>
      <c r="BR3289" t="s">
        <v>84</v>
      </c>
      <c r="BS3289" s="3">
        <v>43796</v>
      </c>
      <c r="BT3289" s="5">
        <v>0.40972222222222227</v>
      </c>
      <c r="BU3289" t="s">
        <v>1955</v>
      </c>
      <c r="BV3289" t="s">
        <v>86</v>
      </c>
      <c r="BY3289">
        <v>1200</v>
      </c>
      <c r="CA3289" t="s">
        <v>140</v>
      </c>
      <c r="CC3289" t="s">
        <v>91</v>
      </c>
      <c r="CD3289">
        <v>7530</v>
      </c>
      <c r="CE3289" t="s">
        <v>147</v>
      </c>
      <c r="CF3289" s="3">
        <v>43797</v>
      </c>
      <c r="CI3289">
        <v>1</v>
      </c>
      <c r="CJ3289">
        <v>1</v>
      </c>
      <c r="CK3289">
        <v>21</v>
      </c>
      <c r="CL3289" t="s">
        <v>89</v>
      </c>
    </row>
    <row r="3290" spans="1:90">
      <c r="A3290" t="s">
        <v>72</v>
      </c>
      <c r="B3290" t="s">
        <v>73</v>
      </c>
      <c r="C3290" t="s">
        <v>74</v>
      </c>
      <c r="E3290" t="str">
        <f>"FES1162725231"</f>
        <v>FES1162725231</v>
      </c>
      <c r="F3290" s="3">
        <v>43795</v>
      </c>
      <c r="G3290">
        <v>202005</v>
      </c>
      <c r="H3290" t="s">
        <v>75</v>
      </c>
      <c r="I3290" t="s">
        <v>76</v>
      </c>
      <c r="J3290" t="s">
        <v>77</v>
      </c>
      <c r="K3290" t="s">
        <v>78</v>
      </c>
      <c r="L3290" t="s">
        <v>106</v>
      </c>
      <c r="M3290" t="s">
        <v>107</v>
      </c>
      <c r="N3290" t="s">
        <v>150</v>
      </c>
      <c r="O3290" t="s">
        <v>82</v>
      </c>
      <c r="P3290" t="str">
        <f>"2170718956                    "</f>
        <v xml:space="preserve">2170718956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8.58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 s="4">
        <v>50.45</v>
      </c>
      <c r="BM3290" s="4">
        <v>7.57</v>
      </c>
      <c r="BN3290" s="4">
        <v>58.02</v>
      </c>
      <c r="BO3290" s="4">
        <v>58.02</v>
      </c>
      <c r="BQ3290" t="s">
        <v>109</v>
      </c>
      <c r="BR3290" t="s">
        <v>84</v>
      </c>
      <c r="BS3290" s="3">
        <v>43796</v>
      </c>
      <c r="BT3290" s="5">
        <v>0.4152777777777778</v>
      </c>
      <c r="BU3290" t="s">
        <v>2773</v>
      </c>
      <c r="BV3290" t="s">
        <v>86</v>
      </c>
      <c r="BY3290">
        <v>1200</v>
      </c>
      <c r="CA3290" t="s">
        <v>2415</v>
      </c>
      <c r="CC3290" t="s">
        <v>107</v>
      </c>
      <c r="CD3290">
        <v>6001</v>
      </c>
      <c r="CE3290" t="s">
        <v>147</v>
      </c>
      <c r="CF3290" s="3">
        <v>43797</v>
      </c>
      <c r="CI3290">
        <v>1</v>
      </c>
      <c r="CJ3290">
        <v>1</v>
      </c>
      <c r="CK3290">
        <v>21</v>
      </c>
      <c r="CL3290" t="s">
        <v>89</v>
      </c>
    </row>
    <row r="3291" spans="1:90">
      <c r="A3291" t="s">
        <v>72</v>
      </c>
      <c r="B3291" t="s">
        <v>73</v>
      </c>
      <c r="C3291" t="s">
        <v>74</v>
      </c>
      <c r="E3291" t="str">
        <f>"FES1162725122"</f>
        <v>FES1162725122</v>
      </c>
      <c r="F3291" s="3">
        <v>43795</v>
      </c>
      <c r="G3291">
        <v>202005</v>
      </c>
      <c r="H3291" t="s">
        <v>75</v>
      </c>
      <c r="I3291" t="s">
        <v>76</v>
      </c>
      <c r="J3291" t="s">
        <v>77</v>
      </c>
      <c r="K3291" t="s">
        <v>78</v>
      </c>
      <c r="L3291" t="s">
        <v>133</v>
      </c>
      <c r="M3291" t="s">
        <v>134</v>
      </c>
      <c r="N3291" t="s">
        <v>735</v>
      </c>
      <c r="O3291" t="s">
        <v>82</v>
      </c>
      <c r="P3291" t="str">
        <f>"2170718140                    "</f>
        <v xml:space="preserve">2170718140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8.58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 s="4">
        <v>50.45</v>
      </c>
      <c r="BM3291" s="4">
        <v>7.57</v>
      </c>
      <c r="BN3291" s="4">
        <v>58.02</v>
      </c>
      <c r="BO3291" s="4">
        <v>58.02</v>
      </c>
      <c r="BQ3291" t="s">
        <v>2807</v>
      </c>
      <c r="BR3291" t="s">
        <v>84</v>
      </c>
      <c r="BS3291" s="3">
        <v>43796</v>
      </c>
      <c r="BT3291" s="5">
        <v>0.35833333333333334</v>
      </c>
      <c r="BU3291" t="s">
        <v>3167</v>
      </c>
      <c r="BV3291" t="s">
        <v>86</v>
      </c>
      <c r="BY3291">
        <v>1200</v>
      </c>
      <c r="CA3291" t="s">
        <v>698</v>
      </c>
      <c r="CC3291" t="s">
        <v>134</v>
      </c>
      <c r="CD3291">
        <v>5201</v>
      </c>
      <c r="CE3291" t="s">
        <v>147</v>
      </c>
      <c r="CF3291" s="3">
        <v>43797</v>
      </c>
      <c r="CI3291">
        <v>1</v>
      </c>
      <c r="CJ3291">
        <v>1</v>
      </c>
      <c r="CK3291">
        <v>21</v>
      </c>
      <c r="CL3291" t="s">
        <v>89</v>
      </c>
    </row>
    <row r="3292" spans="1:90">
      <c r="A3292" t="s">
        <v>72</v>
      </c>
      <c r="B3292" t="s">
        <v>73</v>
      </c>
      <c r="C3292" t="s">
        <v>74</v>
      </c>
      <c r="E3292" t="str">
        <f>"FES1162725072"</f>
        <v>FES1162725072</v>
      </c>
      <c r="F3292" s="3">
        <v>43795</v>
      </c>
      <c r="G3292">
        <v>202005</v>
      </c>
      <c r="H3292" t="s">
        <v>75</v>
      </c>
      <c r="I3292" t="s">
        <v>76</v>
      </c>
      <c r="J3292" t="s">
        <v>77</v>
      </c>
      <c r="K3292" t="s">
        <v>78</v>
      </c>
      <c r="L3292" t="s">
        <v>270</v>
      </c>
      <c r="M3292" t="s">
        <v>271</v>
      </c>
      <c r="N3292" t="s">
        <v>618</v>
      </c>
      <c r="O3292" t="s">
        <v>82</v>
      </c>
      <c r="P3292" t="str">
        <f>"2170718811                    "</f>
        <v xml:space="preserve">2170718811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15.02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3.5</v>
      </c>
      <c r="BJ3292">
        <v>1.4</v>
      </c>
      <c r="BK3292">
        <v>3.5</v>
      </c>
      <c r="BL3292" s="4">
        <v>88.27</v>
      </c>
      <c r="BM3292" s="4">
        <v>13.24</v>
      </c>
      <c r="BN3292" s="4">
        <v>101.51</v>
      </c>
      <c r="BO3292" s="4">
        <v>101.51</v>
      </c>
      <c r="BQ3292" t="s">
        <v>121</v>
      </c>
      <c r="BR3292" t="s">
        <v>84</v>
      </c>
      <c r="BS3292" s="3">
        <v>43796</v>
      </c>
      <c r="BT3292" s="5">
        <v>0.39027777777777778</v>
      </c>
      <c r="BU3292" t="s">
        <v>619</v>
      </c>
      <c r="BV3292" t="s">
        <v>86</v>
      </c>
      <c r="BY3292">
        <v>7197.67</v>
      </c>
      <c r="CA3292" t="s">
        <v>773</v>
      </c>
      <c r="CC3292" t="s">
        <v>271</v>
      </c>
      <c r="CD3292">
        <v>6220</v>
      </c>
      <c r="CE3292" t="s">
        <v>88</v>
      </c>
      <c r="CF3292" s="3">
        <v>43797</v>
      </c>
      <c r="CI3292">
        <v>1</v>
      </c>
      <c r="CJ3292">
        <v>1</v>
      </c>
      <c r="CK3292">
        <v>21</v>
      </c>
      <c r="CL3292" t="s">
        <v>89</v>
      </c>
    </row>
    <row r="3293" spans="1:90">
      <c r="A3293" t="s">
        <v>72</v>
      </c>
      <c r="B3293" t="s">
        <v>73</v>
      </c>
      <c r="C3293" t="s">
        <v>74</v>
      </c>
      <c r="E3293" t="str">
        <f>"FES1162724963"</f>
        <v>FES1162724963</v>
      </c>
      <c r="F3293" s="3">
        <v>43795</v>
      </c>
      <c r="G3293">
        <v>202005</v>
      </c>
      <c r="H3293" t="s">
        <v>75</v>
      </c>
      <c r="I3293" t="s">
        <v>76</v>
      </c>
      <c r="J3293" t="s">
        <v>77</v>
      </c>
      <c r="K3293" t="s">
        <v>78</v>
      </c>
      <c r="L3293" t="s">
        <v>90</v>
      </c>
      <c r="M3293" t="s">
        <v>91</v>
      </c>
      <c r="N3293" t="s">
        <v>576</v>
      </c>
      <c r="O3293" t="s">
        <v>82</v>
      </c>
      <c r="P3293" t="str">
        <f>"2170718663                    "</f>
        <v xml:space="preserve">2170718663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70.77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9.4</v>
      </c>
      <c r="BJ3293">
        <v>16.3</v>
      </c>
      <c r="BK3293">
        <v>16.5</v>
      </c>
      <c r="BL3293" s="4">
        <v>415.98</v>
      </c>
      <c r="BM3293" s="4">
        <v>62.4</v>
      </c>
      <c r="BN3293" s="4">
        <v>478.38</v>
      </c>
      <c r="BO3293" s="4">
        <v>478.38</v>
      </c>
      <c r="BQ3293" t="s">
        <v>109</v>
      </c>
      <c r="BR3293" t="s">
        <v>84</v>
      </c>
      <c r="BS3293" s="3">
        <v>43796</v>
      </c>
      <c r="BT3293" s="5">
        <v>0.35902777777777778</v>
      </c>
      <c r="BU3293" t="s">
        <v>1477</v>
      </c>
      <c r="BV3293" t="s">
        <v>86</v>
      </c>
      <c r="BY3293">
        <v>81665.03</v>
      </c>
      <c r="CA3293" t="s">
        <v>213</v>
      </c>
      <c r="CC3293" t="s">
        <v>91</v>
      </c>
      <c r="CD3293">
        <v>7441</v>
      </c>
      <c r="CE3293" t="s">
        <v>88</v>
      </c>
      <c r="CF3293" s="3">
        <v>43797</v>
      </c>
      <c r="CI3293">
        <v>1</v>
      </c>
      <c r="CJ3293">
        <v>1</v>
      </c>
      <c r="CK3293">
        <v>21</v>
      </c>
      <c r="CL3293" t="s">
        <v>89</v>
      </c>
    </row>
    <row r="3294" spans="1:90">
      <c r="A3294" t="s">
        <v>72</v>
      </c>
      <c r="B3294" t="s">
        <v>73</v>
      </c>
      <c r="C3294" t="s">
        <v>74</v>
      </c>
      <c r="E3294" t="str">
        <f>"FES1162724993"</f>
        <v>FES1162724993</v>
      </c>
      <c r="F3294" s="3">
        <v>43795</v>
      </c>
      <c r="G3294">
        <v>202005</v>
      </c>
      <c r="H3294" t="s">
        <v>75</v>
      </c>
      <c r="I3294" t="s">
        <v>76</v>
      </c>
      <c r="J3294" t="s">
        <v>77</v>
      </c>
      <c r="K3294" t="s">
        <v>78</v>
      </c>
      <c r="L3294" t="s">
        <v>90</v>
      </c>
      <c r="M3294" t="s">
        <v>91</v>
      </c>
      <c r="N3294" t="s">
        <v>527</v>
      </c>
      <c r="O3294" t="s">
        <v>82</v>
      </c>
      <c r="P3294" t="str">
        <f>"2170718713                    "</f>
        <v xml:space="preserve">2170718713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62.19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14.5</v>
      </c>
      <c r="BJ3294">
        <v>13.4</v>
      </c>
      <c r="BK3294">
        <v>14.5</v>
      </c>
      <c r="BL3294" s="4">
        <v>365.56</v>
      </c>
      <c r="BM3294" s="4">
        <v>54.83</v>
      </c>
      <c r="BN3294" s="4">
        <v>420.39</v>
      </c>
      <c r="BO3294" s="4">
        <v>420.39</v>
      </c>
      <c r="BQ3294" t="s">
        <v>109</v>
      </c>
      <c r="BR3294" t="s">
        <v>84</v>
      </c>
      <c r="BS3294" s="3">
        <v>43796</v>
      </c>
      <c r="BT3294" s="5">
        <v>0.31111111111111112</v>
      </c>
      <c r="BU3294" t="s">
        <v>3153</v>
      </c>
      <c r="BV3294" t="s">
        <v>86</v>
      </c>
      <c r="BY3294">
        <v>67130.78</v>
      </c>
      <c r="CA3294" t="s">
        <v>221</v>
      </c>
      <c r="CC3294" t="s">
        <v>91</v>
      </c>
      <c r="CD3294">
        <v>7405</v>
      </c>
      <c r="CE3294" t="s">
        <v>1598</v>
      </c>
      <c r="CF3294" s="3">
        <v>43797</v>
      </c>
      <c r="CI3294">
        <v>1</v>
      </c>
      <c r="CJ3294">
        <v>1</v>
      </c>
      <c r="CK3294">
        <v>21</v>
      </c>
      <c r="CL3294" t="s">
        <v>89</v>
      </c>
    </row>
    <row r="3295" spans="1:90">
      <c r="A3295" t="s">
        <v>72</v>
      </c>
      <c r="B3295" t="s">
        <v>73</v>
      </c>
      <c r="C3295" t="s">
        <v>74</v>
      </c>
      <c r="E3295" t="str">
        <f>"FES1162725023"</f>
        <v>FES1162725023</v>
      </c>
      <c r="F3295" s="3">
        <v>43795</v>
      </c>
      <c r="G3295">
        <v>202005</v>
      </c>
      <c r="H3295" t="s">
        <v>75</v>
      </c>
      <c r="I3295" t="s">
        <v>76</v>
      </c>
      <c r="J3295" t="s">
        <v>77</v>
      </c>
      <c r="K3295" t="s">
        <v>78</v>
      </c>
      <c r="L3295" t="s">
        <v>133</v>
      </c>
      <c r="M3295" t="s">
        <v>134</v>
      </c>
      <c r="N3295" t="s">
        <v>135</v>
      </c>
      <c r="O3295" t="s">
        <v>82</v>
      </c>
      <c r="P3295" t="str">
        <f>"2170718752                    "</f>
        <v xml:space="preserve">2170718752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23.59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5.5</v>
      </c>
      <c r="BJ3295">
        <v>1.5</v>
      </c>
      <c r="BK3295">
        <v>5.5</v>
      </c>
      <c r="BL3295" s="4">
        <v>138.68</v>
      </c>
      <c r="BM3295" s="4">
        <v>20.8</v>
      </c>
      <c r="BN3295" s="4">
        <v>159.47999999999999</v>
      </c>
      <c r="BO3295" s="4">
        <v>159.47999999999999</v>
      </c>
      <c r="BQ3295" t="s">
        <v>109</v>
      </c>
      <c r="BR3295" t="s">
        <v>84</v>
      </c>
      <c r="BS3295" s="3">
        <v>43796</v>
      </c>
      <c r="BT3295" s="5">
        <v>0.3576388888888889</v>
      </c>
      <c r="BU3295" t="s">
        <v>2168</v>
      </c>
      <c r="BV3295" t="s">
        <v>86</v>
      </c>
      <c r="BY3295">
        <v>7489.53</v>
      </c>
      <c r="CA3295" t="s">
        <v>912</v>
      </c>
      <c r="CC3295" t="s">
        <v>134</v>
      </c>
      <c r="CD3295">
        <v>5201</v>
      </c>
      <c r="CE3295" t="s">
        <v>88</v>
      </c>
      <c r="CF3295" s="3">
        <v>43797</v>
      </c>
      <c r="CI3295">
        <v>1</v>
      </c>
      <c r="CJ3295">
        <v>1</v>
      </c>
      <c r="CK3295">
        <v>21</v>
      </c>
      <c r="CL3295" t="s">
        <v>89</v>
      </c>
    </row>
    <row r="3296" spans="1:90">
      <c r="A3296" t="s">
        <v>72</v>
      </c>
      <c r="B3296" t="s">
        <v>73</v>
      </c>
      <c r="C3296" t="s">
        <v>74</v>
      </c>
      <c r="E3296" t="str">
        <f>"FES1162724990"</f>
        <v>FES1162724990</v>
      </c>
      <c r="F3296" s="3">
        <v>43795</v>
      </c>
      <c r="G3296">
        <v>202005</v>
      </c>
      <c r="H3296" t="s">
        <v>75</v>
      </c>
      <c r="I3296" t="s">
        <v>76</v>
      </c>
      <c r="J3296" t="s">
        <v>77</v>
      </c>
      <c r="K3296" t="s">
        <v>78</v>
      </c>
      <c r="L3296" t="s">
        <v>106</v>
      </c>
      <c r="M3296" t="s">
        <v>107</v>
      </c>
      <c r="N3296" t="s">
        <v>150</v>
      </c>
      <c r="O3296" t="s">
        <v>82</v>
      </c>
      <c r="P3296" t="str">
        <f>"2170718707                    "</f>
        <v xml:space="preserve">2170718707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17.16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3.9</v>
      </c>
      <c r="BJ3296">
        <v>1.7</v>
      </c>
      <c r="BK3296">
        <v>4</v>
      </c>
      <c r="BL3296" s="4">
        <v>100.87</v>
      </c>
      <c r="BM3296" s="4">
        <v>15.13</v>
      </c>
      <c r="BN3296" s="4">
        <v>116</v>
      </c>
      <c r="BO3296" s="4">
        <v>116</v>
      </c>
      <c r="BQ3296" t="s">
        <v>109</v>
      </c>
      <c r="BR3296" t="s">
        <v>84</v>
      </c>
      <c r="BS3296" s="3">
        <v>43796</v>
      </c>
      <c r="BT3296" s="5">
        <v>0.41597222222222219</v>
      </c>
      <c r="BU3296" t="s">
        <v>2773</v>
      </c>
      <c r="BV3296" t="s">
        <v>86</v>
      </c>
      <c r="BY3296">
        <v>8379.89</v>
      </c>
      <c r="CA3296" t="s">
        <v>2415</v>
      </c>
      <c r="CC3296" t="s">
        <v>107</v>
      </c>
      <c r="CD3296">
        <v>6001</v>
      </c>
      <c r="CE3296" t="s">
        <v>88</v>
      </c>
      <c r="CF3296" s="3">
        <v>43797</v>
      </c>
      <c r="CI3296">
        <v>1</v>
      </c>
      <c r="CJ3296">
        <v>1</v>
      </c>
      <c r="CK3296">
        <v>21</v>
      </c>
      <c r="CL3296" t="s">
        <v>89</v>
      </c>
    </row>
    <row r="3297" spans="1:90">
      <c r="A3297" t="s">
        <v>72</v>
      </c>
      <c r="B3297" t="s">
        <v>73</v>
      </c>
      <c r="C3297" t="s">
        <v>74</v>
      </c>
      <c r="E3297" t="str">
        <f>"FES1162725009"</f>
        <v>FES1162725009</v>
      </c>
      <c r="F3297" s="3">
        <v>43795</v>
      </c>
      <c r="G3297">
        <v>202005</v>
      </c>
      <c r="H3297" t="s">
        <v>75</v>
      </c>
      <c r="I3297" t="s">
        <v>76</v>
      </c>
      <c r="J3297" t="s">
        <v>77</v>
      </c>
      <c r="K3297" t="s">
        <v>78</v>
      </c>
      <c r="L3297" t="s">
        <v>106</v>
      </c>
      <c r="M3297" t="s">
        <v>107</v>
      </c>
      <c r="N3297" t="s">
        <v>308</v>
      </c>
      <c r="O3297" t="s">
        <v>82</v>
      </c>
      <c r="P3297" t="str">
        <f>"217071737                     "</f>
        <v xml:space="preserve">217071737 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17.16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1.9</v>
      </c>
      <c r="BJ3297">
        <v>3.9</v>
      </c>
      <c r="BK3297">
        <v>4</v>
      </c>
      <c r="BL3297" s="4">
        <v>100.87</v>
      </c>
      <c r="BM3297" s="4">
        <v>15.13</v>
      </c>
      <c r="BN3297" s="4">
        <v>116</v>
      </c>
      <c r="BO3297" s="4">
        <v>116</v>
      </c>
      <c r="BQ3297" t="s">
        <v>121</v>
      </c>
      <c r="BR3297" t="s">
        <v>84</v>
      </c>
      <c r="BS3297" s="3">
        <v>43796</v>
      </c>
      <c r="BT3297" s="5">
        <v>0.36388888888888887</v>
      </c>
      <c r="BU3297" t="s">
        <v>3168</v>
      </c>
      <c r="BV3297" t="s">
        <v>86</v>
      </c>
      <c r="BY3297">
        <v>19379.25</v>
      </c>
      <c r="CA3297" t="s">
        <v>2415</v>
      </c>
      <c r="CC3297" t="s">
        <v>107</v>
      </c>
      <c r="CD3297">
        <v>6001</v>
      </c>
      <c r="CE3297" t="s">
        <v>1598</v>
      </c>
      <c r="CF3297" s="3">
        <v>43797</v>
      </c>
      <c r="CI3297">
        <v>1</v>
      </c>
      <c r="CJ3297">
        <v>1</v>
      </c>
      <c r="CK3297">
        <v>21</v>
      </c>
      <c r="CL3297" t="s">
        <v>89</v>
      </c>
    </row>
    <row r="3298" spans="1:90">
      <c r="A3298" t="s">
        <v>72</v>
      </c>
      <c r="B3298" t="s">
        <v>73</v>
      </c>
      <c r="C3298" t="s">
        <v>74</v>
      </c>
      <c r="E3298" t="str">
        <f>"FES1162725059"</f>
        <v>FES1162725059</v>
      </c>
      <c r="F3298" s="3">
        <v>43795</v>
      </c>
      <c r="G3298">
        <v>202005</v>
      </c>
      <c r="H3298" t="s">
        <v>75</v>
      </c>
      <c r="I3298" t="s">
        <v>76</v>
      </c>
      <c r="J3298" t="s">
        <v>77</v>
      </c>
      <c r="K3298" t="s">
        <v>78</v>
      </c>
      <c r="L3298" t="s">
        <v>106</v>
      </c>
      <c r="M3298" t="s">
        <v>107</v>
      </c>
      <c r="N3298" t="s">
        <v>2968</v>
      </c>
      <c r="O3298" t="s">
        <v>82</v>
      </c>
      <c r="P3298" t="str">
        <f>"2170718795                    "</f>
        <v xml:space="preserve">2170718795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15.02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3.4</v>
      </c>
      <c r="BJ3298">
        <v>1.4</v>
      </c>
      <c r="BK3298">
        <v>3.5</v>
      </c>
      <c r="BL3298" s="4">
        <v>88.27</v>
      </c>
      <c r="BM3298" s="4">
        <v>13.24</v>
      </c>
      <c r="BN3298" s="4">
        <v>101.51</v>
      </c>
      <c r="BO3298" s="4">
        <v>101.51</v>
      </c>
      <c r="BQ3298" t="s">
        <v>109</v>
      </c>
      <c r="BR3298" t="s">
        <v>84</v>
      </c>
      <c r="BS3298" s="3">
        <v>43796</v>
      </c>
      <c r="BT3298" s="5">
        <v>0.3972222222222222</v>
      </c>
      <c r="BU3298" t="s">
        <v>382</v>
      </c>
      <c r="BV3298" t="s">
        <v>86</v>
      </c>
      <c r="BY3298">
        <v>7113.6</v>
      </c>
      <c r="CA3298" t="s">
        <v>773</v>
      </c>
      <c r="CC3298" t="s">
        <v>107</v>
      </c>
      <c r="CD3298">
        <v>6012</v>
      </c>
      <c r="CE3298" t="s">
        <v>88</v>
      </c>
      <c r="CF3298" s="3">
        <v>43797</v>
      </c>
      <c r="CI3298">
        <v>1</v>
      </c>
      <c r="CJ3298">
        <v>1</v>
      </c>
      <c r="CK3298">
        <v>21</v>
      </c>
      <c r="CL3298" t="s">
        <v>89</v>
      </c>
    </row>
    <row r="3299" spans="1:90">
      <c r="A3299" t="s">
        <v>72</v>
      </c>
      <c r="B3299" t="s">
        <v>73</v>
      </c>
      <c r="C3299" t="s">
        <v>74</v>
      </c>
      <c r="E3299" t="str">
        <f>"FES1162724774"</f>
        <v>FES1162724774</v>
      </c>
      <c r="F3299" s="3">
        <v>43795</v>
      </c>
      <c r="G3299">
        <v>202005</v>
      </c>
      <c r="H3299" t="s">
        <v>75</v>
      </c>
      <c r="I3299" t="s">
        <v>76</v>
      </c>
      <c r="J3299" t="s">
        <v>77</v>
      </c>
      <c r="K3299" t="s">
        <v>78</v>
      </c>
      <c r="L3299" t="s">
        <v>79</v>
      </c>
      <c r="M3299" t="s">
        <v>80</v>
      </c>
      <c r="N3299" t="s">
        <v>1958</v>
      </c>
      <c r="O3299" t="s">
        <v>82</v>
      </c>
      <c r="P3299" t="str">
        <f>"2170714863                    "</f>
        <v xml:space="preserve">2170714863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27.88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6.1</v>
      </c>
      <c r="BJ3299">
        <v>2.2000000000000002</v>
      </c>
      <c r="BK3299">
        <v>6.5</v>
      </c>
      <c r="BL3299" s="4">
        <v>163.89</v>
      </c>
      <c r="BM3299" s="4">
        <v>24.58</v>
      </c>
      <c r="BN3299" s="4">
        <v>188.47</v>
      </c>
      <c r="BO3299" s="4">
        <v>188.47</v>
      </c>
      <c r="BQ3299" t="s">
        <v>142</v>
      </c>
      <c r="BR3299" t="s">
        <v>84</v>
      </c>
      <c r="BS3299" s="3">
        <v>43796</v>
      </c>
      <c r="BT3299" s="5">
        <v>0.34375</v>
      </c>
      <c r="BU3299" t="s">
        <v>3169</v>
      </c>
      <c r="BV3299" t="s">
        <v>86</v>
      </c>
      <c r="BY3299">
        <v>11144.64</v>
      </c>
      <c r="CA3299" t="s">
        <v>87</v>
      </c>
      <c r="CC3299" t="s">
        <v>80</v>
      </c>
      <c r="CD3299">
        <v>6229</v>
      </c>
      <c r="CE3299" t="s">
        <v>1598</v>
      </c>
      <c r="CF3299" s="3">
        <v>43797</v>
      </c>
      <c r="CI3299">
        <v>1</v>
      </c>
      <c r="CJ3299">
        <v>1</v>
      </c>
      <c r="CK3299">
        <v>21</v>
      </c>
      <c r="CL3299" t="s">
        <v>89</v>
      </c>
    </row>
    <row r="3300" spans="1:90">
      <c r="A3300" t="s">
        <v>72</v>
      </c>
      <c r="B3300" t="s">
        <v>73</v>
      </c>
      <c r="C3300" t="s">
        <v>74</v>
      </c>
      <c r="E3300" t="str">
        <f>"FES1162725052"</f>
        <v>FES1162725052</v>
      </c>
      <c r="F3300" s="3">
        <v>43795</v>
      </c>
      <c r="G3300">
        <v>202005</v>
      </c>
      <c r="H3300" t="s">
        <v>75</v>
      </c>
      <c r="I3300" t="s">
        <v>76</v>
      </c>
      <c r="J3300" t="s">
        <v>77</v>
      </c>
      <c r="K3300" t="s">
        <v>78</v>
      </c>
      <c r="L3300" t="s">
        <v>691</v>
      </c>
      <c r="M3300" t="s">
        <v>692</v>
      </c>
      <c r="N3300" t="s">
        <v>1100</v>
      </c>
      <c r="O3300" t="s">
        <v>82</v>
      </c>
      <c r="P3300" t="str">
        <f>"2170718291                    "</f>
        <v xml:space="preserve">2170718291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17.149999999999999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8.3000000000000007</v>
      </c>
      <c r="BJ3300">
        <v>3.8</v>
      </c>
      <c r="BK3300">
        <v>8.5</v>
      </c>
      <c r="BL3300" s="4">
        <v>100.82</v>
      </c>
      <c r="BM3300" s="4">
        <v>15.12</v>
      </c>
      <c r="BN3300" s="4">
        <v>115.94</v>
      </c>
      <c r="BO3300" s="4">
        <v>115.94</v>
      </c>
      <c r="BQ3300" t="s">
        <v>1101</v>
      </c>
      <c r="BR3300" t="s">
        <v>84</v>
      </c>
      <c r="BS3300" s="3">
        <v>43796</v>
      </c>
      <c r="BT3300" s="5">
        <v>0.33333333333333331</v>
      </c>
      <c r="BU3300" t="s">
        <v>3170</v>
      </c>
      <c r="BV3300" t="s">
        <v>86</v>
      </c>
      <c r="BY3300">
        <v>18995.62</v>
      </c>
      <c r="CA3300" t="s">
        <v>2691</v>
      </c>
      <c r="CC3300" t="s">
        <v>692</v>
      </c>
      <c r="CD3300">
        <v>1559</v>
      </c>
      <c r="CE3300" t="s">
        <v>1598</v>
      </c>
      <c r="CF3300" s="3">
        <v>43797</v>
      </c>
      <c r="CI3300">
        <v>1</v>
      </c>
      <c r="CJ3300">
        <v>1</v>
      </c>
      <c r="CK3300">
        <v>22</v>
      </c>
      <c r="CL3300" t="s">
        <v>89</v>
      </c>
    </row>
    <row r="3301" spans="1:90">
      <c r="A3301" t="s">
        <v>72</v>
      </c>
      <c r="B3301" t="s">
        <v>73</v>
      </c>
      <c r="C3301" t="s">
        <v>74</v>
      </c>
      <c r="E3301" t="str">
        <f>"FES1162725076"</f>
        <v>FES1162725076</v>
      </c>
      <c r="F3301" s="3">
        <v>43795</v>
      </c>
      <c r="G3301">
        <v>202005</v>
      </c>
      <c r="H3301" t="s">
        <v>75</v>
      </c>
      <c r="I3301" t="s">
        <v>76</v>
      </c>
      <c r="J3301" t="s">
        <v>77</v>
      </c>
      <c r="K3301" t="s">
        <v>78</v>
      </c>
      <c r="L3301" t="s">
        <v>75</v>
      </c>
      <c r="M3301" t="s">
        <v>76</v>
      </c>
      <c r="N3301" t="s">
        <v>360</v>
      </c>
      <c r="O3301" t="s">
        <v>82</v>
      </c>
      <c r="P3301" t="str">
        <f>"2170718820                    "</f>
        <v xml:space="preserve">2170718820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7.51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2.5</v>
      </c>
      <c r="BJ3301">
        <v>1.3</v>
      </c>
      <c r="BK3301">
        <v>2.5</v>
      </c>
      <c r="BL3301" s="4">
        <v>44.14</v>
      </c>
      <c r="BM3301" s="4">
        <v>6.62</v>
      </c>
      <c r="BN3301" s="4">
        <v>50.76</v>
      </c>
      <c r="BO3301" s="4">
        <v>50.76</v>
      </c>
      <c r="BQ3301" t="s">
        <v>109</v>
      </c>
      <c r="BR3301" t="s">
        <v>84</v>
      </c>
      <c r="BS3301" s="3">
        <v>43796</v>
      </c>
      <c r="BT3301" s="5">
        <v>0.31944444444444448</v>
      </c>
      <c r="BU3301" t="s">
        <v>815</v>
      </c>
      <c r="BV3301" t="s">
        <v>86</v>
      </c>
      <c r="BY3301">
        <v>6338.28</v>
      </c>
      <c r="CA3301" t="s">
        <v>797</v>
      </c>
      <c r="CC3301" t="s">
        <v>76</v>
      </c>
      <c r="CD3301">
        <v>1645</v>
      </c>
      <c r="CE3301" t="s">
        <v>88</v>
      </c>
      <c r="CF3301" s="3">
        <v>43797</v>
      </c>
      <c r="CI3301">
        <v>1</v>
      </c>
      <c r="CJ3301">
        <v>1</v>
      </c>
      <c r="CK3301">
        <v>22</v>
      </c>
      <c r="CL3301" t="s">
        <v>89</v>
      </c>
    </row>
    <row r="3302" spans="1:90">
      <c r="A3302" t="s">
        <v>72</v>
      </c>
      <c r="B3302" t="s">
        <v>73</v>
      </c>
      <c r="C3302" t="s">
        <v>74</v>
      </c>
      <c r="E3302" t="str">
        <f>"FES1162725081"</f>
        <v>FES1162725081</v>
      </c>
      <c r="F3302" s="3">
        <v>43795</v>
      </c>
      <c r="G3302">
        <v>202005</v>
      </c>
      <c r="H3302" t="s">
        <v>75</v>
      </c>
      <c r="I3302" t="s">
        <v>76</v>
      </c>
      <c r="J3302" t="s">
        <v>77</v>
      </c>
      <c r="K3302" t="s">
        <v>78</v>
      </c>
      <c r="L3302" t="s">
        <v>75</v>
      </c>
      <c r="M3302" t="s">
        <v>76</v>
      </c>
      <c r="N3302" t="s">
        <v>360</v>
      </c>
      <c r="O3302" t="s">
        <v>82</v>
      </c>
      <c r="P3302" t="str">
        <f>"2170718824                    "</f>
        <v xml:space="preserve">2170718824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8.31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1.4</v>
      </c>
      <c r="BJ3302">
        <v>2.9</v>
      </c>
      <c r="BK3302">
        <v>3</v>
      </c>
      <c r="BL3302" s="4">
        <v>48.86</v>
      </c>
      <c r="BM3302" s="4">
        <v>7.33</v>
      </c>
      <c r="BN3302" s="4">
        <v>56.19</v>
      </c>
      <c r="BO3302" s="4">
        <v>56.19</v>
      </c>
      <c r="BQ3302" t="s">
        <v>109</v>
      </c>
      <c r="BR3302" t="s">
        <v>84</v>
      </c>
      <c r="BS3302" s="3">
        <v>43796</v>
      </c>
      <c r="BT3302" s="5">
        <v>0.31944444444444448</v>
      </c>
      <c r="BU3302" t="s">
        <v>815</v>
      </c>
      <c r="BV3302" t="s">
        <v>86</v>
      </c>
      <c r="BY3302">
        <v>14527.42</v>
      </c>
      <c r="CA3302" t="s">
        <v>797</v>
      </c>
      <c r="CC3302" t="s">
        <v>76</v>
      </c>
      <c r="CD3302">
        <v>1645</v>
      </c>
      <c r="CE3302" t="s">
        <v>88</v>
      </c>
      <c r="CF3302" s="3">
        <v>43797</v>
      </c>
      <c r="CI3302">
        <v>1</v>
      </c>
      <c r="CJ3302">
        <v>1</v>
      </c>
      <c r="CK3302">
        <v>22</v>
      </c>
      <c r="CL3302" t="s">
        <v>89</v>
      </c>
    </row>
    <row r="3303" spans="1:90">
      <c r="A3303" t="s">
        <v>72</v>
      </c>
      <c r="B3303" t="s">
        <v>73</v>
      </c>
      <c r="C3303" t="s">
        <v>74</v>
      </c>
      <c r="E3303" t="str">
        <f>"FES1162724334"</f>
        <v>FES1162724334</v>
      </c>
      <c r="F3303" s="3">
        <v>43795</v>
      </c>
      <c r="G3303">
        <v>202005</v>
      </c>
      <c r="H3303" t="s">
        <v>75</v>
      </c>
      <c r="I3303" t="s">
        <v>76</v>
      </c>
      <c r="J3303" t="s">
        <v>77</v>
      </c>
      <c r="K3303" t="s">
        <v>78</v>
      </c>
      <c r="L3303" t="s">
        <v>101</v>
      </c>
      <c r="M3303" t="s">
        <v>102</v>
      </c>
      <c r="N3303" t="s">
        <v>471</v>
      </c>
      <c r="O3303" t="s">
        <v>82</v>
      </c>
      <c r="P3303" t="str">
        <f>"2170714919                    "</f>
        <v xml:space="preserve">2170714919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8.58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1.3</v>
      </c>
      <c r="BK3303">
        <v>1.5</v>
      </c>
      <c r="BL3303" s="4">
        <v>50.45</v>
      </c>
      <c r="BM3303" s="4">
        <v>7.57</v>
      </c>
      <c r="BN3303" s="4">
        <v>58.02</v>
      </c>
      <c r="BO3303" s="4">
        <v>58.02</v>
      </c>
      <c r="BQ3303" t="s">
        <v>142</v>
      </c>
      <c r="BR3303" t="s">
        <v>84</v>
      </c>
      <c r="BS3303" s="3">
        <v>43796</v>
      </c>
      <c r="BT3303" s="5">
        <v>0.54166666666666663</v>
      </c>
      <c r="BU3303" t="s">
        <v>3020</v>
      </c>
      <c r="BV3303" t="s">
        <v>89</v>
      </c>
      <c r="BW3303" t="s">
        <v>596</v>
      </c>
      <c r="BX3303" t="s">
        <v>474</v>
      </c>
      <c r="BY3303">
        <v>6437.65</v>
      </c>
      <c r="CC3303" t="s">
        <v>102</v>
      </c>
      <c r="CD3303">
        <v>200</v>
      </c>
      <c r="CE3303" t="s">
        <v>88</v>
      </c>
      <c r="CF3303" s="3">
        <v>43797</v>
      </c>
      <c r="CI3303">
        <v>1</v>
      </c>
      <c r="CJ3303">
        <v>1</v>
      </c>
      <c r="CK3303">
        <v>21</v>
      </c>
      <c r="CL3303" t="s">
        <v>89</v>
      </c>
    </row>
    <row r="3304" spans="1:90">
      <c r="A3304" t="s">
        <v>72</v>
      </c>
      <c r="B3304" t="s">
        <v>73</v>
      </c>
      <c r="C3304" t="s">
        <v>74</v>
      </c>
      <c r="E3304" t="str">
        <f>"FES1162725046"</f>
        <v>FES1162725046</v>
      </c>
      <c r="F3304" s="3">
        <v>43795</v>
      </c>
      <c r="G3304">
        <v>202005</v>
      </c>
      <c r="H3304" t="s">
        <v>75</v>
      </c>
      <c r="I3304" t="s">
        <v>76</v>
      </c>
      <c r="J3304" t="s">
        <v>77</v>
      </c>
      <c r="K3304" t="s">
        <v>78</v>
      </c>
      <c r="L3304" t="s">
        <v>339</v>
      </c>
      <c r="M3304" t="s">
        <v>340</v>
      </c>
      <c r="N3304" t="s">
        <v>3171</v>
      </c>
      <c r="O3304" t="s">
        <v>82</v>
      </c>
      <c r="P3304" t="str">
        <f>"2170718790                    "</f>
        <v xml:space="preserve">2170718790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10.73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2.2000000000000002</v>
      </c>
      <c r="BJ3304">
        <v>1.2</v>
      </c>
      <c r="BK3304">
        <v>2.5</v>
      </c>
      <c r="BL3304" s="4">
        <v>63.06</v>
      </c>
      <c r="BM3304" s="4">
        <v>9.4600000000000009</v>
      </c>
      <c r="BN3304" s="4">
        <v>72.52</v>
      </c>
      <c r="BO3304" s="4">
        <v>72.52</v>
      </c>
      <c r="BQ3304" t="s">
        <v>3172</v>
      </c>
      <c r="BR3304" t="s">
        <v>84</v>
      </c>
      <c r="BS3304" s="3">
        <v>43796</v>
      </c>
      <c r="BT3304" s="5">
        <v>0.4201388888888889</v>
      </c>
      <c r="BU3304" t="s">
        <v>3173</v>
      </c>
      <c r="BV3304" t="s">
        <v>86</v>
      </c>
      <c r="BY3304">
        <v>5965.27</v>
      </c>
      <c r="CA3304" t="s">
        <v>2854</v>
      </c>
      <c r="CC3304" t="s">
        <v>340</v>
      </c>
      <c r="CD3304">
        <v>157</v>
      </c>
      <c r="CE3304" t="s">
        <v>88</v>
      </c>
      <c r="CF3304" s="3">
        <v>43797</v>
      </c>
      <c r="CI3304">
        <v>1</v>
      </c>
      <c r="CJ3304">
        <v>1</v>
      </c>
      <c r="CK3304">
        <v>21</v>
      </c>
      <c r="CL3304" t="s">
        <v>89</v>
      </c>
    </row>
    <row r="3305" spans="1:90">
      <c r="A3305" t="s">
        <v>72</v>
      </c>
      <c r="B3305" t="s">
        <v>73</v>
      </c>
      <c r="C3305" t="s">
        <v>74</v>
      </c>
      <c r="E3305" t="str">
        <f>"FES1162725010"</f>
        <v>FES1162725010</v>
      </c>
      <c r="F3305" s="3">
        <v>43795</v>
      </c>
      <c r="G3305">
        <v>202005</v>
      </c>
      <c r="H3305" t="s">
        <v>75</v>
      </c>
      <c r="I3305" t="s">
        <v>76</v>
      </c>
      <c r="J3305" t="s">
        <v>77</v>
      </c>
      <c r="K3305" t="s">
        <v>78</v>
      </c>
      <c r="L3305" t="s">
        <v>106</v>
      </c>
      <c r="M3305" t="s">
        <v>107</v>
      </c>
      <c r="N3305" t="s">
        <v>1311</v>
      </c>
      <c r="O3305" t="s">
        <v>82</v>
      </c>
      <c r="P3305" t="str">
        <f>"2170718738                    "</f>
        <v xml:space="preserve">2170718738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8.58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 s="4">
        <v>50.45</v>
      </c>
      <c r="BM3305" s="4">
        <v>7.57</v>
      </c>
      <c r="BN3305" s="4">
        <v>58.02</v>
      </c>
      <c r="BO3305" s="4">
        <v>58.02</v>
      </c>
      <c r="BQ3305" t="s">
        <v>109</v>
      </c>
      <c r="BR3305" t="s">
        <v>84</v>
      </c>
      <c r="BS3305" s="3">
        <v>43796</v>
      </c>
      <c r="BT3305" s="5">
        <v>0.37638888888888888</v>
      </c>
      <c r="BU3305" t="s">
        <v>3009</v>
      </c>
      <c r="BV3305" t="s">
        <v>86</v>
      </c>
      <c r="BY3305">
        <v>1200</v>
      </c>
      <c r="CA3305" t="s">
        <v>773</v>
      </c>
      <c r="CC3305" t="s">
        <v>107</v>
      </c>
      <c r="CD3305">
        <v>6001</v>
      </c>
      <c r="CE3305" t="s">
        <v>147</v>
      </c>
      <c r="CF3305" s="3">
        <v>43797</v>
      </c>
      <c r="CI3305">
        <v>1</v>
      </c>
      <c r="CJ3305">
        <v>1</v>
      </c>
      <c r="CK3305">
        <v>21</v>
      </c>
      <c r="CL3305" t="s">
        <v>89</v>
      </c>
    </row>
    <row r="3306" spans="1:90">
      <c r="A3306" t="s">
        <v>72</v>
      </c>
      <c r="B3306" t="s">
        <v>73</v>
      </c>
      <c r="C3306" t="s">
        <v>74</v>
      </c>
      <c r="E3306" t="str">
        <f>"FES1162724991"</f>
        <v>FES1162724991</v>
      </c>
      <c r="F3306" s="3">
        <v>43795</v>
      </c>
      <c r="G3306">
        <v>202005</v>
      </c>
      <c r="H3306" t="s">
        <v>75</v>
      </c>
      <c r="I3306" t="s">
        <v>76</v>
      </c>
      <c r="J3306" t="s">
        <v>77</v>
      </c>
      <c r="K3306" t="s">
        <v>78</v>
      </c>
      <c r="L3306" t="s">
        <v>106</v>
      </c>
      <c r="M3306" t="s">
        <v>107</v>
      </c>
      <c r="N3306" t="s">
        <v>580</v>
      </c>
      <c r="O3306" t="s">
        <v>82</v>
      </c>
      <c r="P3306" t="str">
        <f>"2170718709                    "</f>
        <v xml:space="preserve">2170718709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8.58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 s="4">
        <v>50.45</v>
      </c>
      <c r="BM3306" s="4">
        <v>7.57</v>
      </c>
      <c r="BN3306" s="4">
        <v>58.02</v>
      </c>
      <c r="BO3306" s="4">
        <v>58.02</v>
      </c>
      <c r="BQ3306" t="s">
        <v>109</v>
      </c>
      <c r="BR3306" t="s">
        <v>84</v>
      </c>
      <c r="BS3306" s="3">
        <v>43796</v>
      </c>
      <c r="BT3306" s="5">
        <v>0.35972222222222222</v>
      </c>
      <c r="BU3306" t="s">
        <v>3174</v>
      </c>
      <c r="BV3306" t="s">
        <v>86</v>
      </c>
      <c r="BY3306">
        <v>1200</v>
      </c>
      <c r="CA3306" t="s">
        <v>773</v>
      </c>
      <c r="CC3306" t="s">
        <v>107</v>
      </c>
      <c r="CD3306">
        <v>6001</v>
      </c>
      <c r="CE3306" t="s">
        <v>147</v>
      </c>
      <c r="CF3306" s="3">
        <v>43797</v>
      </c>
      <c r="CI3306">
        <v>1</v>
      </c>
      <c r="CJ3306">
        <v>1</v>
      </c>
      <c r="CK3306">
        <v>21</v>
      </c>
      <c r="CL3306" t="s">
        <v>89</v>
      </c>
    </row>
    <row r="3307" spans="1:90">
      <c r="A3307" t="s">
        <v>72</v>
      </c>
      <c r="B3307" t="s">
        <v>73</v>
      </c>
      <c r="C3307" t="s">
        <v>74</v>
      </c>
      <c r="E3307" t="str">
        <f>"FES1162725079"</f>
        <v>FES1162725079</v>
      </c>
      <c r="F3307" s="3">
        <v>43795</v>
      </c>
      <c r="G3307">
        <v>202005</v>
      </c>
      <c r="H3307" t="s">
        <v>75</v>
      </c>
      <c r="I3307" t="s">
        <v>76</v>
      </c>
      <c r="J3307" t="s">
        <v>77</v>
      </c>
      <c r="K3307" t="s">
        <v>78</v>
      </c>
      <c r="L3307" t="s">
        <v>106</v>
      </c>
      <c r="M3307" t="s">
        <v>107</v>
      </c>
      <c r="N3307" t="s">
        <v>150</v>
      </c>
      <c r="O3307" t="s">
        <v>82</v>
      </c>
      <c r="P3307" t="str">
        <f>"2170718812                    "</f>
        <v xml:space="preserve">2170718812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8.58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 s="4">
        <v>50.45</v>
      </c>
      <c r="BM3307" s="4">
        <v>7.57</v>
      </c>
      <c r="BN3307" s="4">
        <v>58.02</v>
      </c>
      <c r="BO3307" s="4">
        <v>58.02</v>
      </c>
      <c r="BQ3307" t="s">
        <v>109</v>
      </c>
      <c r="BR3307" t="s">
        <v>84</v>
      </c>
      <c r="BS3307" s="3">
        <v>43796</v>
      </c>
      <c r="BT3307" s="5">
        <v>0.4152777777777778</v>
      </c>
      <c r="BU3307" t="s">
        <v>2773</v>
      </c>
      <c r="BV3307" t="s">
        <v>86</v>
      </c>
      <c r="BY3307">
        <v>1200</v>
      </c>
      <c r="CA3307" t="s">
        <v>2415</v>
      </c>
      <c r="CC3307" t="s">
        <v>107</v>
      </c>
      <c r="CD3307">
        <v>6001</v>
      </c>
      <c r="CE3307" t="s">
        <v>147</v>
      </c>
      <c r="CF3307" s="3">
        <v>43797</v>
      </c>
      <c r="CI3307">
        <v>1</v>
      </c>
      <c r="CJ3307">
        <v>1</v>
      </c>
      <c r="CK3307">
        <v>21</v>
      </c>
      <c r="CL3307" t="s">
        <v>89</v>
      </c>
    </row>
    <row r="3308" spans="1:90">
      <c r="A3308" t="s">
        <v>72</v>
      </c>
      <c r="B3308" t="s">
        <v>73</v>
      </c>
      <c r="C3308" t="s">
        <v>74</v>
      </c>
      <c r="E3308" t="str">
        <f>"FES1162725021"</f>
        <v>FES1162725021</v>
      </c>
      <c r="F3308" s="3">
        <v>43795</v>
      </c>
      <c r="G3308">
        <v>202005</v>
      </c>
      <c r="H3308" t="s">
        <v>75</v>
      </c>
      <c r="I3308" t="s">
        <v>76</v>
      </c>
      <c r="J3308" t="s">
        <v>77</v>
      </c>
      <c r="K3308" t="s">
        <v>78</v>
      </c>
      <c r="L3308" t="s">
        <v>90</v>
      </c>
      <c r="M3308" t="s">
        <v>91</v>
      </c>
      <c r="N3308" t="s">
        <v>393</v>
      </c>
      <c r="O3308" t="s">
        <v>82</v>
      </c>
      <c r="P3308" t="str">
        <f>"2170718745                    "</f>
        <v xml:space="preserve">2170718745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8.58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1.5</v>
      </c>
      <c r="BJ3308">
        <v>1.5</v>
      </c>
      <c r="BK3308">
        <v>1.5</v>
      </c>
      <c r="BL3308" s="4">
        <v>50.45</v>
      </c>
      <c r="BM3308" s="4">
        <v>7.57</v>
      </c>
      <c r="BN3308" s="4">
        <v>58.02</v>
      </c>
      <c r="BO3308" s="4">
        <v>58.02</v>
      </c>
      <c r="BQ3308" t="s">
        <v>1630</v>
      </c>
      <c r="BR3308" t="s">
        <v>84</v>
      </c>
      <c r="BS3308" s="3">
        <v>43796</v>
      </c>
      <c r="BT3308" s="5">
        <v>0.30069444444444443</v>
      </c>
      <c r="BU3308" t="s">
        <v>2128</v>
      </c>
      <c r="BV3308" t="s">
        <v>86</v>
      </c>
      <c r="BY3308">
        <v>7383.87</v>
      </c>
      <c r="CA3308" t="s">
        <v>221</v>
      </c>
      <c r="CC3308" t="s">
        <v>91</v>
      </c>
      <c r="CD3308">
        <v>7405</v>
      </c>
      <c r="CE3308" t="s">
        <v>88</v>
      </c>
      <c r="CF3308" s="3">
        <v>43797</v>
      </c>
      <c r="CI3308">
        <v>1</v>
      </c>
      <c r="CJ3308">
        <v>1</v>
      </c>
      <c r="CK3308">
        <v>21</v>
      </c>
      <c r="CL3308" t="s">
        <v>89</v>
      </c>
    </row>
    <row r="3309" spans="1:90">
      <c r="A3309" t="s">
        <v>72</v>
      </c>
      <c r="B3309" t="s">
        <v>73</v>
      </c>
      <c r="C3309" t="s">
        <v>74</v>
      </c>
      <c r="E3309" t="str">
        <f>"FES1162725242"</f>
        <v>FES1162725242</v>
      </c>
      <c r="F3309" s="3">
        <v>43795</v>
      </c>
      <c r="G3309">
        <v>202005</v>
      </c>
      <c r="H3309" t="s">
        <v>75</v>
      </c>
      <c r="I3309" t="s">
        <v>76</v>
      </c>
      <c r="J3309" t="s">
        <v>77</v>
      </c>
      <c r="K3309" t="s">
        <v>78</v>
      </c>
      <c r="L3309" t="s">
        <v>225</v>
      </c>
      <c r="M3309" t="s">
        <v>226</v>
      </c>
      <c r="N3309" t="s">
        <v>227</v>
      </c>
      <c r="O3309" t="s">
        <v>82</v>
      </c>
      <c r="P3309" t="str">
        <f>"2170718977                    "</f>
        <v xml:space="preserve">2170718977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8.58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 s="4">
        <v>50.45</v>
      </c>
      <c r="BM3309" s="4">
        <v>7.57</v>
      </c>
      <c r="BN3309" s="4">
        <v>58.02</v>
      </c>
      <c r="BO3309" s="4">
        <v>58.02</v>
      </c>
      <c r="BQ3309" t="s">
        <v>121</v>
      </c>
      <c r="BR3309" t="s">
        <v>84</v>
      </c>
      <c r="BS3309" s="3">
        <v>43796</v>
      </c>
      <c r="BT3309" s="5">
        <v>0.3576388888888889</v>
      </c>
      <c r="BU3309" t="s">
        <v>3108</v>
      </c>
      <c r="BV3309" t="s">
        <v>86</v>
      </c>
      <c r="BY3309">
        <v>1200</v>
      </c>
      <c r="CA3309" t="s">
        <v>3109</v>
      </c>
      <c r="CC3309" t="s">
        <v>226</v>
      </c>
      <c r="CD3309">
        <v>4026</v>
      </c>
      <c r="CE3309" t="s">
        <v>147</v>
      </c>
      <c r="CF3309" s="3">
        <v>43797</v>
      </c>
      <c r="CI3309">
        <v>1</v>
      </c>
      <c r="CJ3309">
        <v>1</v>
      </c>
      <c r="CK3309">
        <v>21</v>
      </c>
      <c r="CL3309" t="s">
        <v>89</v>
      </c>
    </row>
    <row r="3310" spans="1:90">
      <c r="A3310" t="s">
        <v>72</v>
      </c>
      <c r="B3310" t="s">
        <v>73</v>
      </c>
      <c r="C3310" t="s">
        <v>74</v>
      </c>
      <c r="E3310" t="str">
        <f>"FES1162724829"</f>
        <v>FES1162724829</v>
      </c>
      <c r="F3310" s="3">
        <v>43795</v>
      </c>
      <c r="G3310">
        <v>202005</v>
      </c>
      <c r="H3310" t="s">
        <v>75</v>
      </c>
      <c r="I3310" t="s">
        <v>76</v>
      </c>
      <c r="J3310" t="s">
        <v>77</v>
      </c>
      <c r="K3310" t="s">
        <v>78</v>
      </c>
      <c r="L3310" t="s">
        <v>106</v>
      </c>
      <c r="M3310" t="s">
        <v>107</v>
      </c>
      <c r="N3310" t="s">
        <v>1401</v>
      </c>
      <c r="O3310" t="s">
        <v>82</v>
      </c>
      <c r="P3310" t="str">
        <f>"2170716722                    "</f>
        <v xml:space="preserve">2170716722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8.58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 s="4">
        <v>50.45</v>
      </c>
      <c r="BM3310" s="4">
        <v>7.57</v>
      </c>
      <c r="BN3310" s="4">
        <v>58.02</v>
      </c>
      <c r="BO3310" s="4">
        <v>58.02</v>
      </c>
      <c r="BQ3310" t="s">
        <v>109</v>
      </c>
      <c r="BR3310" t="s">
        <v>84</v>
      </c>
      <c r="BS3310" s="3">
        <v>43796</v>
      </c>
      <c r="BT3310" s="5">
        <v>0.41319444444444442</v>
      </c>
      <c r="BU3310" t="s">
        <v>1402</v>
      </c>
      <c r="BV3310" t="s">
        <v>86</v>
      </c>
      <c r="BY3310">
        <v>1200</v>
      </c>
      <c r="CA3310" t="s">
        <v>87</v>
      </c>
      <c r="CC3310" t="s">
        <v>107</v>
      </c>
      <c r="CD3310">
        <v>6001</v>
      </c>
      <c r="CE3310" t="s">
        <v>147</v>
      </c>
      <c r="CF3310" s="3">
        <v>43797</v>
      </c>
      <c r="CI3310">
        <v>1</v>
      </c>
      <c r="CJ3310">
        <v>1</v>
      </c>
      <c r="CK3310">
        <v>21</v>
      </c>
      <c r="CL3310" t="s">
        <v>89</v>
      </c>
    </row>
    <row r="3311" spans="1:90">
      <c r="A3311" t="s">
        <v>72</v>
      </c>
      <c r="B3311" t="s">
        <v>73</v>
      </c>
      <c r="C3311" t="s">
        <v>74</v>
      </c>
      <c r="E3311" t="str">
        <f>"FES1162725085"</f>
        <v>FES1162725085</v>
      </c>
      <c r="F3311" s="3">
        <v>43795</v>
      </c>
      <c r="G3311">
        <v>202005</v>
      </c>
      <c r="H3311" t="s">
        <v>75</v>
      </c>
      <c r="I3311" t="s">
        <v>76</v>
      </c>
      <c r="J3311" t="s">
        <v>77</v>
      </c>
      <c r="K3311" t="s">
        <v>78</v>
      </c>
      <c r="L3311" t="s">
        <v>75</v>
      </c>
      <c r="M3311" t="s">
        <v>76</v>
      </c>
      <c r="N3311" t="s">
        <v>199</v>
      </c>
      <c r="O3311" t="s">
        <v>82</v>
      </c>
      <c r="P3311" t="str">
        <f>"2170718830                    "</f>
        <v xml:space="preserve">2170718830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6.71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 s="4">
        <v>39.42</v>
      </c>
      <c r="BM3311" s="4">
        <v>5.91</v>
      </c>
      <c r="BN3311" s="4">
        <v>45.33</v>
      </c>
      <c r="BO3311" s="4">
        <v>45.33</v>
      </c>
      <c r="BQ3311" t="s">
        <v>200</v>
      </c>
      <c r="BR3311" t="s">
        <v>84</v>
      </c>
      <c r="BS3311" s="3">
        <v>43796</v>
      </c>
      <c r="BT3311" s="5">
        <v>0.30277777777777776</v>
      </c>
      <c r="BU3311" t="s">
        <v>1072</v>
      </c>
      <c r="BV3311" t="s">
        <v>86</v>
      </c>
      <c r="BY3311">
        <v>1200</v>
      </c>
      <c r="CA3311" t="s">
        <v>368</v>
      </c>
      <c r="CC3311" t="s">
        <v>76</v>
      </c>
      <c r="CD3311">
        <v>1600</v>
      </c>
      <c r="CE3311" t="s">
        <v>147</v>
      </c>
      <c r="CF3311" s="3">
        <v>43797</v>
      </c>
      <c r="CI3311">
        <v>1</v>
      </c>
      <c r="CJ3311">
        <v>1</v>
      </c>
      <c r="CK3311">
        <v>22</v>
      </c>
      <c r="CL3311" t="s">
        <v>89</v>
      </c>
    </row>
    <row r="3312" spans="1:90">
      <c r="A3312" t="s">
        <v>72</v>
      </c>
      <c r="B3312" t="s">
        <v>73</v>
      </c>
      <c r="C3312" t="s">
        <v>74</v>
      </c>
      <c r="E3312" t="str">
        <f>"FES1162725075"</f>
        <v>FES1162725075</v>
      </c>
      <c r="F3312" s="3">
        <v>43795</v>
      </c>
      <c r="G3312">
        <v>202005</v>
      </c>
      <c r="H3312" t="s">
        <v>75</v>
      </c>
      <c r="I3312" t="s">
        <v>76</v>
      </c>
      <c r="J3312" t="s">
        <v>77</v>
      </c>
      <c r="K3312" t="s">
        <v>78</v>
      </c>
      <c r="L3312" t="s">
        <v>75</v>
      </c>
      <c r="M3312" t="s">
        <v>76</v>
      </c>
      <c r="N3312" t="s">
        <v>360</v>
      </c>
      <c r="O3312" t="s">
        <v>82</v>
      </c>
      <c r="P3312" t="str">
        <f>"2170718817                    "</f>
        <v xml:space="preserve">2170718817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6.71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 s="4">
        <v>39.42</v>
      </c>
      <c r="BM3312" s="4">
        <v>5.91</v>
      </c>
      <c r="BN3312" s="4">
        <v>45.33</v>
      </c>
      <c r="BO3312" s="4">
        <v>45.33</v>
      </c>
      <c r="BQ3312" t="s">
        <v>109</v>
      </c>
      <c r="BR3312" t="s">
        <v>84</v>
      </c>
      <c r="BS3312" s="3">
        <v>43796</v>
      </c>
      <c r="BT3312" s="5">
        <v>0.31944444444444448</v>
      </c>
      <c r="BU3312" t="s">
        <v>815</v>
      </c>
      <c r="BV3312" t="s">
        <v>86</v>
      </c>
      <c r="BY3312">
        <v>1200</v>
      </c>
      <c r="CA3312" t="s">
        <v>797</v>
      </c>
      <c r="CC3312" t="s">
        <v>76</v>
      </c>
      <c r="CD3312">
        <v>1645</v>
      </c>
      <c r="CE3312" t="s">
        <v>147</v>
      </c>
      <c r="CF3312" s="3">
        <v>43797</v>
      </c>
      <c r="CI3312">
        <v>1</v>
      </c>
      <c r="CJ3312">
        <v>1</v>
      </c>
      <c r="CK3312">
        <v>22</v>
      </c>
      <c r="CL3312" t="s">
        <v>89</v>
      </c>
    </row>
    <row r="3313" spans="1:90">
      <c r="A3313" t="s">
        <v>72</v>
      </c>
      <c r="B3313" t="s">
        <v>73</v>
      </c>
      <c r="C3313" t="s">
        <v>74</v>
      </c>
      <c r="E3313" t="str">
        <f>"FES1162725071"</f>
        <v>FES1162725071</v>
      </c>
      <c r="F3313" s="3">
        <v>43795</v>
      </c>
      <c r="G3313">
        <v>202005</v>
      </c>
      <c r="H3313" t="s">
        <v>75</v>
      </c>
      <c r="I3313" t="s">
        <v>76</v>
      </c>
      <c r="J3313" t="s">
        <v>77</v>
      </c>
      <c r="K3313" t="s">
        <v>78</v>
      </c>
      <c r="L3313" t="s">
        <v>202</v>
      </c>
      <c r="M3313" t="s">
        <v>203</v>
      </c>
      <c r="N3313" t="s">
        <v>521</v>
      </c>
      <c r="O3313" t="s">
        <v>82</v>
      </c>
      <c r="P3313" t="str">
        <f>"2170718809                    "</f>
        <v xml:space="preserve">2170718809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6.71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 s="4">
        <v>39.42</v>
      </c>
      <c r="BM3313" s="4">
        <v>5.91</v>
      </c>
      <c r="BN3313" s="4">
        <v>45.33</v>
      </c>
      <c r="BO3313" s="4">
        <v>45.33</v>
      </c>
      <c r="BQ3313" t="s">
        <v>109</v>
      </c>
      <c r="BR3313" t="s">
        <v>84</v>
      </c>
      <c r="BS3313" s="3">
        <v>43796</v>
      </c>
      <c r="BT3313" s="5">
        <v>0.42708333333333331</v>
      </c>
      <c r="BU3313" t="s">
        <v>480</v>
      </c>
      <c r="BV3313" t="s">
        <v>86</v>
      </c>
      <c r="BY3313">
        <v>1200</v>
      </c>
      <c r="CA3313" t="s">
        <v>123</v>
      </c>
      <c r="CC3313" t="s">
        <v>203</v>
      </c>
      <c r="CD3313">
        <v>1428</v>
      </c>
      <c r="CE3313" t="s">
        <v>147</v>
      </c>
      <c r="CF3313" s="3">
        <v>43797</v>
      </c>
      <c r="CI3313">
        <v>1</v>
      </c>
      <c r="CJ3313">
        <v>1</v>
      </c>
      <c r="CK3313">
        <v>22</v>
      </c>
      <c r="CL3313" t="s">
        <v>89</v>
      </c>
    </row>
    <row r="3314" spans="1:90">
      <c r="A3314" t="s">
        <v>72</v>
      </c>
      <c r="B3314" t="s">
        <v>73</v>
      </c>
      <c r="C3314" t="s">
        <v>74</v>
      </c>
      <c r="E3314" t="str">
        <f>"FES1162725055"</f>
        <v>FES1162725055</v>
      </c>
      <c r="F3314" s="3">
        <v>43795</v>
      </c>
      <c r="G3314">
        <v>202005</v>
      </c>
      <c r="H3314" t="s">
        <v>75</v>
      </c>
      <c r="I3314" t="s">
        <v>76</v>
      </c>
      <c r="J3314" t="s">
        <v>77</v>
      </c>
      <c r="K3314" t="s">
        <v>78</v>
      </c>
      <c r="L3314" t="s">
        <v>522</v>
      </c>
      <c r="M3314" t="s">
        <v>523</v>
      </c>
      <c r="N3314" t="s">
        <v>1080</v>
      </c>
      <c r="O3314" t="s">
        <v>82</v>
      </c>
      <c r="P3314" t="str">
        <f>"2170718377                    "</f>
        <v xml:space="preserve">2170718377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16.63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 s="4">
        <v>97.75</v>
      </c>
      <c r="BM3314" s="4">
        <v>14.66</v>
      </c>
      <c r="BN3314" s="4">
        <v>112.41</v>
      </c>
      <c r="BO3314" s="4">
        <v>112.41</v>
      </c>
      <c r="BQ3314" t="s">
        <v>121</v>
      </c>
      <c r="BR3314" t="s">
        <v>84</v>
      </c>
      <c r="BS3314" s="3">
        <v>43796</v>
      </c>
      <c r="BT3314" s="5">
        <v>0.33333333333333331</v>
      </c>
      <c r="BU3314" t="s">
        <v>3125</v>
      </c>
      <c r="BV3314" t="s">
        <v>86</v>
      </c>
      <c r="BY3314">
        <v>1200</v>
      </c>
      <c r="CA3314" t="s">
        <v>526</v>
      </c>
      <c r="CC3314" t="s">
        <v>523</v>
      </c>
      <c r="CD3314">
        <v>1911</v>
      </c>
      <c r="CE3314" t="s">
        <v>147</v>
      </c>
      <c r="CF3314" s="3">
        <v>43797</v>
      </c>
      <c r="CI3314">
        <v>1</v>
      </c>
      <c r="CJ3314">
        <v>1</v>
      </c>
      <c r="CK3314">
        <v>23</v>
      </c>
      <c r="CL3314" t="s">
        <v>89</v>
      </c>
    </row>
    <row r="3315" spans="1:90">
      <c r="A3315" t="s">
        <v>72</v>
      </c>
      <c r="B3315" t="s">
        <v>73</v>
      </c>
      <c r="C3315" t="s">
        <v>74</v>
      </c>
      <c r="E3315" t="str">
        <f>"FES1162724984"</f>
        <v>FES1162724984</v>
      </c>
      <c r="F3315" s="3">
        <v>43795</v>
      </c>
      <c r="G3315">
        <v>202005</v>
      </c>
      <c r="H3315" t="s">
        <v>75</v>
      </c>
      <c r="I3315" t="s">
        <v>76</v>
      </c>
      <c r="J3315" t="s">
        <v>77</v>
      </c>
      <c r="K3315" t="s">
        <v>78</v>
      </c>
      <c r="L3315" t="s">
        <v>101</v>
      </c>
      <c r="M3315" t="s">
        <v>102</v>
      </c>
      <c r="N3315" t="s">
        <v>602</v>
      </c>
      <c r="O3315" t="s">
        <v>82</v>
      </c>
      <c r="P3315" t="str">
        <f>"2170718696                    "</f>
        <v xml:space="preserve">2170718696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8.58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 s="4">
        <v>50.45</v>
      </c>
      <c r="BM3315" s="4">
        <v>7.57</v>
      </c>
      <c r="BN3315" s="4">
        <v>58.02</v>
      </c>
      <c r="BO3315" s="4">
        <v>58.02</v>
      </c>
      <c r="BR3315" t="s">
        <v>84</v>
      </c>
      <c r="BS3315" s="3">
        <v>43796</v>
      </c>
      <c r="BT3315" s="5">
        <v>0.375</v>
      </c>
      <c r="BU3315" t="s">
        <v>3175</v>
      </c>
      <c r="BV3315" t="s">
        <v>86</v>
      </c>
      <c r="BY3315">
        <v>1200</v>
      </c>
      <c r="CA3315" t="s">
        <v>1552</v>
      </c>
      <c r="CC3315" t="s">
        <v>102</v>
      </c>
      <c r="CD3315">
        <v>184</v>
      </c>
      <c r="CE3315" t="s">
        <v>147</v>
      </c>
      <c r="CF3315" s="3">
        <v>43797</v>
      </c>
      <c r="CI3315">
        <v>1</v>
      </c>
      <c r="CJ3315">
        <v>1</v>
      </c>
      <c r="CK3315">
        <v>21</v>
      </c>
      <c r="CL3315" t="s">
        <v>89</v>
      </c>
    </row>
    <row r="3316" spans="1:90">
      <c r="A3316" t="s">
        <v>72</v>
      </c>
      <c r="B3316" t="s">
        <v>73</v>
      </c>
      <c r="C3316" t="s">
        <v>74</v>
      </c>
      <c r="E3316" t="str">
        <f>"FES1162725198"</f>
        <v>FES1162725198</v>
      </c>
      <c r="F3316" s="3">
        <v>43795</v>
      </c>
      <c r="G3316">
        <v>202005</v>
      </c>
      <c r="H3316" t="s">
        <v>75</v>
      </c>
      <c r="I3316" t="s">
        <v>76</v>
      </c>
      <c r="J3316" t="s">
        <v>77</v>
      </c>
      <c r="K3316" t="s">
        <v>78</v>
      </c>
      <c r="L3316" t="s">
        <v>124</v>
      </c>
      <c r="M3316" t="s">
        <v>125</v>
      </c>
      <c r="N3316" t="s">
        <v>2184</v>
      </c>
      <c r="O3316" t="s">
        <v>82</v>
      </c>
      <c r="P3316" t="str">
        <f>"2170718941                    "</f>
        <v xml:space="preserve">2170718941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6.71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1.8</v>
      </c>
      <c r="BJ3316">
        <v>0.9</v>
      </c>
      <c r="BK3316">
        <v>2</v>
      </c>
      <c r="BL3316" s="4">
        <v>39.42</v>
      </c>
      <c r="BM3316" s="4">
        <v>5.91</v>
      </c>
      <c r="BN3316" s="4">
        <v>45.33</v>
      </c>
      <c r="BO3316" s="4">
        <v>45.33</v>
      </c>
      <c r="BQ3316" t="s">
        <v>142</v>
      </c>
      <c r="BR3316" t="s">
        <v>84</v>
      </c>
      <c r="BS3316" s="3">
        <v>43796</v>
      </c>
      <c r="BT3316" s="5">
        <v>0.32500000000000001</v>
      </c>
      <c r="BU3316" t="s">
        <v>3107</v>
      </c>
      <c r="BV3316" t="s">
        <v>86</v>
      </c>
      <c r="BY3316">
        <v>4736.88</v>
      </c>
      <c r="CA3316" t="s">
        <v>123</v>
      </c>
      <c r="CC3316" t="s">
        <v>125</v>
      </c>
      <c r="CD3316">
        <v>2013</v>
      </c>
      <c r="CE3316" t="s">
        <v>88</v>
      </c>
      <c r="CF3316" s="3">
        <v>43797</v>
      </c>
      <c r="CI3316">
        <v>1</v>
      </c>
      <c r="CJ3316">
        <v>1</v>
      </c>
      <c r="CK3316">
        <v>22</v>
      </c>
      <c r="CL3316" t="s">
        <v>89</v>
      </c>
    </row>
    <row r="3317" spans="1:90">
      <c r="A3317" t="s">
        <v>72</v>
      </c>
      <c r="B3317" t="s">
        <v>73</v>
      </c>
      <c r="C3317" t="s">
        <v>74</v>
      </c>
      <c r="E3317" t="str">
        <f>"FES1162725062"</f>
        <v>FES1162725062</v>
      </c>
      <c r="F3317" s="3">
        <v>43795</v>
      </c>
      <c r="G3317">
        <v>202005</v>
      </c>
      <c r="H3317" t="s">
        <v>75</v>
      </c>
      <c r="I3317" t="s">
        <v>76</v>
      </c>
      <c r="J3317" t="s">
        <v>77</v>
      </c>
      <c r="K3317" t="s">
        <v>78</v>
      </c>
      <c r="L3317" t="s">
        <v>101</v>
      </c>
      <c r="M3317" t="s">
        <v>102</v>
      </c>
      <c r="N3317" t="s">
        <v>181</v>
      </c>
      <c r="O3317" t="s">
        <v>82</v>
      </c>
      <c r="P3317" t="str">
        <f>"2170718799                    "</f>
        <v xml:space="preserve">2170718799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8.58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 s="4">
        <v>50.45</v>
      </c>
      <c r="BM3317" s="4">
        <v>7.57</v>
      </c>
      <c r="BN3317" s="4">
        <v>58.02</v>
      </c>
      <c r="BO3317" s="4">
        <v>58.02</v>
      </c>
      <c r="BQ3317" t="s">
        <v>121</v>
      </c>
      <c r="BR3317" t="s">
        <v>84</v>
      </c>
      <c r="BS3317" s="3">
        <v>43796</v>
      </c>
      <c r="BT3317" s="5">
        <v>0.3923611111111111</v>
      </c>
      <c r="BU3317" t="s">
        <v>1980</v>
      </c>
      <c r="BV3317" t="s">
        <v>86</v>
      </c>
      <c r="BY3317">
        <v>1200</v>
      </c>
      <c r="CC3317" t="s">
        <v>102</v>
      </c>
      <c r="CD3317">
        <v>200</v>
      </c>
      <c r="CE3317" t="s">
        <v>147</v>
      </c>
      <c r="CF3317" s="3">
        <v>43797</v>
      </c>
      <c r="CI3317">
        <v>1</v>
      </c>
      <c r="CJ3317">
        <v>1</v>
      </c>
      <c r="CK3317">
        <v>21</v>
      </c>
      <c r="CL3317" t="s">
        <v>89</v>
      </c>
    </row>
    <row r="3318" spans="1:90">
      <c r="A3318" t="s">
        <v>72</v>
      </c>
      <c r="B3318" t="s">
        <v>73</v>
      </c>
      <c r="C3318" t="s">
        <v>74</v>
      </c>
      <c r="E3318" t="str">
        <f>"FES1162725205"</f>
        <v>FES1162725205</v>
      </c>
      <c r="F3318" s="3">
        <v>43795</v>
      </c>
      <c r="G3318">
        <v>202005</v>
      </c>
      <c r="H3318" t="s">
        <v>75</v>
      </c>
      <c r="I3318" t="s">
        <v>76</v>
      </c>
      <c r="J3318" t="s">
        <v>77</v>
      </c>
      <c r="K3318" t="s">
        <v>78</v>
      </c>
      <c r="L3318" t="s">
        <v>578</v>
      </c>
      <c r="M3318" t="s">
        <v>579</v>
      </c>
      <c r="N3318" t="s">
        <v>1020</v>
      </c>
      <c r="O3318" t="s">
        <v>82</v>
      </c>
      <c r="P3318" t="str">
        <f>"21707187954                   "</f>
        <v xml:space="preserve">21707187954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8.58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 s="4">
        <v>50.45</v>
      </c>
      <c r="BM3318" s="4">
        <v>7.57</v>
      </c>
      <c r="BN3318" s="4">
        <v>58.02</v>
      </c>
      <c r="BO3318" s="4">
        <v>58.02</v>
      </c>
      <c r="BQ3318" t="s">
        <v>121</v>
      </c>
      <c r="BR3318" t="s">
        <v>84</v>
      </c>
      <c r="BS3318" s="3">
        <v>43796</v>
      </c>
      <c r="BT3318" s="5">
        <v>0.39027777777777778</v>
      </c>
      <c r="BU3318" t="s">
        <v>1305</v>
      </c>
      <c r="BV3318" t="s">
        <v>86</v>
      </c>
      <c r="BY3318">
        <v>1200</v>
      </c>
      <c r="CA3318" t="s">
        <v>1022</v>
      </c>
      <c r="CC3318" t="s">
        <v>579</v>
      </c>
      <c r="CD3318">
        <v>7600</v>
      </c>
      <c r="CE3318" t="s">
        <v>147</v>
      </c>
      <c r="CF3318" s="3">
        <v>43797</v>
      </c>
      <c r="CI3318">
        <v>1</v>
      </c>
      <c r="CJ3318">
        <v>1</v>
      </c>
      <c r="CK3318">
        <v>21</v>
      </c>
      <c r="CL3318" t="s">
        <v>89</v>
      </c>
    </row>
    <row r="3319" spans="1:90">
      <c r="A3319" t="s">
        <v>72</v>
      </c>
      <c r="B3319" t="s">
        <v>73</v>
      </c>
      <c r="C3319" t="s">
        <v>74</v>
      </c>
      <c r="E3319" t="str">
        <f>"FES1162725215"</f>
        <v>FES1162725215</v>
      </c>
      <c r="F3319" s="3">
        <v>43795</v>
      </c>
      <c r="G3319">
        <v>202005</v>
      </c>
      <c r="H3319" t="s">
        <v>75</v>
      </c>
      <c r="I3319" t="s">
        <v>76</v>
      </c>
      <c r="J3319" t="s">
        <v>77</v>
      </c>
      <c r="K3319" t="s">
        <v>78</v>
      </c>
      <c r="L3319" t="s">
        <v>90</v>
      </c>
      <c r="M3319" t="s">
        <v>91</v>
      </c>
      <c r="N3319" t="s">
        <v>1194</v>
      </c>
      <c r="O3319" t="s">
        <v>82</v>
      </c>
      <c r="P3319" t="str">
        <f>"2170716505                    "</f>
        <v xml:space="preserve">2170716505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8.58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 s="4">
        <v>50.45</v>
      </c>
      <c r="BM3319" s="4">
        <v>7.57</v>
      </c>
      <c r="BN3319" s="4">
        <v>58.02</v>
      </c>
      <c r="BO3319" s="4">
        <v>58.02</v>
      </c>
      <c r="BR3319" t="s">
        <v>84</v>
      </c>
      <c r="BS3319" s="3">
        <v>43796</v>
      </c>
      <c r="BT3319" s="5">
        <v>0.4236111111111111</v>
      </c>
      <c r="BU3319" t="s">
        <v>3097</v>
      </c>
      <c r="BV3319" t="s">
        <v>86</v>
      </c>
      <c r="BY3319">
        <v>1200</v>
      </c>
      <c r="CA3319" t="s">
        <v>1309</v>
      </c>
      <c r="CC3319" t="s">
        <v>91</v>
      </c>
      <c r="CD3319">
        <v>7580</v>
      </c>
      <c r="CE3319" t="s">
        <v>147</v>
      </c>
      <c r="CF3319" s="3">
        <v>43797</v>
      </c>
      <c r="CI3319">
        <v>1</v>
      </c>
      <c r="CJ3319">
        <v>1</v>
      </c>
      <c r="CK3319">
        <v>21</v>
      </c>
      <c r="CL3319" t="s">
        <v>89</v>
      </c>
    </row>
    <row r="3320" spans="1:90">
      <c r="A3320" t="s">
        <v>72</v>
      </c>
      <c r="B3320" t="s">
        <v>73</v>
      </c>
      <c r="C3320" t="s">
        <v>74</v>
      </c>
      <c r="E3320" t="str">
        <f>"FES1162725191"</f>
        <v>FES1162725191</v>
      </c>
      <c r="F3320" s="3">
        <v>43795</v>
      </c>
      <c r="G3320">
        <v>202005</v>
      </c>
      <c r="H3320" t="s">
        <v>75</v>
      </c>
      <c r="I3320" t="s">
        <v>76</v>
      </c>
      <c r="J3320" t="s">
        <v>77</v>
      </c>
      <c r="K3320" t="s">
        <v>78</v>
      </c>
      <c r="L3320" t="s">
        <v>292</v>
      </c>
      <c r="M3320" t="s">
        <v>293</v>
      </c>
      <c r="N3320" t="s">
        <v>294</v>
      </c>
      <c r="O3320" t="s">
        <v>82</v>
      </c>
      <c r="P3320" t="str">
        <f>"2170718934                    "</f>
        <v xml:space="preserve">2170718934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16.63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 s="4">
        <v>97.75</v>
      </c>
      <c r="BM3320" s="4">
        <v>14.66</v>
      </c>
      <c r="BN3320" s="4">
        <v>112.41</v>
      </c>
      <c r="BO3320" s="4">
        <v>112.41</v>
      </c>
      <c r="BQ3320" t="s">
        <v>121</v>
      </c>
      <c r="BR3320" t="s">
        <v>84</v>
      </c>
      <c r="BS3320" s="3">
        <v>43796</v>
      </c>
      <c r="BT3320" s="5">
        <v>0.33333333333333331</v>
      </c>
      <c r="BU3320" t="s">
        <v>3176</v>
      </c>
      <c r="BV3320" t="s">
        <v>86</v>
      </c>
      <c r="BY3320">
        <v>1200</v>
      </c>
      <c r="CA3320" t="s">
        <v>123</v>
      </c>
      <c r="CC3320" t="s">
        <v>293</v>
      </c>
      <c r="CD3320">
        <v>1947</v>
      </c>
      <c r="CE3320" t="s">
        <v>147</v>
      </c>
      <c r="CF3320" s="3">
        <v>43797</v>
      </c>
      <c r="CI3320">
        <v>1</v>
      </c>
      <c r="CJ3320">
        <v>1</v>
      </c>
      <c r="CK3320">
        <v>23</v>
      </c>
      <c r="CL3320" t="s">
        <v>89</v>
      </c>
    </row>
    <row r="3321" spans="1:90">
      <c r="A3321" t="s">
        <v>72</v>
      </c>
      <c r="B3321" t="s">
        <v>73</v>
      </c>
      <c r="C3321" t="s">
        <v>74</v>
      </c>
      <c r="E3321" t="str">
        <f>"FES1162725150"</f>
        <v>FES1162725150</v>
      </c>
      <c r="F3321" s="3">
        <v>43795</v>
      </c>
      <c r="G3321">
        <v>202005</v>
      </c>
      <c r="H3321" t="s">
        <v>75</v>
      </c>
      <c r="I3321" t="s">
        <v>76</v>
      </c>
      <c r="J3321" t="s">
        <v>77</v>
      </c>
      <c r="K3321" t="s">
        <v>78</v>
      </c>
      <c r="L3321" t="s">
        <v>546</v>
      </c>
      <c r="M3321" t="s">
        <v>547</v>
      </c>
      <c r="N3321" t="s">
        <v>3177</v>
      </c>
      <c r="O3321" t="s">
        <v>82</v>
      </c>
      <c r="P3321" t="str">
        <f>"2170718871                    "</f>
        <v xml:space="preserve">2170718871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6.71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2</v>
      </c>
      <c r="BJ3321">
        <v>1.1000000000000001</v>
      </c>
      <c r="BK3321">
        <v>2</v>
      </c>
      <c r="BL3321" s="4">
        <v>39.42</v>
      </c>
      <c r="BM3321" s="4">
        <v>5.91</v>
      </c>
      <c r="BN3321" s="4">
        <v>45.33</v>
      </c>
      <c r="BO3321" s="4">
        <v>45.33</v>
      </c>
      <c r="BQ3321" t="s">
        <v>3178</v>
      </c>
      <c r="BR3321" t="s">
        <v>84</v>
      </c>
      <c r="BS3321" s="3">
        <v>43796</v>
      </c>
      <c r="BT3321" s="5">
        <v>0.40625</v>
      </c>
      <c r="BU3321" t="s">
        <v>3179</v>
      </c>
      <c r="BV3321" t="s">
        <v>86</v>
      </c>
      <c r="BY3321">
        <v>5320</v>
      </c>
      <c r="CA3321" t="s">
        <v>3180</v>
      </c>
      <c r="CC3321" t="s">
        <v>547</v>
      </c>
      <c r="CD3321">
        <v>1709</v>
      </c>
      <c r="CE3321" t="s">
        <v>88</v>
      </c>
      <c r="CF3321" s="3">
        <v>43797</v>
      </c>
      <c r="CI3321">
        <v>1</v>
      </c>
      <c r="CJ3321">
        <v>1</v>
      </c>
      <c r="CK3321">
        <v>22</v>
      </c>
      <c r="CL3321" t="s">
        <v>89</v>
      </c>
    </row>
    <row r="3322" spans="1:90">
      <c r="A3322" t="s">
        <v>72</v>
      </c>
      <c r="B3322" t="s">
        <v>73</v>
      </c>
      <c r="C3322" t="s">
        <v>74</v>
      </c>
      <c r="E3322" t="str">
        <f>"FES1162725268"</f>
        <v>FES1162725268</v>
      </c>
      <c r="F3322" s="3">
        <v>43795</v>
      </c>
      <c r="G3322">
        <v>202005</v>
      </c>
      <c r="H3322" t="s">
        <v>75</v>
      </c>
      <c r="I3322" t="s">
        <v>76</v>
      </c>
      <c r="J3322" t="s">
        <v>77</v>
      </c>
      <c r="K3322" t="s">
        <v>78</v>
      </c>
      <c r="L3322" t="s">
        <v>118</v>
      </c>
      <c r="M3322" t="s">
        <v>119</v>
      </c>
      <c r="N3322" t="s">
        <v>248</v>
      </c>
      <c r="O3322" t="s">
        <v>82</v>
      </c>
      <c r="P3322" t="str">
        <f>"2170719008                    "</f>
        <v xml:space="preserve">2170719008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8.58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 s="4">
        <v>50.45</v>
      </c>
      <c r="BM3322" s="4">
        <v>7.57</v>
      </c>
      <c r="BN3322" s="4">
        <v>58.02</v>
      </c>
      <c r="BO3322" s="4">
        <v>58.02</v>
      </c>
      <c r="BQ3322" t="s">
        <v>121</v>
      </c>
      <c r="BR3322" t="s">
        <v>84</v>
      </c>
      <c r="BS3322" s="3">
        <v>43796</v>
      </c>
      <c r="BT3322" s="5">
        <v>0.3611111111111111</v>
      </c>
      <c r="BU3322" t="s">
        <v>249</v>
      </c>
      <c r="BV3322" t="s">
        <v>86</v>
      </c>
      <c r="BY3322">
        <v>1200</v>
      </c>
      <c r="CA3322" t="s">
        <v>250</v>
      </c>
      <c r="CC3322" t="s">
        <v>119</v>
      </c>
      <c r="CD3322">
        <v>3212</v>
      </c>
      <c r="CE3322" t="s">
        <v>147</v>
      </c>
      <c r="CF3322" s="3">
        <v>43797</v>
      </c>
      <c r="CI3322">
        <v>1</v>
      </c>
      <c r="CJ3322">
        <v>1</v>
      </c>
      <c r="CK3322">
        <v>21</v>
      </c>
      <c r="CL3322" t="s">
        <v>89</v>
      </c>
    </row>
    <row r="3323" spans="1:90">
      <c r="A3323" t="s">
        <v>72</v>
      </c>
      <c r="B3323" t="s">
        <v>73</v>
      </c>
      <c r="C3323" t="s">
        <v>74</v>
      </c>
      <c r="E3323" t="str">
        <f>"FES1162725209"</f>
        <v>FES1162725209</v>
      </c>
      <c r="F3323" s="3">
        <v>43795</v>
      </c>
      <c r="G3323">
        <v>202005</v>
      </c>
      <c r="H3323" t="s">
        <v>75</v>
      </c>
      <c r="I3323" t="s">
        <v>76</v>
      </c>
      <c r="J3323" t="s">
        <v>77</v>
      </c>
      <c r="K3323" t="s">
        <v>78</v>
      </c>
      <c r="L3323" t="s">
        <v>112</v>
      </c>
      <c r="M3323" t="s">
        <v>113</v>
      </c>
      <c r="N3323" t="s">
        <v>3181</v>
      </c>
      <c r="O3323" t="s">
        <v>82</v>
      </c>
      <c r="P3323" t="str">
        <f>"2170718960                    "</f>
        <v xml:space="preserve">2170718960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8.58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 s="4">
        <v>50.45</v>
      </c>
      <c r="BM3323" s="4">
        <v>7.57</v>
      </c>
      <c r="BN3323" s="4">
        <v>58.02</v>
      </c>
      <c r="BO3323" s="4">
        <v>58.02</v>
      </c>
      <c r="BQ3323" t="s">
        <v>3182</v>
      </c>
      <c r="BR3323" t="s">
        <v>84</v>
      </c>
      <c r="BS3323" s="3">
        <v>43796</v>
      </c>
      <c r="BT3323" s="5">
        <v>0.38472222222222219</v>
      </c>
      <c r="BU3323" t="s">
        <v>3183</v>
      </c>
      <c r="BV3323" t="s">
        <v>86</v>
      </c>
      <c r="BY3323">
        <v>1200</v>
      </c>
      <c r="CA3323" t="s">
        <v>255</v>
      </c>
      <c r="CC3323" t="s">
        <v>113</v>
      </c>
      <c r="CD3323">
        <v>4001</v>
      </c>
      <c r="CE3323" t="s">
        <v>147</v>
      </c>
      <c r="CF3323" s="3">
        <v>43797</v>
      </c>
      <c r="CI3323">
        <v>1</v>
      </c>
      <c r="CJ3323">
        <v>1</v>
      </c>
      <c r="CK3323">
        <v>21</v>
      </c>
      <c r="CL3323" t="s">
        <v>89</v>
      </c>
    </row>
    <row r="3324" spans="1:90">
      <c r="A3324" t="s">
        <v>72</v>
      </c>
      <c r="B3324" t="s">
        <v>73</v>
      </c>
      <c r="C3324" t="s">
        <v>74</v>
      </c>
      <c r="E3324" t="str">
        <f>"FES1162725207"</f>
        <v>FES1162725207</v>
      </c>
      <c r="F3324" s="3">
        <v>43795</v>
      </c>
      <c r="G3324">
        <v>202005</v>
      </c>
      <c r="H3324" t="s">
        <v>75</v>
      </c>
      <c r="I3324" t="s">
        <v>76</v>
      </c>
      <c r="J3324" t="s">
        <v>77</v>
      </c>
      <c r="K3324" t="s">
        <v>78</v>
      </c>
      <c r="L3324" t="s">
        <v>118</v>
      </c>
      <c r="M3324" t="s">
        <v>119</v>
      </c>
      <c r="N3324" t="s">
        <v>630</v>
      </c>
      <c r="O3324" t="s">
        <v>82</v>
      </c>
      <c r="P3324" t="str">
        <f>"217071957                     "</f>
        <v xml:space="preserve">217071957 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8.58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 s="4">
        <v>50.45</v>
      </c>
      <c r="BM3324" s="4">
        <v>7.57</v>
      </c>
      <c r="BN3324" s="4">
        <v>58.02</v>
      </c>
      <c r="BO3324" s="4">
        <v>58.02</v>
      </c>
      <c r="BQ3324" t="s">
        <v>121</v>
      </c>
      <c r="BR3324" t="s">
        <v>84</v>
      </c>
      <c r="BS3324" s="3">
        <v>43796</v>
      </c>
      <c r="BT3324" s="5">
        <v>0.33333333333333331</v>
      </c>
      <c r="BU3324" t="s">
        <v>3184</v>
      </c>
      <c r="BV3324" t="s">
        <v>86</v>
      </c>
      <c r="BY3324">
        <v>1200</v>
      </c>
      <c r="CA3324" t="s">
        <v>2287</v>
      </c>
      <c r="CC3324" t="s">
        <v>119</v>
      </c>
      <c r="CD3324">
        <v>3201</v>
      </c>
      <c r="CE3324" t="s">
        <v>147</v>
      </c>
      <c r="CF3324" s="3">
        <v>43797</v>
      </c>
      <c r="CI3324">
        <v>1</v>
      </c>
      <c r="CJ3324">
        <v>1</v>
      </c>
      <c r="CK3324">
        <v>21</v>
      </c>
      <c r="CL3324" t="s">
        <v>89</v>
      </c>
    </row>
    <row r="3325" spans="1:90">
      <c r="A3325" t="s">
        <v>72</v>
      </c>
      <c r="B3325" t="s">
        <v>73</v>
      </c>
      <c r="C3325" t="s">
        <v>74</v>
      </c>
      <c r="E3325" t="str">
        <f>"FES1162725278"</f>
        <v>FES1162725278</v>
      </c>
      <c r="F3325" s="3">
        <v>43795</v>
      </c>
      <c r="G3325">
        <v>202005</v>
      </c>
      <c r="H3325" t="s">
        <v>75</v>
      </c>
      <c r="I3325" t="s">
        <v>76</v>
      </c>
      <c r="J3325" t="s">
        <v>77</v>
      </c>
      <c r="K3325" t="s">
        <v>78</v>
      </c>
      <c r="L3325" t="s">
        <v>106</v>
      </c>
      <c r="M3325" t="s">
        <v>107</v>
      </c>
      <c r="N3325" t="s">
        <v>108</v>
      </c>
      <c r="O3325" t="s">
        <v>82</v>
      </c>
      <c r="P3325" t="str">
        <f>"21707183000                   "</f>
        <v xml:space="preserve">21707183000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8.58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 s="4">
        <v>50.45</v>
      </c>
      <c r="BM3325" s="4">
        <v>7.57</v>
      </c>
      <c r="BN3325" s="4">
        <v>58.02</v>
      </c>
      <c r="BO3325" s="4">
        <v>58.02</v>
      </c>
      <c r="BQ3325" t="s">
        <v>109</v>
      </c>
      <c r="BR3325" t="s">
        <v>84</v>
      </c>
      <c r="BS3325" s="3">
        <v>43796</v>
      </c>
      <c r="BT3325" s="5">
        <v>0.43541666666666662</v>
      </c>
      <c r="BU3325" t="s">
        <v>1614</v>
      </c>
      <c r="BV3325" t="s">
        <v>86</v>
      </c>
      <c r="BY3325">
        <v>1200</v>
      </c>
      <c r="CA3325" t="s">
        <v>111</v>
      </c>
      <c r="CC3325" t="s">
        <v>107</v>
      </c>
      <c r="CD3325">
        <v>6001</v>
      </c>
      <c r="CE3325" t="s">
        <v>147</v>
      </c>
      <c r="CF3325" s="3">
        <v>43797</v>
      </c>
      <c r="CI3325">
        <v>1</v>
      </c>
      <c r="CJ3325">
        <v>1</v>
      </c>
      <c r="CK3325">
        <v>21</v>
      </c>
      <c r="CL3325" t="s">
        <v>89</v>
      </c>
    </row>
    <row r="3326" spans="1:90">
      <c r="A3326" t="s">
        <v>72</v>
      </c>
      <c r="B3326" t="s">
        <v>73</v>
      </c>
      <c r="C3326" t="s">
        <v>74</v>
      </c>
      <c r="E3326" t="str">
        <f>"FES1162725211"</f>
        <v>FES1162725211</v>
      </c>
      <c r="F3326" s="3">
        <v>43795</v>
      </c>
      <c r="G3326">
        <v>202005</v>
      </c>
      <c r="H3326" t="s">
        <v>75</v>
      </c>
      <c r="I3326" t="s">
        <v>76</v>
      </c>
      <c r="J3326" t="s">
        <v>77</v>
      </c>
      <c r="K3326" t="s">
        <v>78</v>
      </c>
      <c r="L3326" t="s">
        <v>90</v>
      </c>
      <c r="M3326" t="s">
        <v>91</v>
      </c>
      <c r="N3326" t="s">
        <v>1194</v>
      </c>
      <c r="O3326" t="s">
        <v>82</v>
      </c>
      <c r="P3326" t="str">
        <f>"2170715850                    "</f>
        <v xml:space="preserve">2170715850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8.58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1.4</v>
      </c>
      <c r="BJ3326">
        <v>1.9</v>
      </c>
      <c r="BK3326">
        <v>2</v>
      </c>
      <c r="BL3326" s="4">
        <v>50.45</v>
      </c>
      <c r="BM3326" s="4">
        <v>7.57</v>
      </c>
      <c r="BN3326" s="4">
        <v>58.02</v>
      </c>
      <c r="BO3326" s="4">
        <v>58.02</v>
      </c>
      <c r="BR3326" t="s">
        <v>84</v>
      </c>
      <c r="BS3326" s="3">
        <v>43796</v>
      </c>
      <c r="BT3326" s="5">
        <v>0.4236111111111111</v>
      </c>
      <c r="BU3326" t="s">
        <v>3097</v>
      </c>
      <c r="BV3326" t="s">
        <v>86</v>
      </c>
      <c r="BY3326">
        <v>9375.2199999999993</v>
      </c>
      <c r="CA3326" t="s">
        <v>1309</v>
      </c>
      <c r="CC3326" t="s">
        <v>91</v>
      </c>
      <c r="CD3326">
        <v>7580</v>
      </c>
      <c r="CE3326" t="s">
        <v>88</v>
      </c>
      <c r="CF3326" s="3">
        <v>43797</v>
      </c>
      <c r="CI3326">
        <v>1</v>
      </c>
      <c r="CJ3326">
        <v>1</v>
      </c>
      <c r="CK3326">
        <v>21</v>
      </c>
      <c r="CL3326" t="s">
        <v>89</v>
      </c>
    </row>
    <row r="3327" spans="1:90">
      <c r="A3327" t="s">
        <v>72</v>
      </c>
      <c r="B3327" t="s">
        <v>73</v>
      </c>
      <c r="C3327" t="s">
        <v>74</v>
      </c>
      <c r="E3327" t="str">
        <f>"FES1162725284"</f>
        <v>FES1162725284</v>
      </c>
      <c r="F3327" s="3">
        <v>43795</v>
      </c>
      <c r="G3327">
        <v>202005</v>
      </c>
      <c r="H3327" t="s">
        <v>75</v>
      </c>
      <c r="I3327" t="s">
        <v>76</v>
      </c>
      <c r="J3327" t="s">
        <v>77</v>
      </c>
      <c r="K3327" t="s">
        <v>78</v>
      </c>
      <c r="L3327" t="s">
        <v>133</v>
      </c>
      <c r="M3327" t="s">
        <v>134</v>
      </c>
      <c r="N3327" t="s">
        <v>135</v>
      </c>
      <c r="O3327" t="s">
        <v>82</v>
      </c>
      <c r="P3327" t="str">
        <f>"21707190287                   "</f>
        <v xml:space="preserve">21707190287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8.58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 s="4">
        <v>50.45</v>
      </c>
      <c r="BM3327" s="4">
        <v>7.57</v>
      </c>
      <c r="BN3327" s="4">
        <v>58.02</v>
      </c>
      <c r="BO3327" s="4">
        <v>58.02</v>
      </c>
      <c r="BQ3327" t="s">
        <v>109</v>
      </c>
      <c r="BR3327" t="s">
        <v>84</v>
      </c>
      <c r="BS3327" s="3">
        <v>43796</v>
      </c>
      <c r="BT3327" s="5">
        <v>0.3576388888888889</v>
      </c>
      <c r="BU3327" t="s">
        <v>2168</v>
      </c>
      <c r="BV3327" t="s">
        <v>86</v>
      </c>
      <c r="BY3327">
        <v>1200</v>
      </c>
      <c r="CA3327" t="s">
        <v>912</v>
      </c>
      <c r="CC3327" t="s">
        <v>134</v>
      </c>
      <c r="CD3327">
        <v>5201</v>
      </c>
      <c r="CE3327" t="s">
        <v>147</v>
      </c>
      <c r="CF3327" s="3">
        <v>43797</v>
      </c>
      <c r="CI3327">
        <v>1</v>
      </c>
      <c r="CJ3327">
        <v>1</v>
      </c>
      <c r="CK3327">
        <v>21</v>
      </c>
      <c r="CL3327" t="s">
        <v>89</v>
      </c>
    </row>
    <row r="3328" spans="1:90">
      <c r="A3328" t="s">
        <v>72</v>
      </c>
      <c r="B3328" t="s">
        <v>73</v>
      </c>
      <c r="C3328" t="s">
        <v>74</v>
      </c>
      <c r="E3328" t="str">
        <f>"FES1162725271"</f>
        <v>FES1162725271</v>
      </c>
      <c r="F3328" s="3">
        <v>43795</v>
      </c>
      <c r="G3328">
        <v>202005</v>
      </c>
      <c r="H3328" t="s">
        <v>75</v>
      </c>
      <c r="I3328" t="s">
        <v>76</v>
      </c>
      <c r="J3328" t="s">
        <v>77</v>
      </c>
      <c r="K3328" t="s">
        <v>78</v>
      </c>
      <c r="L3328" t="s">
        <v>106</v>
      </c>
      <c r="M3328" t="s">
        <v>107</v>
      </c>
      <c r="N3328" t="s">
        <v>843</v>
      </c>
      <c r="O3328" t="s">
        <v>82</v>
      </c>
      <c r="P3328" t="str">
        <f>"2170719012                    "</f>
        <v xml:space="preserve">2170719012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8.58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 s="4">
        <v>50.45</v>
      </c>
      <c r="BM3328" s="4">
        <v>7.57</v>
      </c>
      <c r="BN3328" s="4">
        <v>58.02</v>
      </c>
      <c r="BO3328" s="4">
        <v>58.02</v>
      </c>
      <c r="BQ3328" t="s">
        <v>121</v>
      </c>
      <c r="BR3328" t="s">
        <v>84</v>
      </c>
      <c r="BS3328" s="3">
        <v>43796</v>
      </c>
      <c r="BT3328" s="5">
        <v>0.3888888888888889</v>
      </c>
      <c r="BU3328" t="s">
        <v>3185</v>
      </c>
      <c r="BV3328" t="s">
        <v>86</v>
      </c>
      <c r="BY3328">
        <v>1200</v>
      </c>
      <c r="CA3328" t="s">
        <v>773</v>
      </c>
      <c r="CC3328" t="s">
        <v>107</v>
      </c>
      <c r="CD3328">
        <v>6001</v>
      </c>
      <c r="CE3328" t="s">
        <v>147</v>
      </c>
      <c r="CF3328" s="3">
        <v>43797</v>
      </c>
      <c r="CI3328">
        <v>1</v>
      </c>
      <c r="CJ3328">
        <v>1</v>
      </c>
      <c r="CK3328">
        <v>21</v>
      </c>
      <c r="CL3328" t="s">
        <v>89</v>
      </c>
    </row>
    <row r="3329" spans="1:90">
      <c r="A3329" t="s">
        <v>72</v>
      </c>
      <c r="B3329" t="s">
        <v>73</v>
      </c>
      <c r="C3329" t="s">
        <v>74</v>
      </c>
      <c r="E3329" t="str">
        <f>"FES1162725252"</f>
        <v>FES1162725252</v>
      </c>
      <c r="F3329" s="3">
        <v>43795</v>
      </c>
      <c r="G3329">
        <v>202005</v>
      </c>
      <c r="H3329" t="s">
        <v>75</v>
      </c>
      <c r="I3329" t="s">
        <v>76</v>
      </c>
      <c r="J3329" t="s">
        <v>77</v>
      </c>
      <c r="K3329" t="s">
        <v>78</v>
      </c>
      <c r="L3329" t="s">
        <v>106</v>
      </c>
      <c r="M3329" t="s">
        <v>107</v>
      </c>
      <c r="N3329" t="s">
        <v>128</v>
      </c>
      <c r="O3329" t="s">
        <v>82</v>
      </c>
      <c r="P3329" t="str">
        <f>"2170718987                    "</f>
        <v xml:space="preserve">2170718987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8.58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 s="4">
        <v>50.45</v>
      </c>
      <c r="BM3329" s="4">
        <v>7.57</v>
      </c>
      <c r="BN3329" s="4">
        <v>58.02</v>
      </c>
      <c r="BO3329" s="4">
        <v>58.02</v>
      </c>
      <c r="BQ3329" t="s">
        <v>121</v>
      </c>
      <c r="BR3329" t="s">
        <v>84</v>
      </c>
      <c r="BS3329" s="3">
        <v>43796</v>
      </c>
      <c r="BT3329" s="5">
        <v>0.33680555555555558</v>
      </c>
      <c r="BU3329" t="s">
        <v>714</v>
      </c>
      <c r="BV3329" t="s">
        <v>86</v>
      </c>
      <c r="BY3329">
        <v>1200</v>
      </c>
      <c r="CA3329" t="s">
        <v>87</v>
      </c>
      <c r="CC3329" t="s">
        <v>107</v>
      </c>
      <c r="CD3329">
        <v>6001</v>
      </c>
      <c r="CE3329" t="s">
        <v>147</v>
      </c>
      <c r="CF3329" s="3">
        <v>43797</v>
      </c>
      <c r="CI3329">
        <v>1</v>
      </c>
      <c r="CJ3329">
        <v>1</v>
      </c>
      <c r="CK3329">
        <v>21</v>
      </c>
      <c r="CL3329" t="s">
        <v>89</v>
      </c>
    </row>
    <row r="3330" spans="1:90">
      <c r="A3330" t="s">
        <v>72</v>
      </c>
      <c r="B3330" t="s">
        <v>73</v>
      </c>
      <c r="C3330" t="s">
        <v>74</v>
      </c>
      <c r="E3330" t="str">
        <f>"FES1162725203"</f>
        <v>FES1162725203</v>
      </c>
      <c r="F3330" s="3">
        <v>43795</v>
      </c>
      <c r="G3330">
        <v>202005</v>
      </c>
      <c r="H3330" t="s">
        <v>75</v>
      </c>
      <c r="I3330" t="s">
        <v>76</v>
      </c>
      <c r="J3330" t="s">
        <v>77</v>
      </c>
      <c r="K3330" t="s">
        <v>78</v>
      </c>
      <c r="L3330" t="s">
        <v>112</v>
      </c>
      <c r="M3330" t="s">
        <v>113</v>
      </c>
      <c r="N3330" t="s">
        <v>268</v>
      </c>
      <c r="O3330" t="s">
        <v>82</v>
      </c>
      <c r="P3330" t="str">
        <f>"2170718952                    "</f>
        <v xml:space="preserve">2170718952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8.58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2</v>
      </c>
      <c r="BJ3330">
        <v>0.9</v>
      </c>
      <c r="BK3330">
        <v>2</v>
      </c>
      <c r="BL3330" s="4">
        <v>50.45</v>
      </c>
      <c r="BM3330" s="4">
        <v>7.57</v>
      </c>
      <c r="BN3330" s="4">
        <v>58.02</v>
      </c>
      <c r="BO3330" s="4">
        <v>58.02</v>
      </c>
      <c r="BQ3330" t="s">
        <v>109</v>
      </c>
      <c r="BR3330" t="s">
        <v>84</v>
      </c>
      <c r="BS3330" s="3">
        <v>43796</v>
      </c>
      <c r="BT3330" s="5">
        <v>0.39027777777777778</v>
      </c>
      <c r="BU3330" t="s">
        <v>3186</v>
      </c>
      <c r="BV3330" t="s">
        <v>86</v>
      </c>
      <c r="BY3330">
        <v>4268</v>
      </c>
      <c r="CA3330" t="s">
        <v>255</v>
      </c>
      <c r="CC3330" t="s">
        <v>113</v>
      </c>
      <c r="CD3330">
        <v>4001</v>
      </c>
      <c r="CE3330" t="s">
        <v>88</v>
      </c>
      <c r="CF3330" s="3">
        <v>43797</v>
      </c>
      <c r="CI3330">
        <v>1</v>
      </c>
      <c r="CJ3330">
        <v>1</v>
      </c>
      <c r="CK3330">
        <v>21</v>
      </c>
      <c r="CL3330" t="s">
        <v>89</v>
      </c>
    </row>
    <row r="3331" spans="1:90">
      <c r="A3331" t="s">
        <v>72</v>
      </c>
      <c r="B3331" t="s">
        <v>73</v>
      </c>
      <c r="C3331" t="s">
        <v>74</v>
      </c>
      <c r="E3331" t="str">
        <f>"FES1162725269"</f>
        <v>FES1162725269</v>
      </c>
      <c r="F3331" s="3">
        <v>43795</v>
      </c>
      <c r="G3331">
        <v>202005</v>
      </c>
      <c r="H3331" t="s">
        <v>75</v>
      </c>
      <c r="I3331" t="s">
        <v>76</v>
      </c>
      <c r="J3331" t="s">
        <v>77</v>
      </c>
      <c r="K3331" t="s">
        <v>78</v>
      </c>
      <c r="L3331" t="s">
        <v>106</v>
      </c>
      <c r="M3331" t="s">
        <v>107</v>
      </c>
      <c r="N3331" t="s">
        <v>1311</v>
      </c>
      <c r="O3331" t="s">
        <v>82</v>
      </c>
      <c r="P3331" t="str">
        <f>"2170719009                    "</f>
        <v xml:space="preserve">2170719009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8.58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 s="4">
        <v>50.45</v>
      </c>
      <c r="BM3331" s="4">
        <v>7.57</v>
      </c>
      <c r="BN3331" s="4">
        <v>58.02</v>
      </c>
      <c r="BO3331" s="4">
        <v>58.02</v>
      </c>
      <c r="BQ3331" t="s">
        <v>109</v>
      </c>
      <c r="BR3331" t="s">
        <v>84</v>
      </c>
      <c r="BS3331" s="3">
        <v>43796</v>
      </c>
      <c r="BT3331" s="5">
        <v>0.37638888888888888</v>
      </c>
      <c r="BU3331" t="s">
        <v>3009</v>
      </c>
      <c r="BV3331" t="s">
        <v>86</v>
      </c>
      <c r="BY3331">
        <v>1200</v>
      </c>
      <c r="CA3331" t="s">
        <v>773</v>
      </c>
      <c r="CC3331" t="s">
        <v>107</v>
      </c>
      <c r="CD3331">
        <v>6001</v>
      </c>
      <c r="CE3331" t="s">
        <v>147</v>
      </c>
      <c r="CF3331" s="3">
        <v>43797</v>
      </c>
      <c r="CI3331">
        <v>1</v>
      </c>
      <c r="CJ3331">
        <v>1</v>
      </c>
      <c r="CK3331">
        <v>21</v>
      </c>
      <c r="CL3331" t="s">
        <v>89</v>
      </c>
    </row>
    <row r="3332" spans="1:90">
      <c r="A3332" t="s">
        <v>72</v>
      </c>
      <c r="B3332" t="s">
        <v>73</v>
      </c>
      <c r="C3332" t="s">
        <v>74</v>
      </c>
      <c r="E3332" t="str">
        <f>"FES1162725123"</f>
        <v>FES1162725123</v>
      </c>
      <c r="F3332" s="3">
        <v>43795</v>
      </c>
      <c r="G3332">
        <v>202005</v>
      </c>
      <c r="H3332" t="s">
        <v>75</v>
      </c>
      <c r="I3332" t="s">
        <v>76</v>
      </c>
      <c r="J3332" t="s">
        <v>77</v>
      </c>
      <c r="K3332" t="s">
        <v>78</v>
      </c>
      <c r="L3332" t="s">
        <v>202</v>
      </c>
      <c r="M3332" t="s">
        <v>203</v>
      </c>
      <c r="N3332" t="s">
        <v>2482</v>
      </c>
      <c r="O3332" t="s">
        <v>82</v>
      </c>
      <c r="P3332" t="str">
        <f>"2170718211                    "</f>
        <v xml:space="preserve">2170718211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9.92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3.6</v>
      </c>
      <c r="BJ3332">
        <v>2.9</v>
      </c>
      <c r="BK3332">
        <v>4</v>
      </c>
      <c r="BL3332" s="4">
        <v>58.31</v>
      </c>
      <c r="BM3332" s="4">
        <v>8.75</v>
      </c>
      <c r="BN3332" s="4">
        <v>67.06</v>
      </c>
      <c r="BO3332" s="4">
        <v>67.06</v>
      </c>
      <c r="BQ3332" t="s">
        <v>121</v>
      </c>
      <c r="BR3332" t="s">
        <v>84</v>
      </c>
      <c r="BS3332" s="3">
        <v>43796</v>
      </c>
      <c r="BT3332" s="5">
        <v>0.33333333333333331</v>
      </c>
      <c r="BU3332" t="s">
        <v>3187</v>
      </c>
      <c r="BV3332" t="s">
        <v>86</v>
      </c>
      <c r="BY3332">
        <v>14610.24</v>
      </c>
      <c r="CA3332" t="s">
        <v>1067</v>
      </c>
      <c r="CC3332" t="s">
        <v>203</v>
      </c>
      <c r="CD3332">
        <v>1406</v>
      </c>
      <c r="CE3332" t="s">
        <v>88</v>
      </c>
      <c r="CF3332" s="3">
        <v>43797</v>
      </c>
      <c r="CI3332">
        <v>1</v>
      </c>
      <c r="CJ3332">
        <v>1</v>
      </c>
      <c r="CK3332">
        <v>22</v>
      </c>
      <c r="CL3332" t="s">
        <v>89</v>
      </c>
    </row>
    <row r="3333" spans="1:90">
      <c r="A3333" t="s">
        <v>72</v>
      </c>
      <c r="B3333" t="s">
        <v>73</v>
      </c>
      <c r="C3333" t="s">
        <v>74</v>
      </c>
      <c r="E3333" t="str">
        <f>"FES1162725222"</f>
        <v>FES1162725222</v>
      </c>
      <c r="F3333" s="3">
        <v>43795</v>
      </c>
      <c r="G3333">
        <v>202005</v>
      </c>
      <c r="H3333" t="s">
        <v>75</v>
      </c>
      <c r="I3333" t="s">
        <v>76</v>
      </c>
      <c r="J3333" t="s">
        <v>77</v>
      </c>
      <c r="K3333" t="s">
        <v>78</v>
      </c>
      <c r="L3333" t="s">
        <v>90</v>
      </c>
      <c r="M3333" t="s">
        <v>91</v>
      </c>
      <c r="N3333" t="s">
        <v>1194</v>
      </c>
      <c r="O3333" t="s">
        <v>82</v>
      </c>
      <c r="P3333" t="str">
        <f>"2170717301                    "</f>
        <v xml:space="preserve">2170717301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19.3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4.5</v>
      </c>
      <c r="BJ3333">
        <v>1.2</v>
      </c>
      <c r="BK3333">
        <v>4.5</v>
      </c>
      <c r="BL3333" s="4">
        <v>113.47</v>
      </c>
      <c r="BM3333" s="4">
        <v>17.02</v>
      </c>
      <c r="BN3333" s="4">
        <v>130.49</v>
      </c>
      <c r="BO3333" s="4">
        <v>130.49</v>
      </c>
      <c r="BR3333" t="s">
        <v>84</v>
      </c>
      <c r="BS3333" s="3">
        <v>43796</v>
      </c>
      <c r="BT3333" s="5">
        <v>0.4236111111111111</v>
      </c>
      <c r="BU3333" t="s">
        <v>3097</v>
      </c>
      <c r="BV3333" t="s">
        <v>86</v>
      </c>
      <c r="BY3333">
        <v>5989.03</v>
      </c>
      <c r="CA3333" t="s">
        <v>1309</v>
      </c>
      <c r="CC3333" t="s">
        <v>91</v>
      </c>
      <c r="CD3333">
        <v>7580</v>
      </c>
      <c r="CE3333" t="s">
        <v>88</v>
      </c>
      <c r="CF3333" s="3">
        <v>43797</v>
      </c>
      <c r="CI3333">
        <v>1</v>
      </c>
      <c r="CJ3333">
        <v>1</v>
      </c>
      <c r="CK3333">
        <v>21</v>
      </c>
      <c r="CL3333" t="s">
        <v>89</v>
      </c>
    </row>
    <row r="3334" spans="1:90">
      <c r="A3334" t="s">
        <v>72</v>
      </c>
      <c r="B3334" t="s">
        <v>73</v>
      </c>
      <c r="C3334" t="s">
        <v>74</v>
      </c>
      <c r="E3334" t="str">
        <f>"FES1162725131"</f>
        <v>FES1162725131</v>
      </c>
      <c r="F3334" s="3">
        <v>43795</v>
      </c>
      <c r="G3334">
        <v>202005</v>
      </c>
      <c r="H3334" t="s">
        <v>75</v>
      </c>
      <c r="I3334" t="s">
        <v>76</v>
      </c>
      <c r="J3334" t="s">
        <v>77</v>
      </c>
      <c r="K3334" t="s">
        <v>78</v>
      </c>
      <c r="L3334" t="s">
        <v>155</v>
      </c>
      <c r="M3334" t="s">
        <v>156</v>
      </c>
      <c r="N3334" t="s">
        <v>1264</v>
      </c>
      <c r="O3334" t="s">
        <v>82</v>
      </c>
      <c r="P3334" t="str">
        <f>"2170718729                    "</f>
        <v xml:space="preserve">2170718729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6.71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1.8</v>
      </c>
      <c r="BJ3334">
        <v>0.9</v>
      </c>
      <c r="BK3334">
        <v>2</v>
      </c>
      <c r="BL3334" s="4">
        <v>39.42</v>
      </c>
      <c r="BM3334" s="4">
        <v>5.91</v>
      </c>
      <c r="BN3334" s="4">
        <v>45.33</v>
      </c>
      <c r="BO3334" s="4">
        <v>45.33</v>
      </c>
      <c r="BQ3334" t="s">
        <v>1265</v>
      </c>
      <c r="BR3334" t="s">
        <v>84</v>
      </c>
      <c r="BS3334" s="3">
        <v>43796</v>
      </c>
      <c r="BT3334" s="5">
        <v>0.35902777777777778</v>
      </c>
      <c r="BU3334" t="s">
        <v>3188</v>
      </c>
      <c r="BV3334" t="s">
        <v>86</v>
      </c>
      <c r="BY3334">
        <v>4278.57</v>
      </c>
      <c r="CC3334" t="s">
        <v>156</v>
      </c>
      <c r="CD3334">
        <v>1684</v>
      </c>
      <c r="CE3334" t="s">
        <v>88</v>
      </c>
      <c r="CF3334" s="3">
        <v>43797</v>
      </c>
      <c r="CI3334">
        <v>1</v>
      </c>
      <c r="CJ3334">
        <v>1</v>
      </c>
      <c r="CK3334">
        <v>22</v>
      </c>
      <c r="CL3334" t="s">
        <v>89</v>
      </c>
    </row>
    <row r="3335" spans="1:90">
      <c r="A3335" t="s">
        <v>72</v>
      </c>
      <c r="B3335" t="s">
        <v>73</v>
      </c>
      <c r="C3335" t="s">
        <v>74</v>
      </c>
      <c r="E3335" t="str">
        <f>"FES1162725155"</f>
        <v>FES1162725155</v>
      </c>
      <c r="F3335" s="3">
        <v>43795</v>
      </c>
      <c r="G3335">
        <v>202005</v>
      </c>
      <c r="H3335" t="s">
        <v>75</v>
      </c>
      <c r="I3335" t="s">
        <v>76</v>
      </c>
      <c r="J3335" t="s">
        <v>77</v>
      </c>
      <c r="K3335" t="s">
        <v>78</v>
      </c>
      <c r="L3335" t="s">
        <v>101</v>
      </c>
      <c r="M3335" t="s">
        <v>102</v>
      </c>
      <c r="N3335" t="s">
        <v>330</v>
      </c>
      <c r="O3335" t="s">
        <v>82</v>
      </c>
      <c r="P3335" t="str">
        <f>"2170718874                    "</f>
        <v xml:space="preserve">2170718874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8.58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 s="4">
        <v>50.45</v>
      </c>
      <c r="BM3335" s="4">
        <v>7.57</v>
      </c>
      <c r="BN3335" s="4">
        <v>58.02</v>
      </c>
      <c r="BO3335" s="4">
        <v>58.02</v>
      </c>
      <c r="BQ3335" t="s">
        <v>109</v>
      </c>
      <c r="BR3335" t="s">
        <v>84</v>
      </c>
      <c r="BS3335" s="3">
        <v>43796</v>
      </c>
      <c r="BT3335" s="5">
        <v>0.43124999999999997</v>
      </c>
      <c r="BU3335" t="s">
        <v>1439</v>
      </c>
      <c r="BV3335" t="s">
        <v>86</v>
      </c>
      <c r="BY3335">
        <v>1200</v>
      </c>
      <c r="CC3335" t="s">
        <v>102</v>
      </c>
      <c r="CD3335">
        <v>200</v>
      </c>
      <c r="CE3335" t="s">
        <v>147</v>
      </c>
      <c r="CF3335" s="3">
        <v>43797</v>
      </c>
      <c r="CI3335">
        <v>1</v>
      </c>
      <c r="CJ3335">
        <v>1</v>
      </c>
      <c r="CK3335">
        <v>21</v>
      </c>
      <c r="CL3335" t="s">
        <v>89</v>
      </c>
    </row>
    <row r="3336" spans="1:90">
      <c r="A3336" t="s">
        <v>72</v>
      </c>
      <c r="B3336" t="s">
        <v>73</v>
      </c>
      <c r="C3336" t="s">
        <v>74</v>
      </c>
      <c r="E3336" t="str">
        <f>"FES1162725197"</f>
        <v>FES1162725197</v>
      </c>
      <c r="F3336" s="3">
        <v>43795</v>
      </c>
      <c r="G3336">
        <v>202005</v>
      </c>
      <c r="H3336" t="s">
        <v>75</v>
      </c>
      <c r="I3336" t="s">
        <v>76</v>
      </c>
      <c r="J3336" t="s">
        <v>77</v>
      </c>
      <c r="K3336" t="s">
        <v>78</v>
      </c>
      <c r="L3336" t="s">
        <v>917</v>
      </c>
      <c r="M3336" t="s">
        <v>918</v>
      </c>
      <c r="N3336" t="s">
        <v>919</v>
      </c>
      <c r="O3336" t="s">
        <v>82</v>
      </c>
      <c r="P3336" t="str">
        <f>"21707189740                   "</f>
        <v xml:space="preserve">21707189740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12.07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 s="4">
        <v>70.95</v>
      </c>
      <c r="BM3336" s="4">
        <v>10.64</v>
      </c>
      <c r="BN3336" s="4">
        <v>81.59</v>
      </c>
      <c r="BO3336" s="4">
        <v>81.59</v>
      </c>
      <c r="BQ3336" t="s">
        <v>109</v>
      </c>
      <c r="BR3336" t="s">
        <v>84</v>
      </c>
      <c r="BS3336" s="3">
        <v>43796</v>
      </c>
      <c r="BT3336" s="5">
        <v>0.41666666666666669</v>
      </c>
      <c r="BU3336" t="s">
        <v>2709</v>
      </c>
      <c r="BV3336" t="s">
        <v>86</v>
      </c>
      <c r="BY3336">
        <v>1200</v>
      </c>
      <c r="CC3336" t="s">
        <v>918</v>
      </c>
      <c r="CD3336">
        <v>2210</v>
      </c>
      <c r="CE3336" t="s">
        <v>147</v>
      </c>
      <c r="CF3336" s="3">
        <v>43797</v>
      </c>
      <c r="CI3336">
        <v>1</v>
      </c>
      <c r="CJ3336">
        <v>1</v>
      </c>
      <c r="CK3336">
        <v>24</v>
      </c>
      <c r="CL3336" t="s">
        <v>89</v>
      </c>
    </row>
    <row r="3337" spans="1:90">
      <c r="A3337" t="s">
        <v>72</v>
      </c>
      <c r="B3337" t="s">
        <v>73</v>
      </c>
      <c r="C3337" t="s">
        <v>74</v>
      </c>
      <c r="E3337" t="str">
        <f>"FES1162725176"</f>
        <v>FES1162725176</v>
      </c>
      <c r="F3337" s="3">
        <v>43795</v>
      </c>
      <c r="G3337">
        <v>202005</v>
      </c>
      <c r="H3337" t="s">
        <v>75</v>
      </c>
      <c r="I3337" t="s">
        <v>76</v>
      </c>
      <c r="J3337" t="s">
        <v>77</v>
      </c>
      <c r="K3337" t="s">
        <v>78</v>
      </c>
      <c r="L3337" t="s">
        <v>339</v>
      </c>
      <c r="M3337" t="s">
        <v>340</v>
      </c>
      <c r="N3337" t="s">
        <v>2316</v>
      </c>
      <c r="O3337" t="s">
        <v>82</v>
      </c>
      <c r="P3337" t="str">
        <f>"2170718913                    "</f>
        <v xml:space="preserve">2170718913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8.58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 s="4">
        <v>50.45</v>
      </c>
      <c r="BM3337" s="4">
        <v>7.57</v>
      </c>
      <c r="BN3337" s="4">
        <v>58.02</v>
      </c>
      <c r="BO3337" s="4">
        <v>58.02</v>
      </c>
      <c r="BQ3337" t="s">
        <v>161</v>
      </c>
      <c r="BR3337" t="s">
        <v>84</v>
      </c>
      <c r="BS3337" s="3">
        <v>43796</v>
      </c>
      <c r="BT3337" s="5">
        <v>0.34722222222222227</v>
      </c>
      <c r="BU3337" t="s">
        <v>3189</v>
      </c>
      <c r="BV3337" t="s">
        <v>86</v>
      </c>
      <c r="BY3337">
        <v>1200</v>
      </c>
      <c r="CA3337" t="s">
        <v>869</v>
      </c>
      <c r="CC3337" t="s">
        <v>340</v>
      </c>
      <c r="CD3337">
        <v>157</v>
      </c>
      <c r="CE3337" t="s">
        <v>147</v>
      </c>
      <c r="CF3337" s="3">
        <v>43797</v>
      </c>
      <c r="CI3337">
        <v>1</v>
      </c>
      <c r="CJ3337">
        <v>1</v>
      </c>
      <c r="CK3337">
        <v>21</v>
      </c>
      <c r="CL3337" t="s">
        <v>89</v>
      </c>
    </row>
    <row r="3338" spans="1:90">
      <c r="A3338" t="s">
        <v>72</v>
      </c>
      <c r="B3338" t="s">
        <v>73</v>
      </c>
      <c r="C3338" t="s">
        <v>74</v>
      </c>
      <c r="E3338" t="str">
        <f>"FES1162725273"</f>
        <v>FES1162725273</v>
      </c>
      <c r="F3338" s="3">
        <v>43795</v>
      </c>
      <c r="G3338">
        <v>202005</v>
      </c>
      <c r="H3338" t="s">
        <v>75</v>
      </c>
      <c r="I3338" t="s">
        <v>76</v>
      </c>
      <c r="J3338" t="s">
        <v>77</v>
      </c>
      <c r="K3338" t="s">
        <v>78</v>
      </c>
      <c r="L3338" t="s">
        <v>101</v>
      </c>
      <c r="M3338" t="s">
        <v>102</v>
      </c>
      <c r="N3338" t="s">
        <v>867</v>
      </c>
      <c r="O3338" t="s">
        <v>82</v>
      </c>
      <c r="P3338" t="str">
        <f>"2170719013                    "</f>
        <v xml:space="preserve">2170719013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8.58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 s="4">
        <v>50.45</v>
      </c>
      <c r="BM3338" s="4">
        <v>7.57</v>
      </c>
      <c r="BN3338" s="4">
        <v>58.02</v>
      </c>
      <c r="BO3338" s="4">
        <v>58.02</v>
      </c>
      <c r="BR3338" t="s">
        <v>84</v>
      </c>
      <c r="BS3338" s="3">
        <v>43796</v>
      </c>
      <c r="BT3338" s="5">
        <v>0.34722222222222227</v>
      </c>
      <c r="BU3338" t="s">
        <v>868</v>
      </c>
      <c r="BV3338" t="s">
        <v>86</v>
      </c>
      <c r="BY3338">
        <v>1200</v>
      </c>
      <c r="CA3338" t="s">
        <v>869</v>
      </c>
      <c r="CC3338" t="s">
        <v>102</v>
      </c>
      <c r="CD3338">
        <v>1</v>
      </c>
      <c r="CE3338" t="s">
        <v>147</v>
      </c>
      <c r="CF3338" s="3">
        <v>43797</v>
      </c>
      <c r="CI3338">
        <v>1</v>
      </c>
      <c r="CJ3338">
        <v>1</v>
      </c>
      <c r="CK3338">
        <v>21</v>
      </c>
      <c r="CL3338" t="s">
        <v>89</v>
      </c>
    </row>
    <row r="3339" spans="1:90">
      <c r="A3339" t="s">
        <v>72</v>
      </c>
      <c r="B3339" t="s">
        <v>73</v>
      </c>
      <c r="C3339" t="s">
        <v>74</v>
      </c>
      <c r="E3339" t="str">
        <f>"FES1162725101"</f>
        <v>FES1162725101</v>
      </c>
      <c r="F3339" s="3">
        <v>43795</v>
      </c>
      <c r="G3339">
        <v>202005</v>
      </c>
      <c r="H3339" t="s">
        <v>75</v>
      </c>
      <c r="I3339" t="s">
        <v>76</v>
      </c>
      <c r="J3339" t="s">
        <v>77</v>
      </c>
      <c r="K3339" t="s">
        <v>78</v>
      </c>
      <c r="L3339" t="s">
        <v>339</v>
      </c>
      <c r="M3339" t="s">
        <v>340</v>
      </c>
      <c r="N3339" t="s">
        <v>3190</v>
      </c>
      <c r="O3339" t="s">
        <v>82</v>
      </c>
      <c r="P3339" t="str">
        <f>"2170715465                    "</f>
        <v xml:space="preserve">2170715465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15.02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2</v>
      </c>
      <c r="BI3339">
        <v>2.5</v>
      </c>
      <c r="BJ3339">
        <v>3.3</v>
      </c>
      <c r="BK3339">
        <v>3.5</v>
      </c>
      <c r="BL3339" s="4">
        <v>88.27</v>
      </c>
      <c r="BM3339" s="4">
        <v>13.24</v>
      </c>
      <c r="BN3339" s="4">
        <v>101.51</v>
      </c>
      <c r="BO3339" s="4">
        <v>101.51</v>
      </c>
      <c r="BQ3339" t="s">
        <v>121</v>
      </c>
      <c r="BR3339" t="s">
        <v>84</v>
      </c>
      <c r="BS3339" s="3">
        <v>43796</v>
      </c>
      <c r="BT3339" s="5">
        <v>0.42708333333333331</v>
      </c>
      <c r="BU3339" t="s">
        <v>3191</v>
      </c>
      <c r="BV3339" t="s">
        <v>86</v>
      </c>
      <c r="BY3339">
        <v>16607.419999999998</v>
      </c>
      <c r="CA3339" t="s">
        <v>2043</v>
      </c>
      <c r="CC3339" t="s">
        <v>340</v>
      </c>
      <c r="CD3339">
        <v>157</v>
      </c>
      <c r="CE3339" t="s">
        <v>1892</v>
      </c>
      <c r="CF3339" s="3">
        <v>43797</v>
      </c>
      <c r="CI3339">
        <v>1</v>
      </c>
      <c r="CJ3339">
        <v>1</v>
      </c>
      <c r="CK3339">
        <v>21</v>
      </c>
      <c r="CL3339" t="s">
        <v>89</v>
      </c>
    </row>
    <row r="3340" spans="1:90">
      <c r="A3340" t="s">
        <v>72</v>
      </c>
      <c r="B3340" t="s">
        <v>73</v>
      </c>
      <c r="C3340" t="s">
        <v>74</v>
      </c>
      <c r="E3340" t="str">
        <f>"FES1162725178"</f>
        <v>FES1162725178</v>
      </c>
      <c r="F3340" s="3">
        <v>43795</v>
      </c>
      <c r="G3340">
        <v>202005</v>
      </c>
      <c r="H3340" t="s">
        <v>75</v>
      </c>
      <c r="I3340" t="s">
        <v>76</v>
      </c>
      <c r="J3340" t="s">
        <v>77</v>
      </c>
      <c r="K3340" t="s">
        <v>78</v>
      </c>
      <c r="L3340" t="s">
        <v>482</v>
      </c>
      <c r="M3340" t="s">
        <v>483</v>
      </c>
      <c r="N3340" t="s">
        <v>1054</v>
      </c>
      <c r="O3340" t="s">
        <v>82</v>
      </c>
      <c r="P3340" t="str">
        <f>"2170718915                    "</f>
        <v xml:space="preserve">2170718915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6.71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1.1000000000000001</v>
      </c>
      <c r="BJ3340">
        <v>1.9</v>
      </c>
      <c r="BK3340">
        <v>2</v>
      </c>
      <c r="BL3340" s="4">
        <v>39.42</v>
      </c>
      <c r="BM3340" s="4">
        <v>5.91</v>
      </c>
      <c r="BN3340" s="4">
        <v>45.33</v>
      </c>
      <c r="BO3340" s="4">
        <v>45.33</v>
      </c>
      <c r="BQ3340" t="s">
        <v>109</v>
      </c>
      <c r="BR3340" t="s">
        <v>84</v>
      </c>
      <c r="BS3340" s="3">
        <v>43796</v>
      </c>
      <c r="BT3340" s="5">
        <v>0.34583333333333338</v>
      </c>
      <c r="BU3340" t="s">
        <v>3114</v>
      </c>
      <c r="BV3340" t="s">
        <v>86</v>
      </c>
      <c r="BY3340">
        <v>9350.64</v>
      </c>
      <c r="CA3340" t="s">
        <v>486</v>
      </c>
      <c r="CC3340" t="s">
        <v>483</v>
      </c>
      <c r="CD3340">
        <v>1459</v>
      </c>
      <c r="CE3340" t="s">
        <v>88</v>
      </c>
      <c r="CF3340" s="3">
        <v>43797</v>
      </c>
      <c r="CI3340">
        <v>1</v>
      </c>
      <c r="CJ3340">
        <v>1</v>
      </c>
      <c r="CK3340">
        <v>22</v>
      </c>
      <c r="CL3340" t="s">
        <v>89</v>
      </c>
    </row>
    <row r="3341" spans="1:90">
      <c r="A3341" t="s">
        <v>72</v>
      </c>
      <c r="B3341" t="s">
        <v>73</v>
      </c>
      <c r="C3341" t="s">
        <v>74</v>
      </c>
      <c r="E3341" t="str">
        <f>"FES1162725074"</f>
        <v>FES1162725074</v>
      </c>
      <c r="F3341" s="3">
        <v>43795</v>
      </c>
      <c r="G3341">
        <v>202005</v>
      </c>
      <c r="H3341" t="s">
        <v>75</v>
      </c>
      <c r="I3341" t="s">
        <v>76</v>
      </c>
      <c r="J3341" t="s">
        <v>77</v>
      </c>
      <c r="K3341" t="s">
        <v>78</v>
      </c>
      <c r="L3341" t="s">
        <v>1589</v>
      </c>
      <c r="M3341" t="s">
        <v>1590</v>
      </c>
      <c r="N3341" t="s">
        <v>3192</v>
      </c>
      <c r="O3341" t="s">
        <v>82</v>
      </c>
      <c r="P3341" t="str">
        <f>"2170718815                    "</f>
        <v xml:space="preserve">2170718815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12.07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 s="4">
        <v>70.95</v>
      </c>
      <c r="BM3341" s="4">
        <v>10.64</v>
      </c>
      <c r="BN3341" s="4">
        <v>81.59</v>
      </c>
      <c r="BO3341" s="4">
        <v>81.59</v>
      </c>
      <c r="BQ3341" t="s">
        <v>3193</v>
      </c>
      <c r="BR3341" t="s">
        <v>84</v>
      </c>
      <c r="BS3341" s="3">
        <v>43796</v>
      </c>
      <c r="BT3341" s="5">
        <v>0.36180555555555555</v>
      </c>
      <c r="BU3341" t="s">
        <v>3194</v>
      </c>
      <c r="BV3341" t="s">
        <v>86</v>
      </c>
      <c r="BY3341">
        <v>1200</v>
      </c>
      <c r="CA3341" t="s">
        <v>1593</v>
      </c>
      <c r="CC3341" t="s">
        <v>1590</v>
      </c>
      <c r="CD3341">
        <v>1034</v>
      </c>
      <c r="CE3341" t="s">
        <v>147</v>
      </c>
      <c r="CF3341" s="3">
        <v>43798</v>
      </c>
      <c r="CI3341">
        <v>1</v>
      </c>
      <c r="CJ3341">
        <v>1</v>
      </c>
      <c r="CK3341">
        <v>24</v>
      </c>
      <c r="CL3341" t="s">
        <v>89</v>
      </c>
    </row>
    <row r="3342" spans="1:90">
      <c r="A3342" t="s">
        <v>72</v>
      </c>
      <c r="B3342" t="s">
        <v>73</v>
      </c>
      <c r="C3342" t="s">
        <v>74</v>
      </c>
      <c r="E3342" t="str">
        <f>"FES1162725166"</f>
        <v>FES1162725166</v>
      </c>
      <c r="F3342" s="3">
        <v>43795</v>
      </c>
      <c r="G3342">
        <v>202005</v>
      </c>
      <c r="H3342" t="s">
        <v>75</v>
      </c>
      <c r="I3342" t="s">
        <v>76</v>
      </c>
      <c r="J3342" t="s">
        <v>77</v>
      </c>
      <c r="K3342" t="s">
        <v>78</v>
      </c>
      <c r="L3342" t="s">
        <v>75</v>
      </c>
      <c r="M3342" t="s">
        <v>76</v>
      </c>
      <c r="N3342" t="s">
        <v>466</v>
      </c>
      <c r="O3342" t="s">
        <v>82</v>
      </c>
      <c r="P3342" t="str">
        <f>"2170718694                    "</f>
        <v xml:space="preserve">2170718694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6.71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 s="4">
        <v>39.42</v>
      </c>
      <c r="BM3342" s="4">
        <v>5.91</v>
      </c>
      <c r="BN3342" s="4">
        <v>45.33</v>
      </c>
      <c r="BO3342" s="4">
        <v>45.33</v>
      </c>
      <c r="BQ3342" t="s">
        <v>109</v>
      </c>
      <c r="BR3342" t="s">
        <v>84</v>
      </c>
      <c r="BS3342" s="3">
        <v>43796</v>
      </c>
      <c r="BT3342" s="5">
        <v>0.32777777777777778</v>
      </c>
      <c r="BU3342" t="s">
        <v>740</v>
      </c>
      <c r="BV3342" t="s">
        <v>86</v>
      </c>
      <c r="BY3342">
        <v>1200</v>
      </c>
      <c r="CC3342" t="s">
        <v>76</v>
      </c>
      <c r="CD3342">
        <v>1609</v>
      </c>
      <c r="CE3342" t="s">
        <v>147</v>
      </c>
      <c r="CF3342" s="3">
        <v>43797</v>
      </c>
      <c r="CI3342">
        <v>1</v>
      </c>
      <c r="CJ3342">
        <v>1</v>
      </c>
      <c r="CK3342">
        <v>22</v>
      </c>
      <c r="CL3342" t="s">
        <v>89</v>
      </c>
    </row>
    <row r="3343" spans="1:90">
      <c r="A3343" t="s">
        <v>72</v>
      </c>
      <c r="B3343" t="s">
        <v>73</v>
      </c>
      <c r="C3343" t="s">
        <v>74</v>
      </c>
      <c r="E3343" t="str">
        <f>"FES1162725228"</f>
        <v>FES1162725228</v>
      </c>
      <c r="F3343" s="3">
        <v>43795</v>
      </c>
      <c r="G3343">
        <v>202005</v>
      </c>
      <c r="H3343" t="s">
        <v>75</v>
      </c>
      <c r="I3343" t="s">
        <v>76</v>
      </c>
      <c r="J3343" t="s">
        <v>77</v>
      </c>
      <c r="K3343" t="s">
        <v>78</v>
      </c>
      <c r="L3343" t="s">
        <v>917</v>
      </c>
      <c r="M3343" t="s">
        <v>918</v>
      </c>
      <c r="N3343" t="s">
        <v>919</v>
      </c>
      <c r="O3343" t="s">
        <v>82</v>
      </c>
      <c r="P3343" t="str">
        <f>"2170718962                    "</f>
        <v xml:space="preserve">2170718962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12.07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 s="4">
        <v>70.95</v>
      </c>
      <c r="BM3343" s="4">
        <v>10.64</v>
      </c>
      <c r="BN3343" s="4">
        <v>81.59</v>
      </c>
      <c r="BO3343" s="4">
        <v>81.59</v>
      </c>
      <c r="BQ3343" t="s">
        <v>109</v>
      </c>
      <c r="BR3343" t="s">
        <v>84</v>
      </c>
      <c r="BS3343" s="3">
        <v>43796</v>
      </c>
      <c r="BT3343" s="5">
        <v>0.41666666666666669</v>
      </c>
      <c r="BU3343" t="s">
        <v>2709</v>
      </c>
      <c r="BV3343" t="s">
        <v>86</v>
      </c>
      <c r="BY3343">
        <v>1200</v>
      </c>
      <c r="CC3343" t="s">
        <v>918</v>
      </c>
      <c r="CD3343">
        <v>2210</v>
      </c>
      <c r="CE3343" t="s">
        <v>147</v>
      </c>
      <c r="CF3343" s="3">
        <v>43797</v>
      </c>
      <c r="CI3343">
        <v>1</v>
      </c>
      <c r="CJ3343">
        <v>1</v>
      </c>
      <c r="CK3343">
        <v>24</v>
      </c>
      <c r="CL3343" t="s">
        <v>89</v>
      </c>
    </row>
    <row r="3344" spans="1:90">
      <c r="A3344" t="s">
        <v>72</v>
      </c>
      <c r="B3344" t="s">
        <v>73</v>
      </c>
      <c r="C3344" t="s">
        <v>74</v>
      </c>
      <c r="E3344" t="str">
        <f>"FES1162725190"</f>
        <v>FES1162725190</v>
      </c>
      <c r="F3344" s="3">
        <v>43795</v>
      </c>
      <c r="G3344">
        <v>202005</v>
      </c>
      <c r="H3344" t="s">
        <v>75</v>
      </c>
      <c r="I3344" t="s">
        <v>76</v>
      </c>
      <c r="J3344" t="s">
        <v>77</v>
      </c>
      <c r="K3344" t="s">
        <v>78</v>
      </c>
      <c r="L3344" t="s">
        <v>339</v>
      </c>
      <c r="M3344" t="s">
        <v>340</v>
      </c>
      <c r="N3344" t="s">
        <v>560</v>
      </c>
      <c r="O3344" t="s">
        <v>82</v>
      </c>
      <c r="P3344" t="str">
        <f>"2170718931                    "</f>
        <v xml:space="preserve">2170718931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8.58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 s="4">
        <v>50.45</v>
      </c>
      <c r="BM3344" s="4">
        <v>7.57</v>
      </c>
      <c r="BN3344" s="4">
        <v>58.02</v>
      </c>
      <c r="BO3344" s="4">
        <v>58.02</v>
      </c>
      <c r="BQ3344" t="s">
        <v>121</v>
      </c>
      <c r="BR3344" t="s">
        <v>84</v>
      </c>
      <c r="BS3344" s="3">
        <v>43796</v>
      </c>
      <c r="BT3344" s="5">
        <v>0.37152777777777773</v>
      </c>
      <c r="BU3344" t="s">
        <v>3071</v>
      </c>
      <c r="BV3344" t="s">
        <v>86</v>
      </c>
      <c r="BY3344">
        <v>1200</v>
      </c>
      <c r="CA3344" t="s">
        <v>562</v>
      </c>
      <c r="CC3344" t="s">
        <v>340</v>
      </c>
      <c r="CD3344">
        <v>157</v>
      </c>
      <c r="CE3344" t="s">
        <v>147</v>
      </c>
      <c r="CF3344" s="3">
        <v>43797</v>
      </c>
      <c r="CI3344">
        <v>1</v>
      </c>
      <c r="CJ3344">
        <v>1</v>
      </c>
      <c r="CK3344">
        <v>21</v>
      </c>
      <c r="CL3344" t="s">
        <v>89</v>
      </c>
    </row>
    <row r="3345" spans="1:90">
      <c r="A3345" t="s">
        <v>72</v>
      </c>
      <c r="B3345" t="s">
        <v>73</v>
      </c>
      <c r="C3345" t="s">
        <v>74</v>
      </c>
      <c r="E3345" t="str">
        <f>"FES1162725173"</f>
        <v>FES1162725173</v>
      </c>
      <c r="F3345" s="3">
        <v>43795</v>
      </c>
      <c r="G3345">
        <v>202005</v>
      </c>
      <c r="H3345" t="s">
        <v>75</v>
      </c>
      <c r="I3345" t="s">
        <v>76</v>
      </c>
      <c r="J3345" t="s">
        <v>77</v>
      </c>
      <c r="K3345" t="s">
        <v>78</v>
      </c>
      <c r="L3345" t="s">
        <v>405</v>
      </c>
      <c r="M3345" t="s">
        <v>406</v>
      </c>
      <c r="N3345" t="s">
        <v>931</v>
      </c>
      <c r="O3345" t="s">
        <v>82</v>
      </c>
      <c r="P3345" t="str">
        <f>"2170718908                    "</f>
        <v xml:space="preserve">2170718908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12.07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 s="4">
        <v>70.95</v>
      </c>
      <c r="BM3345" s="4">
        <v>10.64</v>
      </c>
      <c r="BN3345" s="4">
        <v>81.59</v>
      </c>
      <c r="BO3345" s="4">
        <v>81.59</v>
      </c>
      <c r="BQ3345" t="s">
        <v>932</v>
      </c>
      <c r="BR3345" t="s">
        <v>84</v>
      </c>
      <c r="BS3345" s="3">
        <v>43796</v>
      </c>
      <c r="BT3345" s="5">
        <v>0.37152777777777773</v>
      </c>
      <c r="BU3345" t="s">
        <v>3195</v>
      </c>
      <c r="BV3345" t="s">
        <v>86</v>
      </c>
      <c r="BY3345">
        <v>1200</v>
      </c>
      <c r="CA3345" t="s">
        <v>1501</v>
      </c>
      <c r="CC3345" t="s">
        <v>406</v>
      </c>
      <c r="CD3345">
        <v>250</v>
      </c>
      <c r="CE3345" t="s">
        <v>147</v>
      </c>
      <c r="CF3345" s="3">
        <v>43798</v>
      </c>
      <c r="CI3345">
        <v>1</v>
      </c>
      <c r="CJ3345">
        <v>1</v>
      </c>
      <c r="CK3345">
        <v>24</v>
      </c>
      <c r="CL3345" t="s">
        <v>89</v>
      </c>
    </row>
    <row r="3346" spans="1:90">
      <c r="A3346" t="s">
        <v>72</v>
      </c>
      <c r="B3346" t="s">
        <v>73</v>
      </c>
      <c r="C3346" t="s">
        <v>74</v>
      </c>
      <c r="E3346" t="str">
        <f>"FES1162725181"</f>
        <v>FES1162725181</v>
      </c>
      <c r="F3346" s="3">
        <v>43795</v>
      </c>
      <c r="G3346">
        <v>202005</v>
      </c>
      <c r="H3346" t="s">
        <v>75</v>
      </c>
      <c r="I3346" t="s">
        <v>76</v>
      </c>
      <c r="J3346" t="s">
        <v>77</v>
      </c>
      <c r="K3346" t="s">
        <v>78</v>
      </c>
      <c r="L3346" t="s">
        <v>101</v>
      </c>
      <c r="M3346" t="s">
        <v>102</v>
      </c>
      <c r="N3346" t="s">
        <v>330</v>
      </c>
      <c r="O3346" t="s">
        <v>82</v>
      </c>
      <c r="P3346" t="str">
        <f>"2170718920                    "</f>
        <v xml:space="preserve">2170718920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15.02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1.8</v>
      </c>
      <c r="BJ3346">
        <v>3.5</v>
      </c>
      <c r="BK3346">
        <v>3.5</v>
      </c>
      <c r="BL3346" s="4">
        <v>88.27</v>
      </c>
      <c r="BM3346" s="4">
        <v>13.24</v>
      </c>
      <c r="BN3346" s="4">
        <v>101.51</v>
      </c>
      <c r="BO3346" s="4">
        <v>101.51</v>
      </c>
      <c r="BQ3346" t="s">
        <v>109</v>
      </c>
      <c r="BR3346" t="s">
        <v>84</v>
      </c>
      <c r="BS3346" s="3">
        <v>43796</v>
      </c>
      <c r="BT3346" s="5">
        <v>0.43124999999999997</v>
      </c>
      <c r="BU3346" t="s">
        <v>1439</v>
      </c>
      <c r="BV3346" t="s">
        <v>86</v>
      </c>
      <c r="BY3346">
        <v>17395.689999999999</v>
      </c>
      <c r="CC3346" t="s">
        <v>102</v>
      </c>
      <c r="CD3346">
        <v>200</v>
      </c>
      <c r="CE3346" t="s">
        <v>88</v>
      </c>
      <c r="CF3346" s="3">
        <v>43797</v>
      </c>
      <c r="CI3346">
        <v>1</v>
      </c>
      <c r="CJ3346">
        <v>1</v>
      </c>
      <c r="CK3346">
        <v>21</v>
      </c>
      <c r="CL3346" t="s">
        <v>89</v>
      </c>
    </row>
    <row r="3347" spans="1:90">
      <c r="A3347" t="s">
        <v>72</v>
      </c>
      <c r="B3347" t="s">
        <v>73</v>
      </c>
      <c r="C3347" t="s">
        <v>74</v>
      </c>
      <c r="E3347" t="str">
        <f>"FES1162725235"</f>
        <v>FES1162725235</v>
      </c>
      <c r="F3347" s="3">
        <v>43795</v>
      </c>
      <c r="G3347">
        <v>202005</v>
      </c>
      <c r="H3347" t="s">
        <v>75</v>
      </c>
      <c r="I3347" t="s">
        <v>76</v>
      </c>
      <c r="J3347" t="s">
        <v>77</v>
      </c>
      <c r="K3347" t="s">
        <v>78</v>
      </c>
      <c r="L3347" t="s">
        <v>90</v>
      </c>
      <c r="M3347" t="s">
        <v>91</v>
      </c>
      <c r="N3347" t="s">
        <v>2988</v>
      </c>
      <c r="O3347" t="s">
        <v>82</v>
      </c>
      <c r="P3347" t="str">
        <f>"2170718969                    "</f>
        <v xml:space="preserve">2170718969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8.58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 s="4">
        <v>50.45</v>
      </c>
      <c r="BM3347" s="4">
        <v>7.57</v>
      </c>
      <c r="BN3347" s="4">
        <v>58.02</v>
      </c>
      <c r="BO3347" s="4">
        <v>58.02</v>
      </c>
      <c r="BQ3347" t="s">
        <v>109</v>
      </c>
      <c r="BR3347" t="s">
        <v>84</v>
      </c>
      <c r="BS3347" s="3">
        <v>43796</v>
      </c>
      <c r="BT3347" s="5">
        <v>0.4375</v>
      </c>
      <c r="BU3347" t="s">
        <v>3196</v>
      </c>
      <c r="BV3347" t="s">
        <v>86</v>
      </c>
      <c r="BY3347">
        <v>1200</v>
      </c>
      <c r="CA3347" t="s">
        <v>2541</v>
      </c>
      <c r="CC3347" t="s">
        <v>91</v>
      </c>
      <c r="CD3347">
        <v>8001</v>
      </c>
      <c r="CE3347" t="s">
        <v>147</v>
      </c>
      <c r="CF3347" s="3">
        <v>43797</v>
      </c>
      <c r="CI3347">
        <v>1</v>
      </c>
      <c r="CJ3347">
        <v>1</v>
      </c>
      <c r="CK3347">
        <v>21</v>
      </c>
      <c r="CL3347" t="s">
        <v>89</v>
      </c>
    </row>
    <row r="3348" spans="1:90">
      <c r="A3348" t="s">
        <v>72</v>
      </c>
      <c r="B3348" t="s">
        <v>73</v>
      </c>
      <c r="C3348" t="s">
        <v>74</v>
      </c>
      <c r="E3348" t="str">
        <f>"FES1162725111"</f>
        <v>FES1162725111</v>
      </c>
      <c r="F3348" s="3">
        <v>43795</v>
      </c>
      <c r="G3348">
        <v>202005</v>
      </c>
      <c r="H3348" t="s">
        <v>75</v>
      </c>
      <c r="I3348" t="s">
        <v>76</v>
      </c>
      <c r="J3348" t="s">
        <v>77</v>
      </c>
      <c r="K3348" t="s">
        <v>78</v>
      </c>
      <c r="L3348" t="s">
        <v>75</v>
      </c>
      <c r="M3348" t="s">
        <v>76</v>
      </c>
      <c r="N3348" t="s">
        <v>236</v>
      </c>
      <c r="O3348" t="s">
        <v>82</v>
      </c>
      <c r="P3348" t="str">
        <f>"1162725111                    "</f>
        <v xml:space="preserve">1162725111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6.71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1.7</v>
      </c>
      <c r="BJ3348">
        <v>0.9</v>
      </c>
      <c r="BK3348">
        <v>2</v>
      </c>
      <c r="BL3348" s="4">
        <v>39.42</v>
      </c>
      <c r="BM3348" s="4">
        <v>5.91</v>
      </c>
      <c r="BN3348" s="4">
        <v>45.33</v>
      </c>
      <c r="BO3348" s="4">
        <v>45.33</v>
      </c>
      <c r="BQ3348" t="s">
        <v>109</v>
      </c>
      <c r="BR3348" t="s">
        <v>84</v>
      </c>
      <c r="BS3348" s="3">
        <v>43796</v>
      </c>
      <c r="BT3348" s="5">
        <v>0.3263888888888889</v>
      </c>
      <c r="BU3348" t="s">
        <v>3197</v>
      </c>
      <c r="BV3348" t="s">
        <v>86</v>
      </c>
      <c r="BY3348">
        <v>4368.3</v>
      </c>
      <c r="CA3348" t="s">
        <v>571</v>
      </c>
      <c r="CC3348" t="s">
        <v>76</v>
      </c>
      <c r="CD3348">
        <v>1665</v>
      </c>
      <c r="CE3348" t="s">
        <v>88</v>
      </c>
      <c r="CF3348" s="3">
        <v>43797</v>
      </c>
      <c r="CI3348">
        <v>1</v>
      </c>
      <c r="CJ3348">
        <v>1</v>
      </c>
      <c r="CK3348">
        <v>22</v>
      </c>
      <c r="CL3348" t="s">
        <v>89</v>
      </c>
    </row>
    <row r="3349" spans="1:90">
      <c r="A3349" t="s">
        <v>72</v>
      </c>
      <c r="B3349" t="s">
        <v>73</v>
      </c>
      <c r="C3349" t="s">
        <v>74</v>
      </c>
      <c r="E3349" t="str">
        <f>"FES1162725158"</f>
        <v>FES1162725158</v>
      </c>
      <c r="F3349" s="3">
        <v>43795</v>
      </c>
      <c r="G3349">
        <v>202005</v>
      </c>
      <c r="H3349" t="s">
        <v>75</v>
      </c>
      <c r="I3349" t="s">
        <v>76</v>
      </c>
      <c r="J3349" t="s">
        <v>77</v>
      </c>
      <c r="K3349" t="s">
        <v>78</v>
      </c>
      <c r="L3349" t="s">
        <v>75</v>
      </c>
      <c r="M3349" t="s">
        <v>76</v>
      </c>
      <c r="N3349" t="s">
        <v>989</v>
      </c>
      <c r="O3349" t="s">
        <v>82</v>
      </c>
      <c r="P3349" t="str">
        <f>"2170718878                    "</f>
        <v xml:space="preserve">2170718878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6.71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 s="4">
        <v>39.42</v>
      </c>
      <c r="BM3349" s="4">
        <v>5.91</v>
      </c>
      <c r="BN3349" s="4">
        <v>45.33</v>
      </c>
      <c r="BO3349" s="4">
        <v>45.33</v>
      </c>
      <c r="BQ3349" t="s">
        <v>121</v>
      </c>
      <c r="BR3349" t="s">
        <v>84</v>
      </c>
      <c r="BS3349" s="3">
        <v>43796</v>
      </c>
      <c r="BT3349" s="5">
        <v>0.32916666666666666</v>
      </c>
      <c r="BU3349" t="s">
        <v>1340</v>
      </c>
      <c r="BV3349" t="s">
        <v>86</v>
      </c>
      <c r="BY3349">
        <v>1200</v>
      </c>
      <c r="CA3349" t="s">
        <v>368</v>
      </c>
      <c r="CC3349" t="s">
        <v>76</v>
      </c>
      <c r="CD3349">
        <v>1600</v>
      </c>
      <c r="CE3349" t="s">
        <v>147</v>
      </c>
      <c r="CF3349" s="3">
        <v>43797</v>
      </c>
      <c r="CI3349">
        <v>1</v>
      </c>
      <c r="CJ3349">
        <v>1</v>
      </c>
      <c r="CK3349">
        <v>22</v>
      </c>
      <c r="CL3349" t="s">
        <v>89</v>
      </c>
    </row>
    <row r="3350" spans="1:90">
      <c r="A3350" t="s">
        <v>72</v>
      </c>
      <c r="B3350" t="s">
        <v>73</v>
      </c>
      <c r="C3350" t="s">
        <v>74</v>
      </c>
      <c r="E3350" t="str">
        <f>"FES1162725212"</f>
        <v>FES1162725212</v>
      </c>
      <c r="F3350" s="3">
        <v>43795</v>
      </c>
      <c r="G3350">
        <v>202005</v>
      </c>
      <c r="H3350" t="s">
        <v>75</v>
      </c>
      <c r="I3350" t="s">
        <v>76</v>
      </c>
      <c r="J3350" t="s">
        <v>77</v>
      </c>
      <c r="K3350" t="s">
        <v>78</v>
      </c>
      <c r="L3350" t="s">
        <v>90</v>
      </c>
      <c r="M3350" t="s">
        <v>91</v>
      </c>
      <c r="N3350" t="s">
        <v>1194</v>
      </c>
      <c r="O3350" t="s">
        <v>82</v>
      </c>
      <c r="P3350" t="str">
        <f>"2170715871                    "</f>
        <v xml:space="preserve">2170715871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8.58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2</v>
      </c>
      <c r="BI3350">
        <v>1.9</v>
      </c>
      <c r="BJ3350">
        <v>1.5</v>
      </c>
      <c r="BK3350">
        <v>2</v>
      </c>
      <c r="BL3350" s="4">
        <v>50.45</v>
      </c>
      <c r="BM3350" s="4">
        <v>7.57</v>
      </c>
      <c r="BN3350" s="4">
        <v>58.02</v>
      </c>
      <c r="BO3350" s="4">
        <v>58.02</v>
      </c>
      <c r="BR3350" t="s">
        <v>84</v>
      </c>
      <c r="BS3350" s="3">
        <v>43796</v>
      </c>
      <c r="BT3350" s="5">
        <v>0.4236111111111111</v>
      </c>
      <c r="BU3350" t="s">
        <v>3097</v>
      </c>
      <c r="BV3350" t="s">
        <v>86</v>
      </c>
      <c r="BY3350">
        <v>7631.1</v>
      </c>
      <c r="CA3350" t="s">
        <v>1309</v>
      </c>
      <c r="CC3350" t="s">
        <v>91</v>
      </c>
      <c r="CD3350">
        <v>7580</v>
      </c>
      <c r="CE3350" t="s">
        <v>2536</v>
      </c>
      <c r="CF3350" s="3">
        <v>43797</v>
      </c>
      <c r="CI3350">
        <v>1</v>
      </c>
      <c r="CJ3350">
        <v>1</v>
      </c>
      <c r="CK3350">
        <v>21</v>
      </c>
      <c r="CL3350" t="s">
        <v>89</v>
      </c>
    </row>
    <row r="3351" spans="1:90">
      <c r="A3351" t="s">
        <v>72</v>
      </c>
      <c r="B3351" t="s">
        <v>73</v>
      </c>
      <c r="C3351" t="s">
        <v>74</v>
      </c>
      <c r="E3351" t="str">
        <f>"FES1162725226"</f>
        <v>FES1162725226</v>
      </c>
      <c r="F3351" s="3">
        <v>43795</v>
      </c>
      <c r="G3351">
        <v>202005</v>
      </c>
      <c r="H3351" t="s">
        <v>75</v>
      </c>
      <c r="I3351" t="s">
        <v>76</v>
      </c>
      <c r="J3351" t="s">
        <v>77</v>
      </c>
      <c r="K3351" t="s">
        <v>78</v>
      </c>
      <c r="L3351" t="s">
        <v>90</v>
      </c>
      <c r="M3351" t="s">
        <v>91</v>
      </c>
      <c r="N3351" t="s">
        <v>1194</v>
      </c>
      <c r="O3351" t="s">
        <v>82</v>
      </c>
      <c r="P3351" t="str">
        <f>"1162725226                    "</f>
        <v xml:space="preserve">1162725226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19.3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4.5</v>
      </c>
      <c r="BJ3351">
        <v>1.6</v>
      </c>
      <c r="BK3351">
        <v>4.5</v>
      </c>
      <c r="BL3351" s="4">
        <v>113.47</v>
      </c>
      <c r="BM3351" s="4">
        <v>17.02</v>
      </c>
      <c r="BN3351" s="4">
        <v>130.49</v>
      </c>
      <c r="BO3351" s="4">
        <v>130.49</v>
      </c>
      <c r="BR3351" t="s">
        <v>84</v>
      </c>
      <c r="BS3351" s="3">
        <v>43796</v>
      </c>
      <c r="BT3351" s="5">
        <v>0.4236111111111111</v>
      </c>
      <c r="BU3351" t="s">
        <v>3097</v>
      </c>
      <c r="BV3351" t="s">
        <v>86</v>
      </c>
      <c r="BY3351">
        <v>8077</v>
      </c>
      <c r="CC3351" t="s">
        <v>91</v>
      </c>
      <c r="CD3351">
        <v>7580</v>
      </c>
      <c r="CE3351" t="s">
        <v>88</v>
      </c>
      <c r="CF3351" s="3">
        <v>43797</v>
      </c>
      <c r="CI3351">
        <v>1</v>
      </c>
      <c r="CJ3351">
        <v>1</v>
      </c>
      <c r="CK3351">
        <v>21</v>
      </c>
      <c r="CL3351" t="s">
        <v>89</v>
      </c>
    </row>
    <row r="3352" spans="1:90">
      <c r="A3352" t="s">
        <v>72</v>
      </c>
      <c r="B3352" t="s">
        <v>73</v>
      </c>
      <c r="C3352" t="s">
        <v>74</v>
      </c>
      <c r="E3352" t="str">
        <f>"FES1162722082"</f>
        <v>FES1162722082</v>
      </c>
      <c r="F3352" s="3">
        <v>43795</v>
      </c>
      <c r="G3352">
        <v>202005</v>
      </c>
      <c r="H3352" t="s">
        <v>75</v>
      </c>
      <c r="I3352" t="s">
        <v>76</v>
      </c>
      <c r="J3352" t="s">
        <v>77</v>
      </c>
      <c r="K3352" t="s">
        <v>78</v>
      </c>
      <c r="L3352" t="s">
        <v>202</v>
      </c>
      <c r="M3352" t="s">
        <v>203</v>
      </c>
      <c r="N3352" t="s">
        <v>3198</v>
      </c>
      <c r="O3352" t="s">
        <v>82</v>
      </c>
      <c r="P3352" t="str">
        <f>"2170716296                    "</f>
        <v xml:space="preserve">2170716296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6.71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 s="4">
        <v>39.42</v>
      </c>
      <c r="BM3352" s="4">
        <v>5.91</v>
      </c>
      <c r="BN3352" s="4">
        <v>45.33</v>
      </c>
      <c r="BO3352" s="4">
        <v>45.33</v>
      </c>
      <c r="BQ3352" t="s">
        <v>3199</v>
      </c>
      <c r="BR3352" t="s">
        <v>84</v>
      </c>
      <c r="BS3352" s="3">
        <v>43796</v>
      </c>
      <c r="BT3352" s="5">
        <v>0.37847222222222227</v>
      </c>
      <c r="BU3352" t="s">
        <v>3200</v>
      </c>
      <c r="BV3352" t="s">
        <v>86</v>
      </c>
      <c r="BY3352">
        <v>1200</v>
      </c>
      <c r="CA3352" t="s">
        <v>123</v>
      </c>
      <c r="CC3352" t="s">
        <v>203</v>
      </c>
      <c r="CD3352">
        <v>1428</v>
      </c>
      <c r="CE3352" t="s">
        <v>147</v>
      </c>
      <c r="CF3352" s="3">
        <v>43797</v>
      </c>
      <c r="CI3352">
        <v>1</v>
      </c>
      <c r="CJ3352">
        <v>1</v>
      </c>
      <c r="CK3352">
        <v>22</v>
      </c>
      <c r="CL3352" t="s">
        <v>89</v>
      </c>
    </row>
    <row r="3353" spans="1:90">
      <c r="A3353" t="s">
        <v>72</v>
      </c>
      <c r="B3353" t="s">
        <v>73</v>
      </c>
      <c r="C3353" t="s">
        <v>74</v>
      </c>
      <c r="E3353" t="str">
        <f>"FES1162725219"</f>
        <v>FES1162725219</v>
      </c>
      <c r="F3353" s="3">
        <v>43795</v>
      </c>
      <c r="G3353">
        <v>202005</v>
      </c>
      <c r="H3353" t="s">
        <v>75</v>
      </c>
      <c r="I3353" t="s">
        <v>76</v>
      </c>
      <c r="J3353" t="s">
        <v>77</v>
      </c>
      <c r="K3353" t="s">
        <v>78</v>
      </c>
      <c r="L3353" t="s">
        <v>90</v>
      </c>
      <c r="M3353" t="s">
        <v>91</v>
      </c>
      <c r="N3353" t="s">
        <v>1194</v>
      </c>
      <c r="O3353" t="s">
        <v>82</v>
      </c>
      <c r="P3353" t="str">
        <f>"1162725219                    "</f>
        <v xml:space="preserve">1162725219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19.3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2</v>
      </c>
      <c r="BI3353">
        <v>4.3</v>
      </c>
      <c r="BJ3353">
        <v>2.1</v>
      </c>
      <c r="BK3353">
        <v>4.5</v>
      </c>
      <c r="BL3353" s="4">
        <v>113.47</v>
      </c>
      <c r="BM3353" s="4">
        <v>17.02</v>
      </c>
      <c r="BN3353" s="4">
        <v>130.49</v>
      </c>
      <c r="BO3353" s="4">
        <v>130.49</v>
      </c>
      <c r="BR3353" t="s">
        <v>84</v>
      </c>
      <c r="BS3353" s="3">
        <v>43796</v>
      </c>
      <c r="BT3353" s="5">
        <v>0.4236111111111111</v>
      </c>
      <c r="BU3353" t="s">
        <v>3097</v>
      </c>
      <c r="BV3353" t="s">
        <v>86</v>
      </c>
      <c r="BY3353">
        <v>10273.92</v>
      </c>
      <c r="CA3353" t="s">
        <v>1309</v>
      </c>
      <c r="CC3353" t="s">
        <v>91</v>
      </c>
      <c r="CD3353">
        <v>7580</v>
      </c>
      <c r="CE3353" t="s">
        <v>2536</v>
      </c>
      <c r="CF3353" s="3">
        <v>43797</v>
      </c>
      <c r="CI3353">
        <v>1</v>
      </c>
      <c r="CJ3353">
        <v>1</v>
      </c>
      <c r="CK3353">
        <v>21</v>
      </c>
      <c r="CL3353" t="s">
        <v>89</v>
      </c>
    </row>
    <row r="3354" spans="1:90">
      <c r="A3354" t="s">
        <v>72</v>
      </c>
      <c r="B3354" t="s">
        <v>73</v>
      </c>
      <c r="C3354" t="s">
        <v>74</v>
      </c>
      <c r="E3354" t="str">
        <f>"FES1162725250"</f>
        <v>FES1162725250</v>
      </c>
      <c r="F3354" s="3">
        <v>43795</v>
      </c>
      <c r="G3354">
        <v>202005</v>
      </c>
      <c r="H3354" t="s">
        <v>75</v>
      </c>
      <c r="I3354" t="s">
        <v>76</v>
      </c>
      <c r="J3354" t="s">
        <v>77</v>
      </c>
      <c r="K3354" t="s">
        <v>78</v>
      </c>
      <c r="L3354" t="s">
        <v>112</v>
      </c>
      <c r="M3354" t="s">
        <v>113</v>
      </c>
      <c r="N3354" t="s">
        <v>3201</v>
      </c>
      <c r="O3354" t="s">
        <v>82</v>
      </c>
      <c r="P3354" t="str">
        <f>"2170718983                    "</f>
        <v xml:space="preserve">2170718983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8.58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 s="4">
        <v>50.45</v>
      </c>
      <c r="BM3354" s="4">
        <v>7.57</v>
      </c>
      <c r="BN3354" s="4">
        <v>58.02</v>
      </c>
      <c r="BO3354" s="4">
        <v>58.02</v>
      </c>
      <c r="BQ3354" t="s">
        <v>109</v>
      </c>
      <c r="BR3354" t="s">
        <v>84</v>
      </c>
      <c r="BS3354" s="3">
        <v>43796</v>
      </c>
      <c r="BT3354" s="5">
        <v>0.3972222222222222</v>
      </c>
      <c r="BU3354" t="s">
        <v>3202</v>
      </c>
      <c r="BV3354" t="s">
        <v>86</v>
      </c>
      <c r="BY3354">
        <v>1200</v>
      </c>
      <c r="CA3354" t="s">
        <v>2212</v>
      </c>
      <c r="CC3354" t="s">
        <v>113</v>
      </c>
      <c r="CD3354">
        <v>4001</v>
      </c>
      <c r="CE3354" t="s">
        <v>147</v>
      </c>
      <c r="CF3354" s="3">
        <v>43797</v>
      </c>
      <c r="CI3354">
        <v>1</v>
      </c>
      <c r="CJ3354">
        <v>1</v>
      </c>
      <c r="CK3354">
        <v>21</v>
      </c>
      <c r="CL3354" t="s">
        <v>89</v>
      </c>
    </row>
    <row r="3355" spans="1:90">
      <c r="A3355" t="s">
        <v>72</v>
      </c>
      <c r="B3355" t="s">
        <v>73</v>
      </c>
      <c r="C3355" t="s">
        <v>74</v>
      </c>
      <c r="E3355" t="str">
        <f>"FES1162725206"</f>
        <v>FES1162725206</v>
      </c>
      <c r="F3355" s="3">
        <v>43795</v>
      </c>
      <c r="G3355">
        <v>202005</v>
      </c>
      <c r="H3355" t="s">
        <v>75</v>
      </c>
      <c r="I3355" t="s">
        <v>76</v>
      </c>
      <c r="J3355" t="s">
        <v>77</v>
      </c>
      <c r="K3355" t="s">
        <v>78</v>
      </c>
      <c r="L3355" t="s">
        <v>124</v>
      </c>
      <c r="M3355" t="s">
        <v>125</v>
      </c>
      <c r="N3355" t="s">
        <v>460</v>
      </c>
      <c r="O3355" t="s">
        <v>82</v>
      </c>
      <c r="P3355" t="str">
        <f>"2170718955                    "</f>
        <v xml:space="preserve">2170718955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6.71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 s="4">
        <v>39.42</v>
      </c>
      <c r="BM3355" s="4">
        <v>5.91</v>
      </c>
      <c r="BN3355" s="4">
        <v>45.33</v>
      </c>
      <c r="BO3355" s="4">
        <v>45.33</v>
      </c>
      <c r="BQ3355" t="s">
        <v>461</v>
      </c>
      <c r="BR3355" t="s">
        <v>84</v>
      </c>
      <c r="BS3355" s="3">
        <v>43796</v>
      </c>
      <c r="BT3355" s="5">
        <v>0.42499999999999999</v>
      </c>
      <c r="BU3355" t="s">
        <v>3203</v>
      </c>
      <c r="BV3355" t="s">
        <v>86</v>
      </c>
      <c r="BY3355">
        <v>1200</v>
      </c>
      <c r="CA3355" t="s">
        <v>837</v>
      </c>
      <c r="CC3355" t="s">
        <v>125</v>
      </c>
      <c r="CD3355">
        <v>2094</v>
      </c>
      <c r="CE3355" t="s">
        <v>147</v>
      </c>
      <c r="CF3355" s="3">
        <v>43797</v>
      </c>
      <c r="CI3355">
        <v>1</v>
      </c>
      <c r="CJ3355">
        <v>1</v>
      </c>
      <c r="CK3355">
        <v>22</v>
      </c>
      <c r="CL3355" t="s">
        <v>89</v>
      </c>
    </row>
    <row r="3356" spans="1:90">
      <c r="A3356" t="s">
        <v>72</v>
      </c>
      <c r="B3356" t="s">
        <v>73</v>
      </c>
      <c r="C3356" t="s">
        <v>74</v>
      </c>
      <c r="E3356" t="str">
        <f>"FES1162725236"</f>
        <v>FES1162725236</v>
      </c>
      <c r="F3356" s="3">
        <v>43795</v>
      </c>
      <c r="G3356">
        <v>202005</v>
      </c>
      <c r="H3356" t="s">
        <v>75</v>
      </c>
      <c r="I3356" t="s">
        <v>76</v>
      </c>
      <c r="J3356" t="s">
        <v>77</v>
      </c>
      <c r="K3356" t="s">
        <v>78</v>
      </c>
      <c r="L3356" t="s">
        <v>95</v>
      </c>
      <c r="M3356" t="s">
        <v>96</v>
      </c>
      <c r="N3356" t="s">
        <v>1177</v>
      </c>
      <c r="O3356" t="s">
        <v>82</v>
      </c>
      <c r="P3356" t="str">
        <f>"1162725236                    "</f>
        <v xml:space="preserve">1162725236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12.33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3.3</v>
      </c>
      <c r="BJ3356">
        <v>5.3</v>
      </c>
      <c r="BK3356">
        <v>5.5</v>
      </c>
      <c r="BL3356" s="4">
        <v>72.48</v>
      </c>
      <c r="BM3356" s="4">
        <v>10.87</v>
      </c>
      <c r="BN3356" s="4">
        <v>83.35</v>
      </c>
      <c r="BO3356" s="4">
        <v>83.35</v>
      </c>
      <c r="BQ3356" t="s">
        <v>109</v>
      </c>
      <c r="BR3356" t="s">
        <v>84</v>
      </c>
      <c r="BS3356" s="3">
        <v>43796</v>
      </c>
      <c r="BT3356" s="5">
        <v>0.38541666666666669</v>
      </c>
      <c r="BU3356" t="s">
        <v>3204</v>
      </c>
      <c r="BV3356" t="s">
        <v>86</v>
      </c>
      <c r="BY3356">
        <v>26629.61</v>
      </c>
      <c r="CA3356" t="s">
        <v>123</v>
      </c>
      <c r="CC3356" t="s">
        <v>96</v>
      </c>
      <c r="CD3356">
        <v>1451</v>
      </c>
      <c r="CE3356" t="s">
        <v>88</v>
      </c>
      <c r="CF3356" s="3">
        <v>43797</v>
      </c>
      <c r="CI3356">
        <v>1</v>
      </c>
      <c r="CJ3356">
        <v>1</v>
      </c>
      <c r="CK3356">
        <v>22</v>
      </c>
      <c r="CL3356" t="s">
        <v>89</v>
      </c>
    </row>
    <row r="3357" spans="1:90">
      <c r="A3357" t="s">
        <v>72</v>
      </c>
      <c r="B3357" t="s">
        <v>73</v>
      </c>
      <c r="C3357" t="s">
        <v>74</v>
      </c>
      <c r="E3357" t="str">
        <f>"FES1162725289"</f>
        <v>FES1162725289</v>
      </c>
      <c r="F3357" s="3">
        <v>43795</v>
      </c>
      <c r="G3357">
        <v>202005</v>
      </c>
      <c r="H3357" t="s">
        <v>75</v>
      </c>
      <c r="I3357" t="s">
        <v>76</v>
      </c>
      <c r="J3357" t="s">
        <v>77</v>
      </c>
      <c r="K3357" t="s">
        <v>78</v>
      </c>
      <c r="L3357" t="s">
        <v>124</v>
      </c>
      <c r="M3357" t="s">
        <v>125</v>
      </c>
      <c r="N3357" t="s">
        <v>230</v>
      </c>
      <c r="O3357" t="s">
        <v>82</v>
      </c>
      <c r="P3357" t="str">
        <f>"2170719030                    "</f>
        <v xml:space="preserve">2170719030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6.71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 s="4">
        <v>39.42</v>
      </c>
      <c r="BM3357" s="4">
        <v>5.91</v>
      </c>
      <c r="BN3357" s="4">
        <v>45.33</v>
      </c>
      <c r="BO3357" s="4">
        <v>45.33</v>
      </c>
      <c r="BQ3357" t="s">
        <v>109</v>
      </c>
      <c r="BR3357" t="s">
        <v>84</v>
      </c>
      <c r="BS3357" s="3">
        <v>43796</v>
      </c>
      <c r="BT3357" s="5">
        <v>0.375</v>
      </c>
      <c r="BU3357" t="s">
        <v>1039</v>
      </c>
      <c r="BV3357" t="s">
        <v>86</v>
      </c>
      <c r="BY3357">
        <v>1200</v>
      </c>
      <c r="CA3357" t="s">
        <v>123</v>
      </c>
      <c r="CC3357" t="s">
        <v>125</v>
      </c>
      <c r="CD3357">
        <v>2091</v>
      </c>
      <c r="CE3357" t="s">
        <v>147</v>
      </c>
      <c r="CF3357" s="3">
        <v>43797</v>
      </c>
      <c r="CI3357">
        <v>1</v>
      </c>
      <c r="CJ3357">
        <v>1</v>
      </c>
      <c r="CK3357">
        <v>22</v>
      </c>
      <c r="CL3357" t="s">
        <v>89</v>
      </c>
    </row>
    <row r="3358" spans="1:90">
      <c r="A3358" t="s">
        <v>72</v>
      </c>
      <c r="B3358" t="s">
        <v>73</v>
      </c>
      <c r="C3358" t="s">
        <v>74</v>
      </c>
      <c r="E3358" t="str">
        <f>"FES1162725283"</f>
        <v>FES1162725283</v>
      </c>
      <c r="F3358" s="3">
        <v>43795</v>
      </c>
      <c r="G3358">
        <v>202005</v>
      </c>
      <c r="H3358" t="s">
        <v>75</v>
      </c>
      <c r="I3358" t="s">
        <v>76</v>
      </c>
      <c r="J3358" t="s">
        <v>77</v>
      </c>
      <c r="K3358" t="s">
        <v>78</v>
      </c>
      <c r="L3358" t="s">
        <v>75</v>
      </c>
      <c r="M3358" t="s">
        <v>76</v>
      </c>
      <c r="N3358" t="s">
        <v>3205</v>
      </c>
      <c r="O3358" t="s">
        <v>82</v>
      </c>
      <c r="P3358" t="str">
        <f>"2170719026                    "</f>
        <v xml:space="preserve">2170719026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6.71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 s="4">
        <v>39.42</v>
      </c>
      <c r="BM3358" s="4">
        <v>5.91</v>
      </c>
      <c r="BN3358" s="4">
        <v>45.33</v>
      </c>
      <c r="BO3358" s="4">
        <v>45.33</v>
      </c>
      <c r="BQ3358" t="s">
        <v>121</v>
      </c>
      <c r="BR3358" t="s">
        <v>84</v>
      </c>
      <c r="BS3358" s="3">
        <v>43796</v>
      </c>
      <c r="BT3358" s="5">
        <v>0.32708333333333334</v>
      </c>
      <c r="BU3358" t="s">
        <v>3206</v>
      </c>
      <c r="BV3358" t="s">
        <v>86</v>
      </c>
      <c r="BY3358">
        <v>1200</v>
      </c>
      <c r="CA3358" t="s">
        <v>3207</v>
      </c>
      <c r="CC3358" t="s">
        <v>76</v>
      </c>
      <c r="CD3358">
        <v>1609</v>
      </c>
      <c r="CE3358" t="s">
        <v>147</v>
      </c>
      <c r="CF3358" s="3">
        <v>43797</v>
      </c>
      <c r="CI3358">
        <v>1</v>
      </c>
      <c r="CJ3358">
        <v>1</v>
      </c>
      <c r="CK3358">
        <v>22</v>
      </c>
      <c r="CL3358" t="s">
        <v>89</v>
      </c>
    </row>
    <row r="3359" spans="1:90">
      <c r="A3359" t="s">
        <v>72</v>
      </c>
      <c r="B3359" t="s">
        <v>73</v>
      </c>
      <c r="C3359" t="s">
        <v>74</v>
      </c>
      <c r="E3359" t="str">
        <f>"FES1162725204"</f>
        <v>FES1162725204</v>
      </c>
      <c r="F3359" s="3">
        <v>43795</v>
      </c>
      <c r="G3359">
        <v>202005</v>
      </c>
      <c r="H3359" t="s">
        <v>75</v>
      </c>
      <c r="I3359" t="s">
        <v>76</v>
      </c>
      <c r="J3359" t="s">
        <v>77</v>
      </c>
      <c r="K3359" t="s">
        <v>78</v>
      </c>
      <c r="L3359" t="s">
        <v>176</v>
      </c>
      <c r="M3359" t="s">
        <v>177</v>
      </c>
      <c r="N3359" t="s">
        <v>178</v>
      </c>
      <c r="O3359" t="s">
        <v>82</v>
      </c>
      <c r="P3359" t="str">
        <f>"1162725204                    "</f>
        <v xml:space="preserve">1162725204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8.58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1.8</v>
      </c>
      <c r="BJ3359">
        <v>0.9</v>
      </c>
      <c r="BK3359">
        <v>2</v>
      </c>
      <c r="BL3359" s="4">
        <v>50.45</v>
      </c>
      <c r="BM3359" s="4">
        <v>7.57</v>
      </c>
      <c r="BN3359" s="4">
        <v>58.02</v>
      </c>
      <c r="BO3359" s="4">
        <v>58.02</v>
      </c>
      <c r="BQ3359" t="s">
        <v>142</v>
      </c>
      <c r="BR3359" t="s">
        <v>84</v>
      </c>
      <c r="BS3359" s="3">
        <v>43796</v>
      </c>
      <c r="BT3359" s="5">
        <v>0.39999999999999997</v>
      </c>
      <c r="BU3359" t="s">
        <v>1053</v>
      </c>
      <c r="BV3359" t="s">
        <v>86</v>
      </c>
      <c r="BY3359">
        <v>4564.5</v>
      </c>
      <c r="CA3359" t="s">
        <v>180</v>
      </c>
      <c r="CC3359" t="s">
        <v>177</v>
      </c>
      <c r="CD3359">
        <v>3610</v>
      </c>
      <c r="CE3359" t="s">
        <v>88</v>
      </c>
      <c r="CF3359" s="3">
        <v>43797</v>
      </c>
      <c r="CI3359">
        <v>1</v>
      </c>
      <c r="CJ3359">
        <v>1</v>
      </c>
      <c r="CK3359">
        <v>21</v>
      </c>
      <c r="CL3359" t="s">
        <v>89</v>
      </c>
    </row>
    <row r="3360" spans="1:90">
      <c r="A3360" t="s">
        <v>72</v>
      </c>
      <c r="B3360" t="s">
        <v>73</v>
      </c>
      <c r="C3360" t="s">
        <v>74</v>
      </c>
      <c r="E3360" t="str">
        <f>"FES1162725223"</f>
        <v>FES1162725223</v>
      </c>
      <c r="F3360" s="3">
        <v>43795</v>
      </c>
      <c r="G3360">
        <v>202005</v>
      </c>
      <c r="H3360" t="s">
        <v>75</v>
      </c>
      <c r="I3360" t="s">
        <v>76</v>
      </c>
      <c r="J3360" t="s">
        <v>77</v>
      </c>
      <c r="K3360" t="s">
        <v>78</v>
      </c>
      <c r="L3360" t="s">
        <v>90</v>
      </c>
      <c r="M3360" t="s">
        <v>91</v>
      </c>
      <c r="N3360" t="s">
        <v>1194</v>
      </c>
      <c r="O3360" t="s">
        <v>82</v>
      </c>
      <c r="P3360" t="str">
        <f>"2170718018                    "</f>
        <v xml:space="preserve">2170718018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8.58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 s="4">
        <v>50.45</v>
      </c>
      <c r="BM3360" s="4">
        <v>7.57</v>
      </c>
      <c r="BN3360" s="4">
        <v>58.02</v>
      </c>
      <c r="BO3360" s="4">
        <v>58.02</v>
      </c>
      <c r="BR3360" t="s">
        <v>84</v>
      </c>
      <c r="BS3360" s="3">
        <v>43796</v>
      </c>
      <c r="BT3360" s="5">
        <v>0.4236111111111111</v>
      </c>
      <c r="BU3360" t="s">
        <v>3097</v>
      </c>
      <c r="BV3360" t="s">
        <v>86</v>
      </c>
      <c r="BY3360">
        <v>1200</v>
      </c>
      <c r="CA3360" t="s">
        <v>1309</v>
      </c>
      <c r="CC3360" t="s">
        <v>91</v>
      </c>
      <c r="CD3360">
        <v>7580</v>
      </c>
      <c r="CE3360" t="s">
        <v>147</v>
      </c>
      <c r="CF3360" s="3">
        <v>43797</v>
      </c>
      <c r="CI3360">
        <v>1</v>
      </c>
      <c r="CJ3360">
        <v>1</v>
      </c>
      <c r="CK3360">
        <v>21</v>
      </c>
      <c r="CL3360" t="s">
        <v>89</v>
      </c>
    </row>
    <row r="3361" spans="1:90">
      <c r="A3361" t="s">
        <v>72</v>
      </c>
      <c r="B3361" t="s">
        <v>73</v>
      </c>
      <c r="C3361" t="s">
        <v>74</v>
      </c>
      <c r="E3361" t="str">
        <f>"FES1162725285"</f>
        <v>FES1162725285</v>
      </c>
      <c r="F3361" s="3">
        <v>43795</v>
      </c>
      <c r="G3361">
        <v>202005</v>
      </c>
      <c r="H3361" t="s">
        <v>75</v>
      </c>
      <c r="I3361" t="s">
        <v>76</v>
      </c>
      <c r="J3361" t="s">
        <v>77</v>
      </c>
      <c r="K3361" t="s">
        <v>78</v>
      </c>
      <c r="L3361" t="s">
        <v>292</v>
      </c>
      <c r="M3361" t="s">
        <v>293</v>
      </c>
      <c r="N3361" t="s">
        <v>294</v>
      </c>
      <c r="O3361" t="s">
        <v>82</v>
      </c>
      <c r="P3361" t="str">
        <f>"2170719028                    "</f>
        <v xml:space="preserve">2170719028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16.63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 s="4">
        <v>97.75</v>
      </c>
      <c r="BM3361" s="4">
        <v>14.66</v>
      </c>
      <c r="BN3361" s="4">
        <v>112.41</v>
      </c>
      <c r="BO3361" s="4">
        <v>112.41</v>
      </c>
      <c r="BQ3361" t="s">
        <v>121</v>
      </c>
      <c r="BR3361" t="s">
        <v>84</v>
      </c>
      <c r="BS3361" s="3">
        <v>43796</v>
      </c>
      <c r="BT3361" s="5">
        <v>0.375</v>
      </c>
      <c r="BU3361" t="s">
        <v>3208</v>
      </c>
      <c r="BV3361" t="s">
        <v>86</v>
      </c>
      <c r="BY3361">
        <v>1200</v>
      </c>
      <c r="CA3361" t="s">
        <v>123</v>
      </c>
      <c r="CC3361" t="s">
        <v>293</v>
      </c>
      <c r="CD3361">
        <v>1947</v>
      </c>
      <c r="CE3361" t="s">
        <v>147</v>
      </c>
      <c r="CF3361" s="3">
        <v>43797</v>
      </c>
      <c r="CI3361">
        <v>1</v>
      </c>
      <c r="CJ3361">
        <v>1</v>
      </c>
      <c r="CK3361">
        <v>23</v>
      </c>
      <c r="CL3361" t="s">
        <v>89</v>
      </c>
    </row>
    <row r="3362" spans="1:90">
      <c r="A3362" t="s">
        <v>72</v>
      </c>
      <c r="B3362" t="s">
        <v>73</v>
      </c>
      <c r="C3362" t="s">
        <v>74</v>
      </c>
      <c r="E3362" t="str">
        <f>"FES1162724610"</f>
        <v>FES1162724610</v>
      </c>
      <c r="F3362" s="3">
        <v>43795</v>
      </c>
      <c r="G3362">
        <v>202005</v>
      </c>
      <c r="H3362" t="s">
        <v>75</v>
      </c>
      <c r="I3362" t="s">
        <v>76</v>
      </c>
      <c r="J3362" t="s">
        <v>77</v>
      </c>
      <c r="K3362" t="s">
        <v>78</v>
      </c>
      <c r="L3362" t="s">
        <v>202</v>
      </c>
      <c r="M3362" t="s">
        <v>203</v>
      </c>
      <c r="N3362" t="s">
        <v>3198</v>
      </c>
      <c r="O3362" t="s">
        <v>82</v>
      </c>
      <c r="P3362" t="str">
        <f>"2170716296                    "</f>
        <v xml:space="preserve">2170716296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6.71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 s="4">
        <v>39.42</v>
      </c>
      <c r="BM3362" s="4">
        <v>5.91</v>
      </c>
      <c r="BN3362" s="4">
        <v>45.33</v>
      </c>
      <c r="BO3362" s="4">
        <v>45.33</v>
      </c>
      <c r="BQ3362" t="s">
        <v>3199</v>
      </c>
      <c r="BR3362" t="s">
        <v>84</v>
      </c>
      <c r="BS3362" s="3">
        <v>43796</v>
      </c>
      <c r="BT3362" s="5">
        <v>0.37847222222222227</v>
      </c>
      <c r="BU3362" t="s">
        <v>3209</v>
      </c>
      <c r="BV3362" t="s">
        <v>86</v>
      </c>
      <c r="BY3362">
        <v>1200</v>
      </c>
      <c r="CA3362" t="s">
        <v>123</v>
      </c>
      <c r="CC3362" t="s">
        <v>203</v>
      </c>
      <c r="CD3362">
        <v>1428</v>
      </c>
      <c r="CE3362" t="s">
        <v>147</v>
      </c>
      <c r="CF3362" s="3">
        <v>43797</v>
      </c>
      <c r="CI3362">
        <v>1</v>
      </c>
      <c r="CJ3362">
        <v>1</v>
      </c>
      <c r="CK3362">
        <v>22</v>
      </c>
      <c r="CL3362" t="s">
        <v>89</v>
      </c>
    </row>
    <row r="3363" spans="1:90">
      <c r="A3363" t="s">
        <v>72</v>
      </c>
      <c r="B3363" t="s">
        <v>73</v>
      </c>
      <c r="C3363" t="s">
        <v>74</v>
      </c>
      <c r="E3363" t="str">
        <f>"FES1162725292"</f>
        <v>FES1162725292</v>
      </c>
      <c r="F3363" s="3">
        <v>43795</v>
      </c>
      <c r="G3363">
        <v>202005</v>
      </c>
      <c r="H3363" t="s">
        <v>75</v>
      </c>
      <c r="I3363" t="s">
        <v>76</v>
      </c>
      <c r="J3363" t="s">
        <v>77</v>
      </c>
      <c r="K3363" t="s">
        <v>78</v>
      </c>
      <c r="L3363" t="s">
        <v>118</v>
      </c>
      <c r="M3363" t="s">
        <v>119</v>
      </c>
      <c r="N3363" t="s">
        <v>897</v>
      </c>
      <c r="O3363" t="s">
        <v>82</v>
      </c>
      <c r="P3363" t="str">
        <f>"2170719042                    "</f>
        <v xml:space="preserve">2170719042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8.58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 s="4">
        <v>50.45</v>
      </c>
      <c r="BM3363" s="4">
        <v>7.57</v>
      </c>
      <c r="BN3363" s="4">
        <v>58.02</v>
      </c>
      <c r="BO3363" s="4">
        <v>58.02</v>
      </c>
      <c r="BQ3363" t="s">
        <v>3210</v>
      </c>
      <c r="BR3363" t="s">
        <v>84</v>
      </c>
      <c r="BS3363" s="3">
        <v>43796</v>
      </c>
      <c r="BT3363" s="5">
        <v>0.40972222222222227</v>
      </c>
      <c r="BU3363" t="s">
        <v>3211</v>
      </c>
      <c r="BV3363" t="s">
        <v>86</v>
      </c>
      <c r="BY3363">
        <v>1200</v>
      </c>
      <c r="CA3363" t="s">
        <v>171</v>
      </c>
      <c r="CC3363" t="s">
        <v>119</v>
      </c>
      <c r="CD3363">
        <v>3201</v>
      </c>
      <c r="CE3363" t="s">
        <v>147</v>
      </c>
      <c r="CF3363" s="3">
        <v>43797</v>
      </c>
      <c r="CI3363">
        <v>1</v>
      </c>
      <c r="CJ3363">
        <v>1</v>
      </c>
      <c r="CK3363">
        <v>21</v>
      </c>
      <c r="CL3363" t="s">
        <v>89</v>
      </c>
    </row>
    <row r="3364" spans="1:90">
      <c r="A3364" t="s">
        <v>72</v>
      </c>
      <c r="B3364" t="s">
        <v>73</v>
      </c>
      <c r="C3364" t="s">
        <v>74</v>
      </c>
      <c r="E3364" t="str">
        <f>"FES1162725234"</f>
        <v>FES1162725234</v>
      </c>
      <c r="F3364" s="3">
        <v>43795</v>
      </c>
      <c r="G3364">
        <v>202005</v>
      </c>
      <c r="H3364" t="s">
        <v>75</v>
      </c>
      <c r="I3364" t="s">
        <v>76</v>
      </c>
      <c r="J3364" t="s">
        <v>77</v>
      </c>
      <c r="K3364" t="s">
        <v>78</v>
      </c>
      <c r="L3364" t="s">
        <v>202</v>
      </c>
      <c r="M3364" t="s">
        <v>203</v>
      </c>
      <c r="N3364" t="s">
        <v>521</v>
      </c>
      <c r="O3364" t="s">
        <v>82</v>
      </c>
      <c r="P3364" t="str">
        <f>"1162725234                    "</f>
        <v xml:space="preserve">1162725234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22.78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7.2</v>
      </c>
      <c r="BJ3364">
        <v>11.6</v>
      </c>
      <c r="BK3364">
        <v>12</v>
      </c>
      <c r="BL3364" s="4">
        <v>133.88999999999999</v>
      </c>
      <c r="BM3364" s="4">
        <v>20.079999999999998</v>
      </c>
      <c r="BN3364" s="4">
        <v>153.97</v>
      </c>
      <c r="BO3364" s="4">
        <v>153.97</v>
      </c>
      <c r="BQ3364" t="s">
        <v>109</v>
      </c>
      <c r="BR3364" t="s">
        <v>84</v>
      </c>
      <c r="BS3364" s="3">
        <v>43796</v>
      </c>
      <c r="BT3364" s="5">
        <v>0.42708333333333331</v>
      </c>
      <c r="BU3364" t="s">
        <v>480</v>
      </c>
      <c r="BV3364" t="s">
        <v>86</v>
      </c>
      <c r="BY3364">
        <v>58170.55</v>
      </c>
      <c r="CA3364" t="s">
        <v>123</v>
      </c>
      <c r="CC3364" t="s">
        <v>203</v>
      </c>
      <c r="CD3364">
        <v>1428</v>
      </c>
      <c r="CE3364" t="s">
        <v>88</v>
      </c>
      <c r="CF3364" s="3">
        <v>43797</v>
      </c>
      <c r="CI3364">
        <v>1</v>
      </c>
      <c r="CJ3364">
        <v>1</v>
      </c>
      <c r="CK3364">
        <v>22</v>
      </c>
      <c r="CL3364" t="s">
        <v>89</v>
      </c>
    </row>
    <row r="3365" spans="1:90">
      <c r="A3365" t="s">
        <v>72</v>
      </c>
      <c r="B3365" t="s">
        <v>73</v>
      </c>
      <c r="C3365" t="s">
        <v>74</v>
      </c>
      <c r="E3365" t="str">
        <f>"FES1162725253"</f>
        <v>FES1162725253</v>
      </c>
      <c r="F3365" s="3">
        <v>43795</v>
      </c>
      <c r="G3365">
        <v>202005</v>
      </c>
      <c r="H3365" t="s">
        <v>75</v>
      </c>
      <c r="I3365" t="s">
        <v>76</v>
      </c>
      <c r="J3365" t="s">
        <v>77</v>
      </c>
      <c r="K3365" t="s">
        <v>78</v>
      </c>
      <c r="L3365" t="s">
        <v>339</v>
      </c>
      <c r="M3365" t="s">
        <v>340</v>
      </c>
      <c r="N3365" t="s">
        <v>615</v>
      </c>
      <c r="O3365" t="s">
        <v>82</v>
      </c>
      <c r="P3365" t="str">
        <f>"2170718988                    "</f>
        <v xml:space="preserve">2170718988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8.58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 s="4">
        <v>50.45</v>
      </c>
      <c r="BM3365" s="4">
        <v>7.57</v>
      </c>
      <c r="BN3365" s="4">
        <v>58.02</v>
      </c>
      <c r="BO3365" s="4">
        <v>58.02</v>
      </c>
      <c r="BR3365" t="s">
        <v>84</v>
      </c>
      <c r="BS3365" s="3">
        <v>43796</v>
      </c>
      <c r="BT3365" s="5">
        <v>0.3888888888888889</v>
      </c>
      <c r="BU3365" t="s">
        <v>3212</v>
      </c>
      <c r="BV3365" t="s">
        <v>86</v>
      </c>
      <c r="BY3365">
        <v>1200</v>
      </c>
      <c r="CA3365" t="s">
        <v>123</v>
      </c>
      <c r="CC3365" t="s">
        <v>340</v>
      </c>
      <c r="CD3365">
        <v>157</v>
      </c>
      <c r="CE3365" t="s">
        <v>147</v>
      </c>
      <c r="CF3365" s="3">
        <v>43797</v>
      </c>
      <c r="CI3365">
        <v>1</v>
      </c>
      <c r="CJ3365">
        <v>1</v>
      </c>
      <c r="CK3365">
        <v>21</v>
      </c>
      <c r="CL3365" t="s">
        <v>89</v>
      </c>
    </row>
    <row r="3366" spans="1:90">
      <c r="A3366" t="s">
        <v>72</v>
      </c>
      <c r="B3366" t="s">
        <v>73</v>
      </c>
      <c r="C3366" t="s">
        <v>74</v>
      </c>
      <c r="E3366" t="str">
        <f>"FES1162724822"</f>
        <v>FES1162724822</v>
      </c>
      <c r="F3366" s="3">
        <v>43795</v>
      </c>
      <c r="G3366">
        <v>202005</v>
      </c>
      <c r="H3366" t="s">
        <v>75</v>
      </c>
      <c r="I3366" t="s">
        <v>76</v>
      </c>
      <c r="J3366" t="s">
        <v>77</v>
      </c>
      <c r="K3366" t="s">
        <v>78</v>
      </c>
      <c r="L3366" t="s">
        <v>101</v>
      </c>
      <c r="M3366" t="s">
        <v>102</v>
      </c>
      <c r="N3366" t="s">
        <v>1782</v>
      </c>
      <c r="O3366" t="s">
        <v>82</v>
      </c>
      <c r="P3366" t="str">
        <f>"2170716674                    "</f>
        <v xml:space="preserve">2170716674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8.58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 s="4">
        <v>50.45</v>
      </c>
      <c r="BM3366" s="4">
        <v>7.57</v>
      </c>
      <c r="BN3366" s="4">
        <v>58.02</v>
      </c>
      <c r="BO3366" s="4">
        <v>58.02</v>
      </c>
      <c r="BQ3366" t="s">
        <v>1783</v>
      </c>
      <c r="BR3366" t="s">
        <v>84</v>
      </c>
      <c r="BS3366" s="3">
        <v>43796</v>
      </c>
      <c r="BT3366" s="5">
        <v>0.36458333333333331</v>
      </c>
      <c r="BU3366" t="s">
        <v>1609</v>
      </c>
      <c r="BV3366" t="s">
        <v>86</v>
      </c>
      <c r="BY3366">
        <v>1200</v>
      </c>
      <c r="CC3366" t="s">
        <v>102</v>
      </c>
      <c r="CD3366">
        <v>200</v>
      </c>
      <c r="CE3366" t="s">
        <v>147</v>
      </c>
      <c r="CF3366" s="3">
        <v>43797</v>
      </c>
      <c r="CI3366">
        <v>1</v>
      </c>
      <c r="CJ3366">
        <v>1</v>
      </c>
      <c r="CK3366">
        <v>21</v>
      </c>
      <c r="CL3366" t="s">
        <v>89</v>
      </c>
    </row>
    <row r="3367" spans="1:90">
      <c r="A3367" t="s">
        <v>72</v>
      </c>
      <c r="B3367" t="s">
        <v>73</v>
      </c>
      <c r="C3367" t="s">
        <v>74</v>
      </c>
      <c r="E3367" t="str">
        <f>"FES1162725311"</f>
        <v>FES1162725311</v>
      </c>
      <c r="F3367" s="3">
        <v>43795</v>
      </c>
      <c r="G3367">
        <v>202005</v>
      </c>
      <c r="H3367" t="s">
        <v>75</v>
      </c>
      <c r="I3367" t="s">
        <v>76</v>
      </c>
      <c r="J3367" t="s">
        <v>77</v>
      </c>
      <c r="K3367" t="s">
        <v>78</v>
      </c>
      <c r="L3367" t="s">
        <v>112</v>
      </c>
      <c r="M3367" t="s">
        <v>113</v>
      </c>
      <c r="N3367" t="s">
        <v>397</v>
      </c>
      <c r="O3367" t="s">
        <v>82</v>
      </c>
      <c r="P3367" t="str">
        <f>"2170719066                    "</f>
        <v xml:space="preserve">2170719066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8.58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 s="4">
        <v>50.45</v>
      </c>
      <c r="BM3367" s="4">
        <v>7.57</v>
      </c>
      <c r="BN3367" s="4">
        <v>58.02</v>
      </c>
      <c r="BO3367" s="4">
        <v>58.02</v>
      </c>
      <c r="BQ3367" t="s">
        <v>1076</v>
      </c>
      <c r="BR3367" t="s">
        <v>84</v>
      </c>
      <c r="BS3367" s="3">
        <v>43796</v>
      </c>
      <c r="BT3367" s="5">
        <v>0.38194444444444442</v>
      </c>
      <c r="BU3367" t="s">
        <v>3128</v>
      </c>
      <c r="BV3367" t="s">
        <v>86</v>
      </c>
      <c r="BY3367">
        <v>1200</v>
      </c>
      <c r="CA3367" t="s">
        <v>163</v>
      </c>
      <c r="CC3367" t="s">
        <v>113</v>
      </c>
      <c r="CD3367">
        <v>4051</v>
      </c>
      <c r="CE3367" t="s">
        <v>147</v>
      </c>
      <c r="CF3367" s="3">
        <v>43797</v>
      </c>
      <c r="CI3367">
        <v>1</v>
      </c>
      <c r="CJ3367">
        <v>1</v>
      </c>
      <c r="CK3367">
        <v>21</v>
      </c>
      <c r="CL3367" t="s">
        <v>89</v>
      </c>
    </row>
    <row r="3368" spans="1:90">
      <c r="A3368" t="s">
        <v>72</v>
      </c>
      <c r="B3368" t="s">
        <v>73</v>
      </c>
      <c r="C3368" t="s">
        <v>74</v>
      </c>
      <c r="E3368" t="str">
        <f>"FES1162725049"</f>
        <v>FES1162725049</v>
      </c>
      <c r="F3368" s="3">
        <v>43795</v>
      </c>
      <c r="G3368">
        <v>202005</v>
      </c>
      <c r="H3368" t="s">
        <v>75</v>
      </c>
      <c r="I3368" t="s">
        <v>76</v>
      </c>
      <c r="J3368" t="s">
        <v>77</v>
      </c>
      <c r="K3368" t="s">
        <v>78</v>
      </c>
      <c r="L3368" t="s">
        <v>106</v>
      </c>
      <c r="M3368" t="s">
        <v>107</v>
      </c>
      <c r="N3368" t="s">
        <v>262</v>
      </c>
      <c r="O3368" t="s">
        <v>82</v>
      </c>
      <c r="P3368" t="str">
        <f>"2170718798                    "</f>
        <v xml:space="preserve">2170718798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17.16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3.9</v>
      </c>
      <c r="BJ3368">
        <v>3.1</v>
      </c>
      <c r="BK3368">
        <v>4</v>
      </c>
      <c r="BL3368" s="4">
        <v>100.87</v>
      </c>
      <c r="BM3368" s="4">
        <v>15.13</v>
      </c>
      <c r="BN3368" s="4">
        <v>116</v>
      </c>
      <c r="BO3368" s="4">
        <v>116</v>
      </c>
      <c r="BQ3368" t="s">
        <v>2734</v>
      </c>
      <c r="BR3368" t="s">
        <v>84</v>
      </c>
      <c r="BS3368" s="3">
        <v>43796</v>
      </c>
      <c r="BT3368" s="5">
        <v>0.34722222222222227</v>
      </c>
      <c r="BU3368" t="s">
        <v>1687</v>
      </c>
      <c r="BV3368" t="s">
        <v>86</v>
      </c>
      <c r="BY3368">
        <v>15321.6</v>
      </c>
      <c r="CA3368" t="s">
        <v>2227</v>
      </c>
      <c r="CC3368" t="s">
        <v>107</v>
      </c>
      <c r="CD3368">
        <v>6045</v>
      </c>
      <c r="CE3368" t="s">
        <v>1598</v>
      </c>
      <c r="CF3368" s="3">
        <v>43797</v>
      </c>
      <c r="CI3368">
        <v>1</v>
      </c>
      <c r="CJ3368">
        <v>1</v>
      </c>
      <c r="CK3368">
        <v>21</v>
      </c>
      <c r="CL3368" t="s">
        <v>89</v>
      </c>
    </row>
    <row r="3369" spans="1:90">
      <c r="A3369" t="s">
        <v>72</v>
      </c>
      <c r="B3369" t="s">
        <v>73</v>
      </c>
      <c r="C3369" t="s">
        <v>74</v>
      </c>
      <c r="E3369" t="str">
        <f>"FES1162725319"</f>
        <v>FES1162725319</v>
      </c>
      <c r="F3369" s="3">
        <v>43795</v>
      </c>
      <c r="G3369">
        <v>202005</v>
      </c>
      <c r="H3369" t="s">
        <v>75</v>
      </c>
      <c r="I3369" t="s">
        <v>76</v>
      </c>
      <c r="J3369" t="s">
        <v>77</v>
      </c>
      <c r="K3369" t="s">
        <v>78</v>
      </c>
      <c r="L3369" t="s">
        <v>225</v>
      </c>
      <c r="M3369" t="s">
        <v>226</v>
      </c>
      <c r="N3369" t="s">
        <v>1977</v>
      </c>
      <c r="O3369" t="s">
        <v>82</v>
      </c>
      <c r="P3369" t="str">
        <f>"2170719083                    "</f>
        <v xml:space="preserve">2170719083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8.58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 s="4">
        <v>50.45</v>
      </c>
      <c r="BM3369" s="4">
        <v>7.57</v>
      </c>
      <c r="BN3369" s="4">
        <v>58.02</v>
      </c>
      <c r="BO3369" s="4">
        <v>58.02</v>
      </c>
      <c r="BQ3369" t="s">
        <v>337</v>
      </c>
      <c r="BR3369" t="s">
        <v>84</v>
      </c>
      <c r="BS3369" s="3">
        <v>43796</v>
      </c>
      <c r="BT3369" s="5">
        <v>0.38263888888888892</v>
      </c>
      <c r="BU3369" t="s">
        <v>2134</v>
      </c>
      <c r="BV3369" t="s">
        <v>86</v>
      </c>
      <c r="BY3369">
        <v>1200</v>
      </c>
      <c r="CA3369" t="s">
        <v>255</v>
      </c>
      <c r="CC3369" t="s">
        <v>226</v>
      </c>
      <c r="CD3369">
        <v>4026</v>
      </c>
      <c r="CE3369" t="s">
        <v>147</v>
      </c>
      <c r="CF3369" s="3">
        <v>43797</v>
      </c>
      <c r="CI3369">
        <v>1</v>
      </c>
      <c r="CJ3369">
        <v>1</v>
      </c>
      <c r="CK3369">
        <v>21</v>
      </c>
      <c r="CL3369" t="s">
        <v>89</v>
      </c>
    </row>
    <row r="3370" spans="1:90">
      <c r="A3370" t="s">
        <v>72</v>
      </c>
      <c r="B3370" t="s">
        <v>73</v>
      </c>
      <c r="C3370" t="s">
        <v>74</v>
      </c>
      <c r="E3370" t="str">
        <f>"FES1162725310"</f>
        <v>FES1162725310</v>
      </c>
      <c r="F3370" s="3">
        <v>43795</v>
      </c>
      <c r="G3370">
        <v>202005</v>
      </c>
      <c r="H3370" t="s">
        <v>75</v>
      </c>
      <c r="I3370" t="s">
        <v>76</v>
      </c>
      <c r="J3370" t="s">
        <v>77</v>
      </c>
      <c r="K3370" t="s">
        <v>78</v>
      </c>
      <c r="L3370" t="s">
        <v>124</v>
      </c>
      <c r="M3370" t="s">
        <v>125</v>
      </c>
      <c r="N3370" t="s">
        <v>2044</v>
      </c>
      <c r="O3370" t="s">
        <v>82</v>
      </c>
      <c r="P3370" t="str">
        <f>"2170719065                    "</f>
        <v xml:space="preserve">2170719065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6.71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 s="4">
        <v>39.42</v>
      </c>
      <c r="BM3370" s="4">
        <v>5.91</v>
      </c>
      <c r="BN3370" s="4">
        <v>45.33</v>
      </c>
      <c r="BO3370" s="4">
        <v>45.33</v>
      </c>
      <c r="BQ3370" t="s">
        <v>121</v>
      </c>
      <c r="BR3370" t="s">
        <v>84</v>
      </c>
      <c r="BS3370" s="3">
        <v>43796</v>
      </c>
      <c r="BT3370" s="5">
        <v>0.33333333333333331</v>
      </c>
      <c r="BU3370" t="s">
        <v>2045</v>
      </c>
      <c r="BV3370" t="s">
        <v>86</v>
      </c>
      <c r="BY3370">
        <v>1200</v>
      </c>
      <c r="CA3370" t="s">
        <v>797</v>
      </c>
      <c r="CC3370" t="s">
        <v>125</v>
      </c>
      <c r="CD3370">
        <v>2000</v>
      </c>
      <c r="CE3370" t="s">
        <v>147</v>
      </c>
      <c r="CF3370" s="3">
        <v>43797</v>
      </c>
      <c r="CI3370">
        <v>1</v>
      </c>
      <c r="CJ3370">
        <v>1</v>
      </c>
      <c r="CK3370">
        <v>22</v>
      </c>
      <c r="CL3370" t="s">
        <v>89</v>
      </c>
    </row>
    <row r="3371" spans="1:90">
      <c r="A3371" t="s">
        <v>72</v>
      </c>
      <c r="B3371" t="s">
        <v>73</v>
      </c>
      <c r="C3371" t="s">
        <v>74</v>
      </c>
      <c r="E3371" t="str">
        <f>"FES1162725217"</f>
        <v>FES1162725217</v>
      </c>
      <c r="F3371" s="3">
        <v>43795</v>
      </c>
      <c r="G3371">
        <v>202005</v>
      </c>
      <c r="H3371" t="s">
        <v>75</v>
      </c>
      <c r="I3371" t="s">
        <v>76</v>
      </c>
      <c r="J3371" t="s">
        <v>77</v>
      </c>
      <c r="K3371" t="s">
        <v>78</v>
      </c>
      <c r="L3371" t="s">
        <v>90</v>
      </c>
      <c r="M3371" t="s">
        <v>91</v>
      </c>
      <c r="N3371" t="s">
        <v>1194</v>
      </c>
      <c r="O3371" t="s">
        <v>82</v>
      </c>
      <c r="P3371" t="str">
        <f>"2170716570                    "</f>
        <v xml:space="preserve">2170716570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19.3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2</v>
      </c>
      <c r="BI3371">
        <v>4.3</v>
      </c>
      <c r="BJ3371">
        <v>2.1</v>
      </c>
      <c r="BK3371">
        <v>4.5</v>
      </c>
      <c r="BL3371" s="4">
        <v>113.47</v>
      </c>
      <c r="BM3371" s="4">
        <v>17.02</v>
      </c>
      <c r="BN3371" s="4">
        <v>130.49</v>
      </c>
      <c r="BO3371" s="4">
        <v>130.49</v>
      </c>
      <c r="BR3371" t="s">
        <v>84</v>
      </c>
      <c r="BS3371" s="3">
        <v>43796</v>
      </c>
      <c r="BT3371" s="5">
        <v>0.4236111111111111</v>
      </c>
      <c r="BU3371" t="s">
        <v>3097</v>
      </c>
      <c r="BV3371" t="s">
        <v>86</v>
      </c>
      <c r="BY3371">
        <v>10268.86</v>
      </c>
      <c r="CA3371" t="s">
        <v>1309</v>
      </c>
      <c r="CC3371" t="s">
        <v>91</v>
      </c>
      <c r="CD3371">
        <v>7580</v>
      </c>
      <c r="CE3371" t="s">
        <v>3213</v>
      </c>
      <c r="CF3371" s="3">
        <v>43797</v>
      </c>
      <c r="CI3371">
        <v>1</v>
      </c>
      <c r="CJ3371">
        <v>1</v>
      </c>
      <c r="CK3371">
        <v>21</v>
      </c>
      <c r="CL3371" t="s">
        <v>89</v>
      </c>
    </row>
    <row r="3372" spans="1:90">
      <c r="A3372" t="s">
        <v>72</v>
      </c>
      <c r="B3372" t="s">
        <v>73</v>
      </c>
      <c r="C3372" t="s">
        <v>74</v>
      </c>
      <c r="E3372" t="str">
        <f>"FES1162725244"</f>
        <v>FES1162725244</v>
      </c>
      <c r="F3372" s="3">
        <v>43795</v>
      </c>
      <c r="G3372">
        <v>202005</v>
      </c>
      <c r="H3372" t="s">
        <v>75</v>
      </c>
      <c r="I3372" t="s">
        <v>76</v>
      </c>
      <c r="J3372" t="s">
        <v>77</v>
      </c>
      <c r="K3372" t="s">
        <v>78</v>
      </c>
      <c r="L3372" t="s">
        <v>106</v>
      </c>
      <c r="M3372" t="s">
        <v>107</v>
      </c>
      <c r="N3372" t="s">
        <v>262</v>
      </c>
      <c r="O3372" t="s">
        <v>82</v>
      </c>
      <c r="P3372" t="str">
        <f>"1162725244                    "</f>
        <v xml:space="preserve">1162725244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8.58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0.7</v>
      </c>
      <c r="BJ3372">
        <v>1.2</v>
      </c>
      <c r="BK3372">
        <v>1.5</v>
      </c>
      <c r="BL3372" s="4">
        <v>50.45</v>
      </c>
      <c r="BM3372" s="4">
        <v>7.57</v>
      </c>
      <c r="BN3372" s="4">
        <v>58.02</v>
      </c>
      <c r="BO3372" s="4">
        <v>58.02</v>
      </c>
      <c r="BQ3372" t="s">
        <v>2734</v>
      </c>
      <c r="BR3372" t="s">
        <v>84</v>
      </c>
      <c r="BS3372" s="3">
        <v>43796</v>
      </c>
      <c r="BT3372" s="5">
        <v>0.31875000000000003</v>
      </c>
      <c r="BU3372" t="s">
        <v>2143</v>
      </c>
      <c r="BV3372" t="s">
        <v>86</v>
      </c>
      <c r="BY3372">
        <v>5976.79</v>
      </c>
      <c r="CA3372" t="s">
        <v>1247</v>
      </c>
      <c r="CC3372" t="s">
        <v>107</v>
      </c>
      <c r="CD3372">
        <v>6045</v>
      </c>
      <c r="CE3372" t="s">
        <v>88</v>
      </c>
      <c r="CF3372" s="3">
        <v>43797</v>
      </c>
      <c r="CI3372">
        <v>1</v>
      </c>
      <c r="CJ3372">
        <v>1</v>
      </c>
      <c r="CK3372">
        <v>21</v>
      </c>
      <c r="CL3372" t="s">
        <v>89</v>
      </c>
    </row>
    <row r="3373" spans="1:90">
      <c r="A3373" t="s">
        <v>72</v>
      </c>
      <c r="B3373" t="s">
        <v>73</v>
      </c>
      <c r="C3373" t="s">
        <v>74</v>
      </c>
      <c r="E3373" t="str">
        <f>"FES1162725227"</f>
        <v>FES1162725227</v>
      </c>
      <c r="F3373" s="3">
        <v>43795</v>
      </c>
      <c r="G3373">
        <v>202005</v>
      </c>
      <c r="H3373" t="s">
        <v>75</v>
      </c>
      <c r="I3373" t="s">
        <v>76</v>
      </c>
      <c r="J3373" t="s">
        <v>77</v>
      </c>
      <c r="K3373" t="s">
        <v>78</v>
      </c>
      <c r="L3373" t="s">
        <v>90</v>
      </c>
      <c r="M3373" t="s">
        <v>91</v>
      </c>
      <c r="N3373" t="s">
        <v>1617</v>
      </c>
      <c r="O3373" t="s">
        <v>82</v>
      </c>
      <c r="P3373" t="str">
        <f>"2170718770                    "</f>
        <v xml:space="preserve">2170718770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8.58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 s="4">
        <v>50.45</v>
      </c>
      <c r="BM3373" s="4">
        <v>7.57</v>
      </c>
      <c r="BN3373" s="4">
        <v>58.02</v>
      </c>
      <c r="BO3373" s="4">
        <v>58.02</v>
      </c>
      <c r="BQ3373" t="s">
        <v>187</v>
      </c>
      <c r="BR3373" t="s">
        <v>84</v>
      </c>
      <c r="BS3373" s="3">
        <v>43796</v>
      </c>
      <c r="BT3373" s="5">
        <v>0.4236111111111111</v>
      </c>
      <c r="BU3373" t="s">
        <v>3097</v>
      </c>
      <c r="BV3373" t="s">
        <v>86</v>
      </c>
      <c r="BY3373">
        <v>1200</v>
      </c>
      <c r="CA3373" t="s">
        <v>1309</v>
      </c>
      <c r="CC3373" t="s">
        <v>91</v>
      </c>
      <c r="CD3373">
        <v>7580</v>
      </c>
      <c r="CE3373" t="s">
        <v>147</v>
      </c>
      <c r="CF3373" s="3">
        <v>43797</v>
      </c>
      <c r="CI3373">
        <v>1</v>
      </c>
      <c r="CJ3373">
        <v>1</v>
      </c>
      <c r="CK3373">
        <v>21</v>
      </c>
      <c r="CL3373" t="s">
        <v>89</v>
      </c>
    </row>
    <row r="3374" spans="1:90">
      <c r="A3374" t="s">
        <v>72</v>
      </c>
      <c r="B3374" t="s">
        <v>73</v>
      </c>
      <c r="C3374" t="s">
        <v>74</v>
      </c>
      <c r="E3374" t="str">
        <f>"FES1162725298"</f>
        <v>FES1162725298</v>
      </c>
      <c r="F3374" s="3">
        <v>43795</v>
      </c>
      <c r="G3374">
        <v>202005</v>
      </c>
      <c r="H3374" t="s">
        <v>75</v>
      </c>
      <c r="I3374" t="s">
        <v>76</v>
      </c>
      <c r="J3374" t="s">
        <v>77</v>
      </c>
      <c r="K3374" t="s">
        <v>78</v>
      </c>
      <c r="L3374" t="s">
        <v>112</v>
      </c>
      <c r="M3374" t="s">
        <v>113</v>
      </c>
      <c r="N3374" t="s">
        <v>160</v>
      </c>
      <c r="O3374" t="s">
        <v>82</v>
      </c>
      <c r="P3374" t="str">
        <f>"1162725298                    "</f>
        <v xml:space="preserve">1162725298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17.16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3.6</v>
      </c>
      <c r="BJ3374">
        <v>2.9</v>
      </c>
      <c r="BK3374">
        <v>4</v>
      </c>
      <c r="BL3374" s="4">
        <v>100.87</v>
      </c>
      <c r="BM3374" s="4">
        <v>15.13</v>
      </c>
      <c r="BN3374" s="4">
        <v>116</v>
      </c>
      <c r="BO3374" s="4">
        <v>116</v>
      </c>
      <c r="BQ3374" t="s">
        <v>161</v>
      </c>
      <c r="BR3374" t="s">
        <v>84</v>
      </c>
      <c r="BS3374" s="3">
        <v>43796</v>
      </c>
      <c r="BT3374" s="5">
        <v>0.36388888888888887</v>
      </c>
      <c r="BU3374" t="s">
        <v>162</v>
      </c>
      <c r="BV3374" t="s">
        <v>86</v>
      </c>
      <c r="BY3374">
        <v>14470.4</v>
      </c>
      <c r="CA3374" t="s">
        <v>163</v>
      </c>
      <c r="CC3374" t="s">
        <v>113</v>
      </c>
      <c r="CD3374">
        <v>4000</v>
      </c>
      <c r="CE3374" t="s">
        <v>1598</v>
      </c>
      <c r="CF3374" s="3">
        <v>43797</v>
      </c>
      <c r="CI3374">
        <v>1</v>
      </c>
      <c r="CJ3374">
        <v>1</v>
      </c>
      <c r="CK3374">
        <v>21</v>
      </c>
      <c r="CL3374" t="s">
        <v>89</v>
      </c>
    </row>
    <row r="3375" spans="1:90">
      <c r="A3375" t="s">
        <v>72</v>
      </c>
      <c r="B3375" t="s">
        <v>73</v>
      </c>
      <c r="C3375" t="s">
        <v>74</v>
      </c>
      <c r="E3375" t="str">
        <f>"FES1162724753"</f>
        <v>FES1162724753</v>
      </c>
      <c r="F3375" s="3">
        <v>43795</v>
      </c>
      <c r="G3375">
        <v>202005</v>
      </c>
      <c r="H3375" t="s">
        <v>75</v>
      </c>
      <c r="I3375" t="s">
        <v>76</v>
      </c>
      <c r="J3375" t="s">
        <v>77</v>
      </c>
      <c r="K3375" t="s">
        <v>78</v>
      </c>
      <c r="L3375" t="s">
        <v>270</v>
      </c>
      <c r="M3375" t="s">
        <v>271</v>
      </c>
      <c r="N3375" t="s">
        <v>779</v>
      </c>
      <c r="O3375" t="s">
        <v>82</v>
      </c>
      <c r="P3375" t="str">
        <f>"1162724753                    "</f>
        <v xml:space="preserve">1162724753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45.04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2</v>
      </c>
      <c r="BI3375">
        <v>10.4</v>
      </c>
      <c r="BJ3375">
        <v>6.5</v>
      </c>
      <c r="BK3375">
        <v>10.5</v>
      </c>
      <c r="BL3375" s="4">
        <v>264.73</v>
      </c>
      <c r="BM3375" s="4">
        <v>39.71</v>
      </c>
      <c r="BN3375" s="4">
        <v>304.44</v>
      </c>
      <c r="BO3375" s="4">
        <v>304.44</v>
      </c>
      <c r="BQ3375" t="s">
        <v>2301</v>
      </c>
      <c r="BR3375" t="s">
        <v>84</v>
      </c>
      <c r="BS3375" s="3">
        <v>43796</v>
      </c>
      <c r="BT3375" s="5">
        <v>0.39513888888888887</v>
      </c>
      <c r="BU3375" t="s">
        <v>274</v>
      </c>
      <c r="BV3375" t="s">
        <v>86</v>
      </c>
      <c r="BY3375">
        <v>32620.7</v>
      </c>
      <c r="CA3375" t="s">
        <v>773</v>
      </c>
      <c r="CC3375" t="s">
        <v>271</v>
      </c>
      <c r="CD3375">
        <v>6220</v>
      </c>
      <c r="CE3375" t="s">
        <v>3214</v>
      </c>
      <c r="CF3375" s="3">
        <v>43797</v>
      </c>
      <c r="CI3375">
        <v>1</v>
      </c>
      <c r="CJ3375">
        <v>1</v>
      </c>
      <c r="CK3375">
        <v>21</v>
      </c>
      <c r="CL3375" t="s">
        <v>89</v>
      </c>
    </row>
    <row r="3376" spans="1:90">
      <c r="A3376" t="s">
        <v>72</v>
      </c>
      <c r="B3376" t="s">
        <v>73</v>
      </c>
      <c r="C3376" t="s">
        <v>74</v>
      </c>
      <c r="E3376" t="str">
        <f>"FES1162725308"</f>
        <v>FES1162725308</v>
      </c>
      <c r="F3376" s="3">
        <v>43795</v>
      </c>
      <c r="G3376">
        <v>202005</v>
      </c>
      <c r="H3376" t="s">
        <v>75</v>
      </c>
      <c r="I3376" t="s">
        <v>76</v>
      </c>
      <c r="J3376" t="s">
        <v>77</v>
      </c>
      <c r="K3376" t="s">
        <v>78</v>
      </c>
      <c r="L3376" t="s">
        <v>176</v>
      </c>
      <c r="M3376" t="s">
        <v>177</v>
      </c>
      <c r="N3376" t="s">
        <v>419</v>
      </c>
      <c r="O3376" t="s">
        <v>82</v>
      </c>
      <c r="P3376" t="str">
        <f>"1162725308                    "</f>
        <v xml:space="preserve">1162725308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8.58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1.4</v>
      </c>
      <c r="BJ3376">
        <v>0.8</v>
      </c>
      <c r="BK3376">
        <v>1.5</v>
      </c>
      <c r="BL3376" s="4">
        <v>50.45</v>
      </c>
      <c r="BM3376" s="4">
        <v>7.57</v>
      </c>
      <c r="BN3376" s="4">
        <v>58.02</v>
      </c>
      <c r="BO3376" s="4">
        <v>58.02</v>
      </c>
      <c r="BQ3376" t="s">
        <v>109</v>
      </c>
      <c r="BR3376" t="s">
        <v>84</v>
      </c>
      <c r="BS3376" s="3">
        <v>43796</v>
      </c>
      <c r="BT3376" s="5">
        <v>0.42152777777777778</v>
      </c>
      <c r="BU3376" t="s">
        <v>3148</v>
      </c>
      <c r="BV3376" t="s">
        <v>86</v>
      </c>
      <c r="BY3376">
        <v>4212.03</v>
      </c>
      <c r="CA3376" t="s">
        <v>2786</v>
      </c>
      <c r="CC3376" t="s">
        <v>177</v>
      </c>
      <c r="CD3376">
        <v>3620</v>
      </c>
      <c r="CE3376" t="s">
        <v>1598</v>
      </c>
      <c r="CF3376" s="3">
        <v>43797</v>
      </c>
      <c r="CI3376">
        <v>1</v>
      </c>
      <c r="CJ3376">
        <v>1</v>
      </c>
      <c r="CK3376">
        <v>21</v>
      </c>
      <c r="CL3376" t="s">
        <v>89</v>
      </c>
    </row>
    <row r="3377" spans="1:90">
      <c r="A3377" t="s">
        <v>72</v>
      </c>
      <c r="B3377" t="s">
        <v>73</v>
      </c>
      <c r="C3377" t="s">
        <v>74</v>
      </c>
      <c r="E3377" t="str">
        <f>"FES1162725307"</f>
        <v>FES1162725307</v>
      </c>
      <c r="F3377" s="3">
        <v>43795</v>
      </c>
      <c r="G3377">
        <v>202005</v>
      </c>
      <c r="H3377" t="s">
        <v>75</v>
      </c>
      <c r="I3377" t="s">
        <v>76</v>
      </c>
      <c r="J3377" t="s">
        <v>77</v>
      </c>
      <c r="K3377" t="s">
        <v>78</v>
      </c>
      <c r="L3377" t="s">
        <v>106</v>
      </c>
      <c r="M3377" t="s">
        <v>107</v>
      </c>
      <c r="N3377" t="s">
        <v>574</v>
      </c>
      <c r="O3377" t="s">
        <v>82</v>
      </c>
      <c r="P3377" t="str">
        <f>"2170719062                    "</f>
        <v xml:space="preserve">2170719062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8.58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 s="4">
        <v>50.45</v>
      </c>
      <c r="BM3377" s="4">
        <v>7.57</v>
      </c>
      <c r="BN3377" s="4">
        <v>58.02</v>
      </c>
      <c r="BO3377" s="4">
        <v>58.02</v>
      </c>
      <c r="BQ3377" t="s">
        <v>142</v>
      </c>
      <c r="BR3377" t="s">
        <v>84</v>
      </c>
      <c r="BS3377" s="3">
        <v>43796</v>
      </c>
      <c r="BT3377" s="5">
        <v>0.3979166666666667</v>
      </c>
      <c r="BU3377" t="s">
        <v>2969</v>
      </c>
      <c r="BV3377" t="s">
        <v>86</v>
      </c>
      <c r="BY3377">
        <v>1200</v>
      </c>
      <c r="CA3377" t="s">
        <v>773</v>
      </c>
      <c r="CC3377" t="s">
        <v>107</v>
      </c>
      <c r="CD3377">
        <v>6012</v>
      </c>
      <c r="CE3377" t="s">
        <v>147</v>
      </c>
      <c r="CF3377" s="3">
        <v>43797</v>
      </c>
      <c r="CI3377">
        <v>1</v>
      </c>
      <c r="CJ3377">
        <v>1</v>
      </c>
      <c r="CK3377">
        <v>21</v>
      </c>
      <c r="CL3377" t="s">
        <v>89</v>
      </c>
    </row>
    <row r="3378" spans="1:90">
      <c r="A3378" t="s">
        <v>72</v>
      </c>
      <c r="B3378" t="s">
        <v>73</v>
      </c>
      <c r="C3378" t="s">
        <v>74</v>
      </c>
      <c r="E3378" t="str">
        <f>"FES1162725291"</f>
        <v>FES1162725291</v>
      </c>
      <c r="F3378" s="3">
        <v>43795</v>
      </c>
      <c r="G3378">
        <v>202005</v>
      </c>
      <c r="H3378" t="s">
        <v>75</v>
      </c>
      <c r="I3378" t="s">
        <v>76</v>
      </c>
      <c r="J3378" t="s">
        <v>77</v>
      </c>
      <c r="K3378" t="s">
        <v>78</v>
      </c>
      <c r="L3378" t="s">
        <v>270</v>
      </c>
      <c r="M3378" t="s">
        <v>271</v>
      </c>
      <c r="N3378" t="s">
        <v>618</v>
      </c>
      <c r="O3378" t="s">
        <v>82</v>
      </c>
      <c r="P3378" t="str">
        <f>"2170719041                    "</f>
        <v xml:space="preserve">2170719041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8.58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 s="4">
        <v>50.45</v>
      </c>
      <c r="BM3378" s="4">
        <v>7.57</v>
      </c>
      <c r="BN3378" s="4">
        <v>58.02</v>
      </c>
      <c r="BO3378" s="4">
        <v>58.02</v>
      </c>
      <c r="BQ3378" t="s">
        <v>121</v>
      </c>
      <c r="BR3378" t="s">
        <v>84</v>
      </c>
      <c r="BS3378" s="3">
        <v>43796</v>
      </c>
      <c r="BT3378" s="5">
        <v>0.39027777777777778</v>
      </c>
      <c r="BU3378" t="s">
        <v>619</v>
      </c>
      <c r="BV3378" t="s">
        <v>86</v>
      </c>
      <c r="BY3378">
        <v>1200</v>
      </c>
      <c r="CA3378" t="s">
        <v>773</v>
      </c>
      <c r="CC3378" t="s">
        <v>271</v>
      </c>
      <c r="CD3378">
        <v>6220</v>
      </c>
      <c r="CE3378" t="s">
        <v>147</v>
      </c>
      <c r="CF3378" s="3">
        <v>43797</v>
      </c>
      <c r="CI3378">
        <v>1</v>
      </c>
      <c r="CJ3378">
        <v>1</v>
      </c>
      <c r="CK3378">
        <v>21</v>
      </c>
      <c r="CL3378" t="s">
        <v>89</v>
      </c>
    </row>
    <row r="3379" spans="1:90">
      <c r="A3379" t="s">
        <v>72</v>
      </c>
      <c r="B3379" t="s">
        <v>73</v>
      </c>
      <c r="C3379" t="s">
        <v>74</v>
      </c>
      <c r="E3379" t="str">
        <f>"FES1162725275"</f>
        <v>FES1162725275</v>
      </c>
      <c r="F3379" s="3">
        <v>43795</v>
      </c>
      <c r="G3379">
        <v>202005</v>
      </c>
      <c r="H3379" t="s">
        <v>75</v>
      </c>
      <c r="I3379" t="s">
        <v>76</v>
      </c>
      <c r="J3379" t="s">
        <v>77</v>
      </c>
      <c r="K3379" t="s">
        <v>78</v>
      </c>
      <c r="L3379" t="s">
        <v>1172</v>
      </c>
      <c r="M3379" t="s">
        <v>1173</v>
      </c>
      <c r="N3379" t="s">
        <v>1174</v>
      </c>
      <c r="O3379" t="s">
        <v>82</v>
      </c>
      <c r="P3379" t="str">
        <f>"2170719017                    "</f>
        <v xml:space="preserve">2170719017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16.63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 s="4">
        <v>97.75</v>
      </c>
      <c r="BM3379" s="4">
        <v>14.66</v>
      </c>
      <c r="BN3379" s="4">
        <v>112.41</v>
      </c>
      <c r="BO3379" s="4">
        <v>112.41</v>
      </c>
      <c r="BQ3379" t="s">
        <v>121</v>
      </c>
      <c r="BR3379" t="s">
        <v>84</v>
      </c>
      <c r="BS3379" s="3">
        <v>43796</v>
      </c>
      <c r="BT3379" s="5">
        <v>0.375</v>
      </c>
      <c r="BU3379" t="s">
        <v>3215</v>
      </c>
      <c r="BV3379" t="s">
        <v>86</v>
      </c>
      <c r="BY3379">
        <v>1200</v>
      </c>
      <c r="CA3379" t="s">
        <v>1176</v>
      </c>
      <c r="CC3379" t="s">
        <v>1173</v>
      </c>
      <c r="CD3379">
        <v>9830</v>
      </c>
      <c r="CE3379" t="s">
        <v>147</v>
      </c>
      <c r="CF3379" s="3">
        <v>43798</v>
      </c>
      <c r="CI3379">
        <v>1</v>
      </c>
      <c r="CJ3379">
        <v>1</v>
      </c>
      <c r="CK3379">
        <v>23</v>
      </c>
      <c r="CL3379" t="s">
        <v>89</v>
      </c>
    </row>
    <row r="3380" spans="1:90">
      <c r="A3380" t="s">
        <v>72</v>
      </c>
      <c r="B3380" t="s">
        <v>73</v>
      </c>
      <c r="C3380" t="s">
        <v>74</v>
      </c>
      <c r="E3380" t="str">
        <f>"FES1162725301"</f>
        <v>FES1162725301</v>
      </c>
      <c r="F3380" s="3">
        <v>43795</v>
      </c>
      <c r="G3380">
        <v>202005</v>
      </c>
      <c r="H3380" t="s">
        <v>75</v>
      </c>
      <c r="I3380" t="s">
        <v>76</v>
      </c>
      <c r="J3380" t="s">
        <v>77</v>
      </c>
      <c r="K3380" t="s">
        <v>78</v>
      </c>
      <c r="L3380" t="s">
        <v>75</v>
      </c>
      <c r="M3380" t="s">
        <v>76</v>
      </c>
      <c r="N3380" t="s">
        <v>3216</v>
      </c>
      <c r="O3380" t="s">
        <v>82</v>
      </c>
      <c r="P3380" t="str">
        <f>"2170719054                    "</f>
        <v xml:space="preserve">2170719054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6.71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 s="4">
        <v>39.42</v>
      </c>
      <c r="BM3380" s="4">
        <v>5.91</v>
      </c>
      <c r="BN3380" s="4">
        <v>45.33</v>
      </c>
      <c r="BO3380" s="4">
        <v>45.33</v>
      </c>
      <c r="BR3380" t="s">
        <v>84</v>
      </c>
      <c r="BS3380" s="3">
        <v>43796</v>
      </c>
      <c r="BT3380" s="5">
        <v>0.36736111111111108</v>
      </c>
      <c r="BU3380" t="s">
        <v>3217</v>
      </c>
      <c r="BV3380" t="s">
        <v>86</v>
      </c>
      <c r="BY3380">
        <v>1200</v>
      </c>
      <c r="CA3380" t="s">
        <v>3207</v>
      </c>
      <c r="CC3380" t="s">
        <v>76</v>
      </c>
      <c r="CD3380">
        <v>1609</v>
      </c>
      <c r="CE3380" t="s">
        <v>147</v>
      </c>
      <c r="CF3380" s="3">
        <v>43797</v>
      </c>
      <c r="CI3380">
        <v>1</v>
      </c>
      <c r="CJ3380">
        <v>1</v>
      </c>
      <c r="CK3380">
        <v>22</v>
      </c>
      <c r="CL3380" t="s">
        <v>89</v>
      </c>
    </row>
    <row r="3381" spans="1:90">
      <c r="A3381" t="s">
        <v>72</v>
      </c>
      <c r="B3381" t="s">
        <v>73</v>
      </c>
      <c r="C3381" t="s">
        <v>74</v>
      </c>
      <c r="E3381" t="str">
        <f>"FES1162725279"</f>
        <v>FES1162725279</v>
      </c>
      <c r="F3381" s="3">
        <v>43795</v>
      </c>
      <c r="G3381">
        <v>202005</v>
      </c>
      <c r="H3381" t="s">
        <v>75</v>
      </c>
      <c r="I3381" t="s">
        <v>76</v>
      </c>
      <c r="J3381" t="s">
        <v>77</v>
      </c>
      <c r="K3381" t="s">
        <v>78</v>
      </c>
      <c r="L3381" t="s">
        <v>482</v>
      </c>
      <c r="M3381" t="s">
        <v>483</v>
      </c>
      <c r="N3381" t="s">
        <v>2684</v>
      </c>
      <c r="O3381" t="s">
        <v>82</v>
      </c>
      <c r="P3381" t="str">
        <f>"2170719019                    "</f>
        <v xml:space="preserve">2170719019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6.71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 s="4">
        <v>39.42</v>
      </c>
      <c r="BM3381" s="4">
        <v>5.91</v>
      </c>
      <c r="BN3381" s="4">
        <v>45.33</v>
      </c>
      <c r="BO3381" s="4">
        <v>45.33</v>
      </c>
      <c r="BQ3381" t="s">
        <v>142</v>
      </c>
      <c r="BR3381" t="s">
        <v>84</v>
      </c>
      <c r="BS3381" s="3">
        <v>43796</v>
      </c>
      <c r="BT3381" s="5">
        <v>0.38472222222222219</v>
      </c>
      <c r="BU3381" t="s">
        <v>1718</v>
      </c>
      <c r="BV3381" t="s">
        <v>86</v>
      </c>
      <c r="BY3381">
        <v>1200</v>
      </c>
      <c r="CA3381" t="s">
        <v>1336</v>
      </c>
      <c r="CC3381" t="s">
        <v>483</v>
      </c>
      <c r="CD3381">
        <v>1460</v>
      </c>
      <c r="CE3381" t="s">
        <v>147</v>
      </c>
      <c r="CF3381" s="3">
        <v>43797</v>
      </c>
      <c r="CI3381">
        <v>1</v>
      </c>
      <c r="CJ3381">
        <v>1</v>
      </c>
      <c r="CK3381">
        <v>22</v>
      </c>
      <c r="CL3381" t="s">
        <v>89</v>
      </c>
    </row>
    <row r="3382" spans="1:90">
      <c r="A3382" t="s">
        <v>72</v>
      </c>
      <c r="B3382" t="s">
        <v>73</v>
      </c>
      <c r="C3382" t="s">
        <v>74</v>
      </c>
      <c r="E3382" t="str">
        <f>"FES1162725287"</f>
        <v>FES1162725287</v>
      </c>
      <c r="F3382" s="3">
        <v>43795</v>
      </c>
      <c r="G3382">
        <v>202005</v>
      </c>
      <c r="H3382" t="s">
        <v>75</v>
      </c>
      <c r="I3382" t="s">
        <v>76</v>
      </c>
      <c r="J3382" t="s">
        <v>77</v>
      </c>
      <c r="K3382" t="s">
        <v>78</v>
      </c>
      <c r="L3382" t="s">
        <v>112</v>
      </c>
      <c r="M3382" t="s">
        <v>113</v>
      </c>
      <c r="N3382" t="s">
        <v>790</v>
      </c>
      <c r="O3382" t="s">
        <v>82</v>
      </c>
      <c r="P3382" t="str">
        <f>"217071935                     "</f>
        <v xml:space="preserve">217071935 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8.58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 s="4">
        <v>50.45</v>
      </c>
      <c r="BM3382" s="4">
        <v>7.57</v>
      </c>
      <c r="BN3382" s="4">
        <v>58.02</v>
      </c>
      <c r="BO3382" s="4">
        <v>58.02</v>
      </c>
      <c r="BQ3382" t="s">
        <v>121</v>
      </c>
      <c r="BR3382" t="s">
        <v>84</v>
      </c>
      <c r="BS3382" s="3">
        <v>43796</v>
      </c>
      <c r="BT3382" s="5">
        <v>0.39444444444444443</v>
      </c>
      <c r="BU3382" t="s">
        <v>3218</v>
      </c>
      <c r="BV3382" t="s">
        <v>86</v>
      </c>
      <c r="BY3382">
        <v>1200</v>
      </c>
      <c r="CA3382" t="s">
        <v>255</v>
      </c>
      <c r="CC3382" t="s">
        <v>113</v>
      </c>
      <c r="CD3382">
        <v>4068</v>
      </c>
      <c r="CE3382" t="s">
        <v>147</v>
      </c>
      <c r="CF3382" s="3">
        <v>43797</v>
      </c>
      <c r="CI3382">
        <v>1</v>
      </c>
      <c r="CJ3382">
        <v>1</v>
      </c>
      <c r="CK3382">
        <v>21</v>
      </c>
      <c r="CL3382" t="s">
        <v>89</v>
      </c>
    </row>
    <row r="3383" spans="1:90">
      <c r="A3383" t="s">
        <v>72</v>
      </c>
      <c r="B3383" t="s">
        <v>73</v>
      </c>
      <c r="C3383" t="s">
        <v>74</v>
      </c>
      <c r="E3383" t="str">
        <f>"FES1162725304"</f>
        <v>FES1162725304</v>
      </c>
      <c r="F3383" s="3">
        <v>43795</v>
      </c>
      <c r="G3383">
        <v>202005</v>
      </c>
      <c r="H3383" t="s">
        <v>75</v>
      </c>
      <c r="I3383" t="s">
        <v>76</v>
      </c>
      <c r="J3383" t="s">
        <v>77</v>
      </c>
      <c r="K3383" t="s">
        <v>78</v>
      </c>
      <c r="L3383" t="s">
        <v>75</v>
      </c>
      <c r="M3383" t="s">
        <v>76</v>
      </c>
      <c r="N3383" t="s">
        <v>1495</v>
      </c>
      <c r="O3383" t="s">
        <v>82</v>
      </c>
      <c r="P3383" t="str">
        <f>"2170719058                    "</f>
        <v xml:space="preserve">2170719058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6.71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 s="4">
        <v>39.42</v>
      </c>
      <c r="BM3383" s="4">
        <v>5.91</v>
      </c>
      <c r="BN3383" s="4">
        <v>45.33</v>
      </c>
      <c r="BO3383" s="4">
        <v>45.33</v>
      </c>
      <c r="BQ3383" t="s">
        <v>1496</v>
      </c>
      <c r="BR3383" t="s">
        <v>84</v>
      </c>
      <c r="BS3383" s="3">
        <v>43796</v>
      </c>
      <c r="BT3383" s="5">
        <v>0.36458333333333331</v>
      </c>
      <c r="BU3383" t="s">
        <v>3219</v>
      </c>
      <c r="BV3383" t="s">
        <v>86</v>
      </c>
      <c r="BY3383">
        <v>1200</v>
      </c>
      <c r="CA3383" t="s">
        <v>368</v>
      </c>
      <c r="CC3383" t="s">
        <v>76</v>
      </c>
      <c r="CD3383">
        <v>1624</v>
      </c>
      <c r="CE3383" t="s">
        <v>147</v>
      </c>
      <c r="CF3383" s="3">
        <v>43797</v>
      </c>
      <c r="CI3383">
        <v>1</v>
      </c>
      <c r="CJ3383">
        <v>1</v>
      </c>
      <c r="CK3383">
        <v>22</v>
      </c>
      <c r="CL3383" t="s">
        <v>89</v>
      </c>
    </row>
    <row r="3384" spans="1:90">
      <c r="A3384" t="s">
        <v>72</v>
      </c>
      <c r="B3384" t="s">
        <v>73</v>
      </c>
      <c r="C3384" t="s">
        <v>74</v>
      </c>
      <c r="E3384" t="str">
        <f>"FES1162725210"</f>
        <v>FES1162725210</v>
      </c>
      <c r="F3384" s="3">
        <v>43795</v>
      </c>
      <c r="G3384">
        <v>202005</v>
      </c>
      <c r="H3384" t="s">
        <v>75</v>
      </c>
      <c r="I3384" t="s">
        <v>76</v>
      </c>
      <c r="J3384" t="s">
        <v>77</v>
      </c>
      <c r="K3384" t="s">
        <v>78</v>
      </c>
      <c r="L3384" t="s">
        <v>90</v>
      </c>
      <c r="M3384" t="s">
        <v>91</v>
      </c>
      <c r="N3384" t="s">
        <v>1194</v>
      </c>
      <c r="O3384" t="s">
        <v>82</v>
      </c>
      <c r="P3384" t="str">
        <f>"1162725210                    "</f>
        <v xml:space="preserve">1162725210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34.31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7.7</v>
      </c>
      <c r="BJ3384">
        <v>3.1</v>
      </c>
      <c r="BK3384">
        <v>8</v>
      </c>
      <c r="BL3384" s="4">
        <v>201.7</v>
      </c>
      <c r="BM3384" s="4">
        <v>30.26</v>
      </c>
      <c r="BN3384" s="4">
        <v>231.96</v>
      </c>
      <c r="BO3384" s="4">
        <v>231.96</v>
      </c>
      <c r="BR3384" t="s">
        <v>84</v>
      </c>
      <c r="BS3384" s="3">
        <v>43796</v>
      </c>
      <c r="BT3384" s="5">
        <v>0.4236111111111111</v>
      </c>
      <c r="BU3384" t="s">
        <v>3097</v>
      </c>
      <c r="BV3384" t="s">
        <v>86</v>
      </c>
      <c r="BY3384">
        <v>15325.4</v>
      </c>
      <c r="CA3384" t="s">
        <v>1309</v>
      </c>
      <c r="CC3384" t="s">
        <v>91</v>
      </c>
      <c r="CD3384">
        <v>7580</v>
      </c>
      <c r="CE3384" t="s">
        <v>88</v>
      </c>
      <c r="CF3384" s="3">
        <v>43797</v>
      </c>
      <c r="CI3384">
        <v>1</v>
      </c>
      <c r="CJ3384">
        <v>1</v>
      </c>
      <c r="CK3384">
        <v>21</v>
      </c>
      <c r="CL3384" t="s">
        <v>89</v>
      </c>
    </row>
    <row r="3385" spans="1:90">
      <c r="A3385" t="s">
        <v>72</v>
      </c>
      <c r="B3385" t="s">
        <v>73</v>
      </c>
      <c r="C3385" t="s">
        <v>74</v>
      </c>
      <c r="E3385" t="str">
        <f>"FES1162725225"</f>
        <v>FES1162725225</v>
      </c>
      <c r="F3385" s="3">
        <v>43795</v>
      </c>
      <c r="G3385">
        <v>202005</v>
      </c>
      <c r="H3385" t="s">
        <v>75</v>
      </c>
      <c r="I3385" t="s">
        <v>76</v>
      </c>
      <c r="J3385" t="s">
        <v>77</v>
      </c>
      <c r="K3385" t="s">
        <v>78</v>
      </c>
      <c r="L3385" t="s">
        <v>90</v>
      </c>
      <c r="M3385" t="s">
        <v>91</v>
      </c>
      <c r="N3385" t="s">
        <v>1194</v>
      </c>
      <c r="O3385" t="s">
        <v>82</v>
      </c>
      <c r="P3385" t="str">
        <f>"1162725225                    "</f>
        <v xml:space="preserve">1162725225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32.17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7.2</v>
      </c>
      <c r="BJ3385">
        <v>3.1</v>
      </c>
      <c r="BK3385">
        <v>7.5</v>
      </c>
      <c r="BL3385" s="4">
        <v>189.1</v>
      </c>
      <c r="BM3385" s="4">
        <v>28.37</v>
      </c>
      <c r="BN3385" s="4">
        <v>217.47</v>
      </c>
      <c r="BO3385" s="4">
        <v>217.47</v>
      </c>
      <c r="BR3385" t="s">
        <v>84</v>
      </c>
      <c r="BS3385" s="3">
        <v>43796</v>
      </c>
      <c r="BT3385" s="5">
        <v>0.4236111111111111</v>
      </c>
      <c r="BU3385" t="s">
        <v>3097</v>
      </c>
      <c r="BV3385" t="s">
        <v>86</v>
      </c>
      <c r="BY3385">
        <v>15283.95</v>
      </c>
      <c r="CA3385" t="s">
        <v>1309</v>
      </c>
      <c r="CC3385" t="s">
        <v>91</v>
      </c>
      <c r="CD3385">
        <v>7580</v>
      </c>
      <c r="CE3385" t="s">
        <v>88</v>
      </c>
      <c r="CF3385" s="3">
        <v>43797</v>
      </c>
      <c r="CI3385">
        <v>1</v>
      </c>
      <c r="CJ3385">
        <v>1</v>
      </c>
      <c r="CK3385">
        <v>21</v>
      </c>
      <c r="CL3385" t="s">
        <v>89</v>
      </c>
    </row>
    <row r="3386" spans="1:90">
      <c r="A3386" t="s">
        <v>72</v>
      </c>
      <c r="B3386" t="s">
        <v>73</v>
      </c>
      <c r="C3386" t="s">
        <v>74</v>
      </c>
      <c r="E3386" t="str">
        <f>"FES1162725282"</f>
        <v>FES1162725282</v>
      </c>
      <c r="F3386" s="3">
        <v>43795</v>
      </c>
      <c r="G3386">
        <v>202005</v>
      </c>
      <c r="H3386" t="s">
        <v>75</v>
      </c>
      <c r="I3386" t="s">
        <v>76</v>
      </c>
      <c r="J3386" t="s">
        <v>77</v>
      </c>
      <c r="K3386" t="s">
        <v>78</v>
      </c>
      <c r="L3386" t="s">
        <v>75</v>
      </c>
      <c r="M3386" t="s">
        <v>76</v>
      </c>
      <c r="N3386" t="s">
        <v>3205</v>
      </c>
      <c r="O3386" t="s">
        <v>82</v>
      </c>
      <c r="P3386" t="str">
        <f>"2170719025                    "</f>
        <v xml:space="preserve">2170719025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6.71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 s="4">
        <v>39.42</v>
      </c>
      <c r="BM3386" s="4">
        <v>5.91</v>
      </c>
      <c r="BN3386" s="4">
        <v>45.33</v>
      </c>
      <c r="BO3386" s="4">
        <v>45.33</v>
      </c>
      <c r="BQ3386" t="s">
        <v>121</v>
      </c>
      <c r="BR3386" t="s">
        <v>84</v>
      </c>
      <c r="BS3386" s="3">
        <v>43796</v>
      </c>
      <c r="BT3386" s="5">
        <v>0.32708333333333334</v>
      </c>
      <c r="BU3386" t="s">
        <v>3206</v>
      </c>
      <c r="BV3386" t="s">
        <v>86</v>
      </c>
      <c r="BY3386">
        <v>1200</v>
      </c>
      <c r="CA3386" t="s">
        <v>3207</v>
      </c>
      <c r="CC3386" t="s">
        <v>76</v>
      </c>
      <c r="CD3386">
        <v>1609</v>
      </c>
      <c r="CE3386" t="s">
        <v>147</v>
      </c>
      <c r="CF3386" s="3">
        <v>43797</v>
      </c>
      <c r="CI3386">
        <v>1</v>
      </c>
      <c r="CJ3386">
        <v>1</v>
      </c>
      <c r="CK3386">
        <v>22</v>
      </c>
      <c r="CL3386" t="s">
        <v>89</v>
      </c>
    </row>
    <row r="3387" spans="1:90">
      <c r="A3387" t="s">
        <v>72</v>
      </c>
      <c r="B3387" t="s">
        <v>73</v>
      </c>
      <c r="C3387" t="s">
        <v>74</v>
      </c>
      <c r="E3387" t="str">
        <f>"FES1162725294"</f>
        <v>FES1162725294</v>
      </c>
      <c r="F3387" s="3">
        <v>43795</v>
      </c>
      <c r="G3387">
        <v>202005</v>
      </c>
      <c r="H3387" t="s">
        <v>75</v>
      </c>
      <c r="I3387" t="s">
        <v>76</v>
      </c>
      <c r="J3387" t="s">
        <v>77</v>
      </c>
      <c r="K3387" t="s">
        <v>78</v>
      </c>
      <c r="L3387" t="s">
        <v>75</v>
      </c>
      <c r="M3387" t="s">
        <v>76</v>
      </c>
      <c r="N3387" t="s">
        <v>2928</v>
      </c>
      <c r="O3387" t="s">
        <v>82</v>
      </c>
      <c r="P3387" t="str">
        <f>"2170719046                    "</f>
        <v xml:space="preserve">2170719046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9.1199999999999992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2.2000000000000002</v>
      </c>
      <c r="BJ3387">
        <v>3.1</v>
      </c>
      <c r="BK3387">
        <v>3.5</v>
      </c>
      <c r="BL3387" s="4">
        <v>53.59</v>
      </c>
      <c r="BM3387" s="4">
        <v>8.0399999999999991</v>
      </c>
      <c r="BN3387" s="4">
        <v>61.63</v>
      </c>
      <c r="BO3387" s="4">
        <v>61.63</v>
      </c>
      <c r="BR3387" t="s">
        <v>84</v>
      </c>
      <c r="BS3387" s="3">
        <v>43796</v>
      </c>
      <c r="BT3387" s="5">
        <v>0.2951388888888889</v>
      </c>
      <c r="BU3387" t="s">
        <v>2570</v>
      </c>
      <c r="BV3387" t="s">
        <v>86</v>
      </c>
      <c r="BY3387">
        <v>15333.45</v>
      </c>
      <c r="CA3387" t="s">
        <v>368</v>
      </c>
      <c r="CC3387" t="s">
        <v>76</v>
      </c>
      <c r="CD3387">
        <v>1600</v>
      </c>
      <c r="CE3387" t="s">
        <v>88</v>
      </c>
      <c r="CF3387" s="3">
        <v>43797</v>
      </c>
      <c r="CI3387">
        <v>1</v>
      </c>
      <c r="CJ3387">
        <v>1</v>
      </c>
      <c r="CK3387">
        <v>22</v>
      </c>
      <c r="CL3387" t="s">
        <v>89</v>
      </c>
    </row>
    <row r="3388" spans="1:90">
      <c r="A3388" t="s">
        <v>72</v>
      </c>
      <c r="B3388" t="s">
        <v>73</v>
      </c>
      <c r="C3388" t="s">
        <v>74</v>
      </c>
      <c r="E3388" t="str">
        <f>"FES1162725130"</f>
        <v>FES1162725130</v>
      </c>
      <c r="F3388" s="3">
        <v>43795</v>
      </c>
      <c r="G3388">
        <v>202005</v>
      </c>
      <c r="H3388" t="s">
        <v>75</v>
      </c>
      <c r="I3388" t="s">
        <v>76</v>
      </c>
      <c r="J3388" t="s">
        <v>77</v>
      </c>
      <c r="K3388" t="s">
        <v>78</v>
      </c>
      <c r="L3388" t="s">
        <v>75</v>
      </c>
      <c r="M3388" t="s">
        <v>76</v>
      </c>
      <c r="N3388" t="s">
        <v>204</v>
      </c>
      <c r="O3388" t="s">
        <v>82</v>
      </c>
      <c r="P3388" t="str">
        <f>"1162725130                    "</f>
        <v xml:space="preserve">1162725130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14.74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2</v>
      </c>
      <c r="BI3388">
        <v>7</v>
      </c>
      <c r="BJ3388">
        <v>7</v>
      </c>
      <c r="BK3388">
        <v>7</v>
      </c>
      <c r="BL3388" s="4">
        <v>86.65</v>
      </c>
      <c r="BM3388" s="4">
        <v>13</v>
      </c>
      <c r="BN3388" s="4">
        <v>99.65</v>
      </c>
      <c r="BO3388" s="4">
        <v>99.65</v>
      </c>
      <c r="BQ3388" t="s">
        <v>121</v>
      </c>
      <c r="BR3388" t="s">
        <v>84</v>
      </c>
      <c r="BS3388" s="3">
        <v>43796</v>
      </c>
      <c r="BT3388" s="5">
        <v>0.29166666666666669</v>
      </c>
      <c r="BU3388" t="s">
        <v>3220</v>
      </c>
      <c r="BV3388" t="s">
        <v>86</v>
      </c>
      <c r="BY3388">
        <v>34880.44</v>
      </c>
      <c r="CA3388" t="s">
        <v>571</v>
      </c>
      <c r="CC3388" t="s">
        <v>76</v>
      </c>
      <c r="CD3388">
        <v>1665</v>
      </c>
      <c r="CE3388" t="s">
        <v>1892</v>
      </c>
      <c r="CF3388" s="3">
        <v>43797</v>
      </c>
      <c r="CI3388">
        <v>1</v>
      </c>
      <c r="CJ3388">
        <v>1</v>
      </c>
      <c r="CK3388">
        <v>22</v>
      </c>
      <c r="CL3388" t="s">
        <v>89</v>
      </c>
    </row>
    <row r="3389" spans="1:90">
      <c r="A3389" t="s">
        <v>72</v>
      </c>
      <c r="B3389" t="s">
        <v>73</v>
      </c>
      <c r="C3389" t="s">
        <v>74</v>
      </c>
      <c r="E3389" t="str">
        <f>"FES1162725224"</f>
        <v>FES1162725224</v>
      </c>
      <c r="F3389" s="3">
        <v>43795</v>
      </c>
      <c r="G3389">
        <v>202005</v>
      </c>
      <c r="H3389" t="s">
        <v>75</v>
      </c>
      <c r="I3389" t="s">
        <v>76</v>
      </c>
      <c r="J3389" t="s">
        <v>77</v>
      </c>
      <c r="K3389" t="s">
        <v>78</v>
      </c>
      <c r="L3389" t="s">
        <v>90</v>
      </c>
      <c r="M3389" t="s">
        <v>91</v>
      </c>
      <c r="N3389" t="s">
        <v>1194</v>
      </c>
      <c r="O3389" t="s">
        <v>82</v>
      </c>
      <c r="P3389" t="str">
        <f>"2170718583                    "</f>
        <v xml:space="preserve">2170718583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8.58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 s="4">
        <v>50.45</v>
      </c>
      <c r="BM3389" s="4">
        <v>7.57</v>
      </c>
      <c r="BN3389" s="4">
        <v>58.02</v>
      </c>
      <c r="BO3389" s="4">
        <v>58.02</v>
      </c>
      <c r="BR3389" t="s">
        <v>84</v>
      </c>
      <c r="BS3389" s="3">
        <v>43796</v>
      </c>
      <c r="BT3389" s="5">
        <v>0.4236111111111111</v>
      </c>
      <c r="BU3389" t="s">
        <v>3097</v>
      </c>
      <c r="BV3389" t="s">
        <v>86</v>
      </c>
      <c r="BY3389">
        <v>1200</v>
      </c>
      <c r="CA3389" t="s">
        <v>1309</v>
      </c>
      <c r="CC3389" t="s">
        <v>91</v>
      </c>
      <c r="CD3389">
        <v>7580</v>
      </c>
      <c r="CE3389" t="s">
        <v>147</v>
      </c>
      <c r="CF3389" s="3">
        <v>43797</v>
      </c>
      <c r="CI3389">
        <v>1</v>
      </c>
      <c r="CJ3389">
        <v>1</v>
      </c>
      <c r="CK3389">
        <v>21</v>
      </c>
      <c r="CL3389" t="s">
        <v>89</v>
      </c>
    </row>
    <row r="3390" spans="1:90">
      <c r="A3390" t="s">
        <v>72</v>
      </c>
      <c r="B3390" t="s">
        <v>73</v>
      </c>
      <c r="C3390" t="s">
        <v>74</v>
      </c>
      <c r="E3390" t="str">
        <f>"FES1162725214"</f>
        <v>FES1162725214</v>
      </c>
      <c r="F3390" s="3">
        <v>43795</v>
      </c>
      <c r="G3390">
        <v>202005</v>
      </c>
      <c r="H3390" t="s">
        <v>75</v>
      </c>
      <c r="I3390" t="s">
        <v>76</v>
      </c>
      <c r="J3390" t="s">
        <v>77</v>
      </c>
      <c r="K3390" t="s">
        <v>78</v>
      </c>
      <c r="L3390" t="s">
        <v>90</v>
      </c>
      <c r="M3390" t="s">
        <v>91</v>
      </c>
      <c r="N3390" t="s">
        <v>1194</v>
      </c>
      <c r="O3390" t="s">
        <v>82</v>
      </c>
      <c r="P3390" t="str">
        <f>"2170716503                    "</f>
        <v xml:space="preserve">2170716503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8.58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 s="4">
        <v>50.45</v>
      </c>
      <c r="BM3390" s="4">
        <v>7.57</v>
      </c>
      <c r="BN3390" s="4">
        <v>58.02</v>
      </c>
      <c r="BO3390" s="4">
        <v>58.02</v>
      </c>
      <c r="BR3390" t="s">
        <v>84</v>
      </c>
      <c r="BS3390" s="3">
        <v>43796</v>
      </c>
      <c r="BT3390" s="5">
        <v>0.4236111111111111</v>
      </c>
      <c r="BU3390" t="s">
        <v>3097</v>
      </c>
      <c r="BV3390" t="s">
        <v>86</v>
      </c>
      <c r="BY3390">
        <v>1200</v>
      </c>
      <c r="CA3390" t="s">
        <v>1309</v>
      </c>
      <c r="CC3390" t="s">
        <v>91</v>
      </c>
      <c r="CD3390">
        <v>7580</v>
      </c>
      <c r="CE3390" t="s">
        <v>147</v>
      </c>
      <c r="CF3390" s="3">
        <v>43797</v>
      </c>
      <c r="CI3390">
        <v>1</v>
      </c>
      <c r="CJ3390">
        <v>1</v>
      </c>
      <c r="CK3390">
        <v>21</v>
      </c>
      <c r="CL3390" t="s">
        <v>89</v>
      </c>
    </row>
    <row r="3391" spans="1:90">
      <c r="A3391" t="s">
        <v>72</v>
      </c>
      <c r="B3391" t="s">
        <v>73</v>
      </c>
      <c r="C3391" t="s">
        <v>74</v>
      </c>
      <c r="E3391" t="str">
        <f>"019911311451"</f>
        <v>019911311451</v>
      </c>
      <c r="F3391" s="3">
        <v>43795</v>
      </c>
      <c r="G3391">
        <v>202005</v>
      </c>
      <c r="H3391" t="s">
        <v>90</v>
      </c>
      <c r="I3391" t="s">
        <v>91</v>
      </c>
      <c r="J3391" t="s">
        <v>211</v>
      </c>
      <c r="K3391" t="s">
        <v>78</v>
      </c>
      <c r="L3391" t="s">
        <v>75</v>
      </c>
      <c r="M3391" t="s">
        <v>76</v>
      </c>
      <c r="N3391" t="s">
        <v>1014</v>
      </c>
      <c r="O3391" t="s">
        <v>282</v>
      </c>
      <c r="P3391" t="str">
        <f>"1703                          "</f>
        <v xml:space="preserve">1703      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19.829999999999998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17.100000000000001</v>
      </c>
      <c r="BJ3391">
        <v>9.6</v>
      </c>
      <c r="BK3391">
        <v>18</v>
      </c>
      <c r="BL3391" s="4">
        <v>121.55</v>
      </c>
      <c r="BM3391" s="4">
        <v>18.23</v>
      </c>
      <c r="BN3391" s="4">
        <v>139.78</v>
      </c>
      <c r="BO3391" s="4">
        <v>139.78</v>
      </c>
      <c r="BQ3391" t="s">
        <v>1015</v>
      </c>
      <c r="BR3391" t="s">
        <v>1011</v>
      </c>
      <c r="BS3391" s="3">
        <v>43798</v>
      </c>
      <c r="BT3391" s="5">
        <v>0.35416666666666669</v>
      </c>
      <c r="BU3391" t="s">
        <v>3221</v>
      </c>
      <c r="BV3391" t="s">
        <v>89</v>
      </c>
      <c r="BW3391" t="s">
        <v>319</v>
      </c>
      <c r="BX3391" t="s">
        <v>597</v>
      </c>
      <c r="BY3391">
        <v>47792.58</v>
      </c>
      <c r="CC3391" t="s">
        <v>76</v>
      </c>
      <c r="CD3391">
        <v>1619</v>
      </c>
      <c r="CE3391" t="s">
        <v>88</v>
      </c>
      <c r="CI3391">
        <v>2</v>
      </c>
      <c r="CJ3391">
        <v>3</v>
      </c>
      <c r="CK3391" t="s">
        <v>1002</v>
      </c>
      <c r="CL3391" t="s">
        <v>89</v>
      </c>
    </row>
    <row r="3392" spans="1:90">
      <c r="A3392" t="s">
        <v>72</v>
      </c>
      <c r="B3392" t="s">
        <v>73</v>
      </c>
      <c r="C3392" t="s">
        <v>74</v>
      </c>
      <c r="E3392" t="str">
        <f>"FES1162724859"</f>
        <v>FES1162724859</v>
      </c>
      <c r="F3392" s="3">
        <v>43795</v>
      </c>
      <c r="G3392">
        <v>202005</v>
      </c>
      <c r="H3392" t="s">
        <v>75</v>
      </c>
      <c r="I3392" t="s">
        <v>76</v>
      </c>
      <c r="J3392" t="s">
        <v>77</v>
      </c>
      <c r="K3392" t="s">
        <v>78</v>
      </c>
      <c r="L3392" t="s">
        <v>917</v>
      </c>
      <c r="M3392" t="s">
        <v>918</v>
      </c>
      <c r="N3392" t="s">
        <v>2754</v>
      </c>
      <c r="O3392" t="s">
        <v>282</v>
      </c>
      <c r="P3392" t="str">
        <f>"2170717304                    "</f>
        <v xml:space="preserve">2170717304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27.27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3</v>
      </c>
      <c r="BI3392">
        <v>22.1</v>
      </c>
      <c r="BJ3392">
        <v>33.9</v>
      </c>
      <c r="BK3392">
        <v>34</v>
      </c>
      <c r="BL3392" s="4">
        <v>165.3</v>
      </c>
      <c r="BM3392" s="4">
        <v>24.8</v>
      </c>
      <c r="BN3392" s="4">
        <v>190.1</v>
      </c>
      <c r="BO3392" s="4">
        <v>190.1</v>
      </c>
      <c r="BQ3392" t="s">
        <v>2755</v>
      </c>
      <c r="BR3392" t="s">
        <v>84</v>
      </c>
      <c r="BS3392" s="3">
        <v>43796</v>
      </c>
      <c r="BT3392" s="5">
        <v>0.33611111111111108</v>
      </c>
      <c r="BU3392" t="s">
        <v>3075</v>
      </c>
      <c r="BV3392" t="s">
        <v>86</v>
      </c>
      <c r="BY3392">
        <v>169656.18</v>
      </c>
      <c r="CC3392" t="s">
        <v>918</v>
      </c>
      <c r="CD3392">
        <v>2210</v>
      </c>
      <c r="CE3392" t="s">
        <v>3222</v>
      </c>
      <c r="CF3392" s="3">
        <v>43797</v>
      </c>
      <c r="CI3392">
        <v>1</v>
      </c>
      <c r="CJ3392">
        <v>1</v>
      </c>
      <c r="CK3392" t="s">
        <v>289</v>
      </c>
      <c r="CL3392" t="s">
        <v>89</v>
      </c>
    </row>
    <row r="3393" spans="1:90">
      <c r="A3393" t="s">
        <v>72</v>
      </c>
      <c r="B3393" t="s">
        <v>73</v>
      </c>
      <c r="C3393" t="s">
        <v>74</v>
      </c>
      <c r="E3393" t="str">
        <f>"FES1162725083"</f>
        <v>FES1162725083</v>
      </c>
      <c r="F3393" s="3">
        <v>43795</v>
      </c>
      <c r="G3393">
        <v>202005</v>
      </c>
      <c r="H3393" t="s">
        <v>75</v>
      </c>
      <c r="I3393" t="s">
        <v>76</v>
      </c>
      <c r="J3393" t="s">
        <v>77</v>
      </c>
      <c r="K3393" t="s">
        <v>78</v>
      </c>
      <c r="L3393" t="s">
        <v>106</v>
      </c>
      <c r="M3393" t="s">
        <v>107</v>
      </c>
      <c r="N3393" t="s">
        <v>324</v>
      </c>
      <c r="O3393" t="s">
        <v>282</v>
      </c>
      <c r="P3393" t="str">
        <f>"2170718828                    "</f>
        <v xml:space="preserve">2170718828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17.57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9.9</v>
      </c>
      <c r="BJ3393">
        <v>4.7</v>
      </c>
      <c r="BK3393">
        <v>10</v>
      </c>
      <c r="BL3393" s="4">
        <v>108.28</v>
      </c>
      <c r="BM3393" s="4">
        <v>16.239999999999998</v>
      </c>
      <c r="BN3393" s="4">
        <v>124.52</v>
      </c>
      <c r="BO3393" s="4">
        <v>124.52</v>
      </c>
      <c r="BP3393" t="s">
        <v>3223</v>
      </c>
      <c r="BQ3393" t="s">
        <v>187</v>
      </c>
      <c r="BR3393" t="s">
        <v>84</v>
      </c>
      <c r="BS3393" s="3">
        <v>43797</v>
      </c>
      <c r="BT3393" s="5">
        <v>0.59722222222222221</v>
      </c>
      <c r="BU3393" t="s">
        <v>318</v>
      </c>
      <c r="BV3393" t="s">
        <v>86</v>
      </c>
      <c r="BY3393">
        <v>23739.96</v>
      </c>
      <c r="CA3393" t="s">
        <v>111</v>
      </c>
      <c r="CC3393" t="s">
        <v>107</v>
      </c>
      <c r="CD3393">
        <v>6001</v>
      </c>
      <c r="CE3393" t="s">
        <v>88</v>
      </c>
      <c r="CF3393" s="3">
        <v>43798</v>
      </c>
      <c r="CI3393">
        <v>2</v>
      </c>
      <c r="CJ3393">
        <v>2</v>
      </c>
      <c r="CK3393" t="s">
        <v>1002</v>
      </c>
      <c r="CL3393" t="s">
        <v>89</v>
      </c>
    </row>
    <row r="3394" spans="1:90">
      <c r="A3394" t="s">
        <v>72</v>
      </c>
      <c r="B3394" t="s">
        <v>73</v>
      </c>
      <c r="C3394" t="s">
        <v>74</v>
      </c>
      <c r="E3394" t="str">
        <f>"FES1162725936"</f>
        <v>FES1162725936</v>
      </c>
      <c r="F3394" s="3">
        <v>43798</v>
      </c>
      <c r="G3394">
        <v>202005</v>
      </c>
      <c r="H3394" t="s">
        <v>75</v>
      </c>
      <c r="I3394" t="s">
        <v>76</v>
      </c>
      <c r="J3394" t="s">
        <v>77</v>
      </c>
      <c r="K3394" t="s">
        <v>78</v>
      </c>
      <c r="L3394" t="s">
        <v>112</v>
      </c>
      <c r="M3394" t="s">
        <v>113</v>
      </c>
      <c r="N3394" t="s">
        <v>2752</v>
      </c>
      <c r="O3394" t="s">
        <v>82</v>
      </c>
      <c r="P3394" t="str">
        <f>"2170719465                    "</f>
        <v xml:space="preserve">2170719465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8.58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 s="4">
        <v>50.45</v>
      </c>
      <c r="BM3394" s="4">
        <v>7.57</v>
      </c>
      <c r="BN3394" s="4">
        <v>58.02</v>
      </c>
      <c r="BO3394" s="4">
        <v>58.02</v>
      </c>
      <c r="BQ3394" t="s">
        <v>109</v>
      </c>
      <c r="BR3394" t="s">
        <v>84</v>
      </c>
      <c r="BS3394" t="s">
        <v>201</v>
      </c>
      <c r="BY3394">
        <v>1200</v>
      </c>
      <c r="CC3394" t="s">
        <v>113</v>
      </c>
      <c r="CD3394">
        <v>4000</v>
      </c>
      <c r="CE3394" t="s">
        <v>147</v>
      </c>
      <c r="CI3394">
        <v>1</v>
      </c>
      <c r="CJ3394" t="s">
        <v>201</v>
      </c>
      <c r="CK3394">
        <v>21</v>
      </c>
      <c r="CL3394" t="s">
        <v>89</v>
      </c>
    </row>
    <row r="3395" spans="1:90">
      <c r="A3395" t="s">
        <v>72</v>
      </c>
      <c r="B3395" t="s">
        <v>73</v>
      </c>
      <c r="C3395" t="s">
        <v>74</v>
      </c>
      <c r="E3395" t="str">
        <f>"FES1162726027"</f>
        <v>FES1162726027</v>
      </c>
      <c r="F3395" s="3">
        <v>43798</v>
      </c>
      <c r="G3395">
        <v>202005</v>
      </c>
      <c r="H3395" t="s">
        <v>75</v>
      </c>
      <c r="I3395" t="s">
        <v>76</v>
      </c>
      <c r="J3395" t="s">
        <v>77</v>
      </c>
      <c r="K3395" t="s">
        <v>78</v>
      </c>
      <c r="L3395" t="s">
        <v>95</v>
      </c>
      <c r="M3395" t="s">
        <v>96</v>
      </c>
      <c r="N3395" t="s">
        <v>330</v>
      </c>
      <c r="O3395" t="s">
        <v>82</v>
      </c>
      <c r="P3395" t="str">
        <f>"2170717858                    "</f>
        <v xml:space="preserve">2170717858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6.71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 s="4">
        <v>39.42</v>
      </c>
      <c r="BM3395" s="4">
        <v>5.91</v>
      </c>
      <c r="BN3395" s="4">
        <v>45.33</v>
      </c>
      <c r="BO3395" s="4">
        <v>45.33</v>
      </c>
      <c r="BQ3395" t="s">
        <v>109</v>
      </c>
      <c r="BR3395" t="s">
        <v>84</v>
      </c>
      <c r="BS3395" t="s">
        <v>201</v>
      </c>
      <c r="BY3395">
        <v>1200</v>
      </c>
      <c r="CC3395" t="s">
        <v>96</v>
      </c>
      <c r="CD3395">
        <v>1451</v>
      </c>
      <c r="CE3395" t="s">
        <v>147</v>
      </c>
      <c r="CI3395">
        <v>1</v>
      </c>
      <c r="CJ3395" t="s">
        <v>201</v>
      </c>
      <c r="CK3395">
        <v>22</v>
      </c>
      <c r="CL3395" t="s">
        <v>89</v>
      </c>
    </row>
    <row r="3396" spans="1:90">
      <c r="A3396" t="s">
        <v>72</v>
      </c>
      <c r="B3396" t="s">
        <v>73</v>
      </c>
      <c r="C3396" t="s">
        <v>74</v>
      </c>
      <c r="E3396" t="str">
        <f>"FES1162726090"</f>
        <v>FES1162726090</v>
      </c>
      <c r="F3396" s="3">
        <v>43798</v>
      </c>
      <c r="G3396">
        <v>202005</v>
      </c>
      <c r="H3396" t="s">
        <v>75</v>
      </c>
      <c r="I3396" t="s">
        <v>76</v>
      </c>
      <c r="J3396" t="s">
        <v>77</v>
      </c>
      <c r="K3396" t="s">
        <v>78</v>
      </c>
      <c r="L3396" t="s">
        <v>124</v>
      </c>
      <c r="M3396" t="s">
        <v>125</v>
      </c>
      <c r="N3396" t="s">
        <v>2184</v>
      </c>
      <c r="O3396" t="s">
        <v>82</v>
      </c>
      <c r="P3396" t="str">
        <f>"2170719571                    "</f>
        <v xml:space="preserve">2170719571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15.55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4.2</v>
      </c>
      <c r="BJ3396">
        <v>7.3</v>
      </c>
      <c r="BK3396">
        <v>7.5</v>
      </c>
      <c r="BL3396" s="4">
        <v>91.38</v>
      </c>
      <c r="BM3396" s="4">
        <v>13.71</v>
      </c>
      <c r="BN3396" s="4">
        <v>105.09</v>
      </c>
      <c r="BO3396" s="4">
        <v>105.09</v>
      </c>
      <c r="BQ3396" t="s">
        <v>142</v>
      </c>
      <c r="BR3396" t="s">
        <v>84</v>
      </c>
      <c r="BS3396" t="s">
        <v>201</v>
      </c>
      <c r="BY3396">
        <v>36606.07</v>
      </c>
      <c r="CC3396" t="s">
        <v>125</v>
      </c>
      <c r="CD3396">
        <v>2013</v>
      </c>
      <c r="CE3396" t="s">
        <v>1598</v>
      </c>
      <c r="CI3396">
        <v>1</v>
      </c>
      <c r="CJ3396" t="s">
        <v>201</v>
      </c>
      <c r="CK3396">
        <v>22</v>
      </c>
      <c r="CL3396" t="s">
        <v>89</v>
      </c>
    </row>
    <row r="3397" spans="1:90">
      <c r="A3397" t="s">
        <v>72</v>
      </c>
      <c r="B3397" t="s">
        <v>73</v>
      </c>
      <c r="C3397" t="s">
        <v>74</v>
      </c>
      <c r="E3397" t="str">
        <f>"FES1162726011"</f>
        <v>FES1162726011</v>
      </c>
      <c r="F3397" s="3">
        <v>43798</v>
      </c>
      <c r="G3397">
        <v>202005</v>
      </c>
      <c r="H3397" t="s">
        <v>75</v>
      </c>
      <c r="I3397" t="s">
        <v>76</v>
      </c>
      <c r="J3397" t="s">
        <v>77</v>
      </c>
      <c r="K3397" t="s">
        <v>78</v>
      </c>
      <c r="L3397" t="s">
        <v>75</v>
      </c>
      <c r="M3397" t="s">
        <v>76</v>
      </c>
      <c r="N3397" t="s">
        <v>2341</v>
      </c>
      <c r="O3397" t="s">
        <v>82</v>
      </c>
      <c r="P3397" t="str">
        <f>"2170717053                    "</f>
        <v xml:space="preserve">2170717053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6.71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 s="4">
        <v>39.42</v>
      </c>
      <c r="BM3397" s="4">
        <v>5.91</v>
      </c>
      <c r="BN3397" s="4">
        <v>45.33</v>
      </c>
      <c r="BO3397" s="4">
        <v>45.33</v>
      </c>
      <c r="BQ3397" t="s">
        <v>109</v>
      </c>
      <c r="BR3397" t="s">
        <v>84</v>
      </c>
      <c r="BS3397" t="s">
        <v>201</v>
      </c>
      <c r="BY3397">
        <v>1200</v>
      </c>
      <c r="CC3397" t="s">
        <v>76</v>
      </c>
      <c r="CD3397">
        <v>1682</v>
      </c>
      <c r="CE3397" t="s">
        <v>147</v>
      </c>
      <c r="CI3397">
        <v>1</v>
      </c>
      <c r="CJ3397" t="s">
        <v>201</v>
      </c>
      <c r="CK3397">
        <v>22</v>
      </c>
      <c r="CL3397" t="s">
        <v>89</v>
      </c>
    </row>
    <row r="3398" spans="1:90">
      <c r="A3398" t="s">
        <v>72</v>
      </c>
      <c r="B3398" t="s">
        <v>73</v>
      </c>
      <c r="C3398" t="s">
        <v>74</v>
      </c>
      <c r="E3398" t="str">
        <f>"FES1162725861"</f>
        <v>FES1162725861</v>
      </c>
      <c r="F3398" s="3">
        <v>43798</v>
      </c>
      <c r="G3398">
        <v>202005</v>
      </c>
      <c r="H3398" t="s">
        <v>75</v>
      </c>
      <c r="I3398" t="s">
        <v>76</v>
      </c>
      <c r="J3398" t="s">
        <v>77</v>
      </c>
      <c r="K3398" t="s">
        <v>78</v>
      </c>
      <c r="L3398" t="s">
        <v>990</v>
      </c>
      <c r="M3398" t="s">
        <v>991</v>
      </c>
      <c r="N3398" t="s">
        <v>992</v>
      </c>
      <c r="O3398" t="s">
        <v>82</v>
      </c>
      <c r="P3398" t="str">
        <f>"2170716915                    "</f>
        <v xml:space="preserve">2170716915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16.63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0.8</v>
      </c>
      <c r="BJ3398">
        <v>0.9</v>
      </c>
      <c r="BK3398">
        <v>1</v>
      </c>
      <c r="BL3398" s="4">
        <v>97.75</v>
      </c>
      <c r="BM3398" s="4">
        <v>14.66</v>
      </c>
      <c r="BN3398" s="4">
        <v>112.41</v>
      </c>
      <c r="BO3398" s="4">
        <v>112.41</v>
      </c>
      <c r="BQ3398" t="s">
        <v>1580</v>
      </c>
      <c r="BR3398" t="s">
        <v>84</v>
      </c>
      <c r="BS3398" t="s">
        <v>201</v>
      </c>
      <c r="BY3398">
        <v>4474.42</v>
      </c>
      <c r="CC3398" t="s">
        <v>991</v>
      </c>
      <c r="CD3398">
        <v>4252</v>
      </c>
      <c r="CE3398" t="s">
        <v>88</v>
      </c>
      <c r="CI3398">
        <v>1</v>
      </c>
      <c r="CJ3398" t="s">
        <v>201</v>
      </c>
      <c r="CK3398">
        <v>23</v>
      </c>
      <c r="CL3398" t="s">
        <v>89</v>
      </c>
    </row>
    <row r="3399" spans="1:90">
      <c r="A3399" t="s">
        <v>72</v>
      </c>
      <c r="B3399" t="s">
        <v>73</v>
      </c>
      <c r="C3399" t="s">
        <v>74</v>
      </c>
      <c r="E3399" t="str">
        <f>"FES1162726068"</f>
        <v>FES1162726068</v>
      </c>
      <c r="F3399" s="3">
        <v>43798</v>
      </c>
      <c r="G3399">
        <v>202005</v>
      </c>
      <c r="H3399" t="s">
        <v>75</v>
      </c>
      <c r="I3399" t="s">
        <v>76</v>
      </c>
      <c r="J3399" t="s">
        <v>77</v>
      </c>
      <c r="K3399" t="s">
        <v>78</v>
      </c>
      <c r="L3399" t="s">
        <v>176</v>
      </c>
      <c r="M3399" t="s">
        <v>177</v>
      </c>
      <c r="N3399" t="s">
        <v>600</v>
      </c>
      <c r="O3399" t="s">
        <v>82</v>
      </c>
      <c r="P3399" t="str">
        <f>"2170719546                    "</f>
        <v xml:space="preserve">2170719546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8.58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 s="4">
        <v>50.45</v>
      </c>
      <c r="BM3399" s="4">
        <v>7.57</v>
      </c>
      <c r="BN3399" s="4">
        <v>58.02</v>
      </c>
      <c r="BO3399" s="4">
        <v>58.02</v>
      </c>
      <c r="BQ3399" t="s">
        <v>109</v>
      </c>
      <c r="BR3399" t="s">
        <v>84</v>
      </c>
      <c r="BS3399" t="s">
        <v>201</v>
      </c>
      <c r="BY3399">
        <v>1200</v>
      </c>
      <c r="CC3399" t="s">
        <v>177</v>
      </c>
      <c r="CD3399">
        <v>3610</v>
      </c>
      <c r="CE3399" t="s">
        <v>147</v>
      </c>
      <c r="CI3399">
        <v>1</v>
      </c>
      <c r="CJ3399" t="s">
        <v>201</v>
      </c>
      <c r="CK3399">
        <v>21</v>
      </c>
      <c r="CL3399" t="s">
        <v>89</v>
      </c>
    </row>
    <row r="3400" spans="1:90">
      <c r="A3400" t="s">
        <v>72</v>
      </c>
      <c r="B3400" t="s">
        <v>73</v>
      </c>
      <c r="C3400" t="s">
        <v>74</v>
      </c>
      <c r="E3400" t="str">
        <f>"FES1162726026"</f>
        <v>FES1162726026</v>
      </c>
      <c r="F3400" s="3">
        <v>43798</v>
      </c>
      <c r="G3400">
        <v>202005</v>
      </c>
      <c r="H3400" t="s">
        <v>75</v>
      </c>
      <c r="I3400" t="s">
        <v>76</v>
      </c>
      <c r="J3400" t="s">
        <v>77</v>
      </c>
      <c r="K3400" t="s">
        <v>78</v>
      </c>
      <c r="L3400" t="s">
        <v>192</v>
      </c>
      <c r="M3400" t="s">
        <v>193</v>
      </c>
      <c r="N3400" t="s">
        <v>558</v>
      </c>
      <c r="O3400" t="s">
        <v>82</v>
      </c>
      <c r="P3400" t="str">
        <f>"2170717846                    "</f>
        <v xml:space="preserve">2170717846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16.63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 s="4">
        <v>97.75</v>
      </c>
      <c r="BM3400" s="4">
        <v>14.66</v>
      </c>
      <c r="BN3400" s="4">
        <v>112.41</v>
      </c>
      <c r="BO3400" s="4">
        <v>112.41</v>
      </c>
      <c r="BQ3400" t="s">
        <v>121</v>
      </c>
      <c r="BR3400" t="s">
        <v>84</v>
      </c>
      <c r="BS3400" t="s">
        <v>201</v>
      </c>
      <c r="BY3400">
        <v>1200</v>
      </c>
      <c r="CC3400" t="s">
        <v>193</v>
      </c>
      <c r="CD3400">
        <v>7130</v>
      </c>
      <c r="CE3400" t="s">
        <v>147</v>
      </c>
      <c r="CI3400">
        <v>1</v>
      </c>
      <c r="CJ3400" t="s">
        <v>201</v>
      </c>
      <c r="CK3400">
        <v>23</v>
      </c>
      <c r="CL3400" t="s">
        <v>89</v>
      </c>
    </row>
    <row r="3401" spans="1:90">
      <c r="A3401" t="s">
        <v>72</v>
      </c>
      <c r="B3401" t="s">
        <v>73</v>
      </c>
      <c r="C3401" t="s">
        <v>74</v>
      </c>
      <c r="E3401" t="str">
        <f>"FES1162726064"</f>
        <v>FES1162726064</v>
      </c>
      <c r="F3401" s="3">
        <v>43798</v>
      </c>
      <c r="G3401">
        <v>202005</v>
      </c>
      <c r="H3401" t="s">
        <v>75</v>
      </c>
      <c r="I3401" t="s">
        <v>76</v>
      </c>
      <c r="J3401" t="s">
        <v>77</v>
      </c>
      <c r="K3401" t="s">
        <v>78</v>
      </c>
      <c r="L3401" t="s">
        <v>202</v>
      </c>
      <c r="M3401" t="s">
        <v>203</v>
      </c>
      <c r="N3401" t="s">
        <v>1440</v>
      </c>
      <c r="O3401" t="s">
        <v>82</v>
      </c>
      <c r="P3401" t="str">
        <f>"2170719542                    "</f>
        <v xml:space="preserve">2170719542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6.71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 s="4">
        <v>39.42</v>
      </c>
      <c r="BM3401" s="4">
        <v>5.91</v>
      </c>
      <c r="BN3401" s="4">
        <v>45.33</v>
      </c>
      <c r="BO3401" s="4">
        <v>45.33</v>
      </c>
      <c r="BQ3401" t="s">
        <v>109</v>
      </c>
      <c r="BR3401" t="s">
        <v>84</v>
      </c>
      <c r="BS3401" t="s">
        <v>201</v>
      </c>
      <c r="BY3401">
        <v>1200</v>
      </c>
      <c r="CC3401" t="s">
        <v>203</v>
      </c>
      <c r="CD3401">
        <v>1428</v>
      </c>
      <c r="CE3401" t="s">
        <v>147</v>
      </c>
      <c r="CI3401">
        <v>1</v>
      </c>
      <c r="CJ3401" t="s">
        <v>201</v>
      </c>
      <c r="CK3401">
        <v>22</v>
      </c>
      <c r="CL3401" t="s">
        <v>89</v>
      </c>
    </row>
    <row r="3402" spans="1:90">
      <c r="A3402" t="s">
        <v>72</v>
      </c>
      <c r="B3402" t="s">
        <v>73</v>
      </c>
      <c r="C3402" t="s">
        <v>74</v>
      </c>
      <c r="E3402" t="str">
        <f>"FES1162725854"</f>
        <v>FES1162725854</v>
      </c>
      <c r="F3402" s="3">
        <v>43798</v>
      </c>
      <c r="G3402">
        <v>202005</v>
      </c>
      <c r="H3402" t="s">
        <v>75</v>
      </c>
      <c r="I3402" t="s">
        <v>76</v>
      </c>
      <c r="J3402" t="s">
        <v>77</v>
      </c>
      <c r="K3402" t="s">
        <v>78</v>
      </c>
      <c r="L3402" t="s">
        <v>339</v>
      </c>
      <c r="M3402" t="s">
        <v>340</v>
      </c>
      <c r="N3402" t="s">
        <v>3224</v>
      </c>
      <c r="O3402" t="s">
        <v>82</v>
      </c>
      <c r="P3402" t="str">
        <f>"2170717643                    "</f>
        <v xml:space="preserve">2170717643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30.03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7</v>
      </c>
      <c r="BJ3402">
        <v>2</v>
      </c>
      <c r="BK3402">
        <v>7</v>
      </c>
      <c r="BL3402" s="4">
        <v>176.5</v>
      </c>
      <c r="BM3402" s="4">
        <v>26.48</v>
      </c>
      <c r="BN3402" s="4">
        <v>202.98</v>
      </c>
      <c r="BO3402" s="4">
        <v>202.98</v>
      </c>
      <c r="BQ3402" t="s">
        <v>109</v>
      </c>
      <c r="BR3402" t="s">
        <v>84</v>
      </c>
      <c r="BS3402" t="s">
        <v>201</v>
      </c>
      <c r="BY3402">
        <v>9918</v>
      </c>
      <c r="CC3402" t="s">
        <v>340</v>
      </c>
      <c r="CD3402">
        <v>46</v>
      </c>
      <c r="CE3402" t="s">
        <v>88</v>
      </c>
      <c r="CI3402">
        <v>1</v>
      </c>
      <c r="CJ3402" t="s">
        <v>201</v>
      </c>
      <c r="CK3402">
        <v>21</v>
      </c>
      <c r="CL3402" t="s">
        <v>89</v>
      </c>
    </row>
    <row r="3403" spans="1:90">
      <c r="A3403" t="s">
        <v>72</v>
      </c>
      <c r="B3403" t="s">
        <v>73</v>
      </c>
      <c r="C3403" t="s">
        <v>74</v>
      </c>
      <c r="E3403" t="str">
        <f>"FES1162726077"</f>
        <v>FES1162726077</v>
      </c>
      <c r="F3403" s="3">
        <v>43798</v>
      </c>
      <c r="G3403">
        <v>202005</v>
      </c>
      <c r="H3403" t="s">
        <v>75</v>
      </c>
      <c r="I3403" t="s">
        <v>76</v>
      </c>
      <c r="J3403" t="s">
        <v>77</v>
      </c>
      <c r="K3403" t="s">
        <v>78</v>
      </c>
      <c r="L3403" t="s">
        <v>3039</v>
      </c>
      <c r="M3403" t="s">
        <v>3040</v>
      </c>
      <c r="N3403" t="s">
        <v>3041</v>
      </c>
      <c r="O3403" t="s">
        <v>82</v>
      </c>
      <c r="P3403" t="str">
        <f>"2170719560                    "</f>
        <v xml:space="preserve">2170719560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16.63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1.8</v>
      </c>
      <c r="BJ3403">
        <v>1.8</v>
      </c>
      <c r="BK3403">
        <v>2</v>
      </c>
      <c r="BL3403" s="4">
        <v>97.75</v>
      </c>
      <c r="BM3403" s="4">
        <v>14.66</v>
      </c>
      <c r="BN3403" s="4">
        <v>112.41</v>
      </c>
      <c r="BO3403" s="4">
        <v>112.41</v>
      </c>
      <c r="BQ3403" t="s">
        <v>142</v>
      </c>
      <c r="BR3403" t="s">
        <v>84</v>
      </c>
      <c r="BS3403" t="s">
        <v>201</v>
      </c>
      <c r="BY3403">
        <v>9062.9</v>
      </c>
      <c r="CC3403" t="s">
        <v>3040</v>
      </c>
      <c r="CD3403">
        <v>2499</v>
      </c>
      <c r="CE3403" t="s">
        <v>88</v>
      </c>
      <c r="CI3403">
        <v>1</v>
      </c>
      <c r="CJ3403" t="s">
        <v>201</v>
      </c>
      <c r="CK3403">
        <v>23</v>
      </c>
      <c r="CL3403" t="s">
        <v>89</v>
      </c>
    </row>
    <row r="3404" spans="1:90">
      <c r="A3404" t="s">
        <v>72</v>
      </c>
      <c r="B3404" t="s">
        <v>73</v>
      </c>
      <c r="C3404" t="s">
        <v>74</v>
      </c>
      <c r="E3404" t="str">
        <f>"FES1162725875"</f>
        <v>FES1162725875</v>
      </c>
      <c r="F3404" s="3">
        <v>43798</v>
      </c>
      <c r="G3404">
        <v>202005</v>
      </c>
      <c r="H3404" t="s">
        <v>75</v>
      </c>
      <c r="I3404" t="s">
        <v>76</v>
      </c>
      <c r="J3404" t="s">
        <v>77</v>
      </c>
      <c r="K3404" t="s">
        <v>78</v>
      </c>
      <c r="L3404" t="s">
        <v>106</v>
      </c>
      <c r="M3404" t="s">
        <v>107</v>
      </c>
      <c r="N3404" t="s">
        <v>150</v>
      </c>
      <c r="O3404" t="s">
        <v>82</v>
      </c>
      <c r="P3404" t="str">
        <f>"2170717024                    "</f>
        <v xml:space="preserve">2170717024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10.73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2.5</v>
      </c>
      <c r="BJ3404">
        <v>1.6</v>
      </c>
      <c r="BK3404">
        <v>2.5</v>
      </c>
      <c r="BL3404" s="4">
        <v>63.06</v>
      </c>
      <c r="BM3404" s="4">
        <v>9.4600000000000009</v>
      </c>
      <c r="BN3404" s="4">
        <v>72.52</v>
      </c>
      <c r="BO3404" s="4">
        <v>72.52</v>
      </c>
      <c r="BQ3404" t="s">
        <v>109</v>
      </c>
      <c r="BR3404" t="s">
        <v>84</v>
      </c>
      <c r="BS3404" t="s">
        <v>201</v>
      </c>
      <c r="BY3404">
        <v>8019</v>
      </c>
      <c r="CC3404" t="s">
        <v>107</v>
      </c>
      <c r="CD3404">
        <v>6001</v>
      </c>
      <c r="CE3404" t="s">
        <v>88</v>
      </c>
      <c r="CI3404">
        <v>1</v>
      </c>
      <c r="CJ3404" t="s">
        <v>201</v>
      </c>
      <c r="CK3404">
        <v>21</v>
      </c>
      <c r="CL3404" t="s">
        <v>89</v>
      </c>
    </row>
    <row r="3405" spans="1:90">
      <c r="A3405" t="s">
        <v>72</v>
      </c>
      <c r="B3405" t="s">
        <v>73</v>
      </c>
      <c r="C3405" t="s">
        <v>74</v>
      </c>
      <c r="E3405" t="str">
        <f>"FES1162726069"</f>
        <v>FES1162726069</v>
      </c>
      <c r="F3405" s="3">
        <v>43798</v>
      </c>
      <c r="G3405">
        <v>202005</v>
      </c>
      <c r="H3405" t="s">
        <v>75</v>
      </c>
      <c r="I3405" t="s">
        <v>76</v>
      </c>
      <c r="J3405" t="s">
        <v>77</v>
      </c>
      <c r="K3405" t="s">
        <v>78</v>
      </c>
      <c r="L3405" t="s">
        <v>118</v>
      </c>
      <c r="M3405" t="s">
        <v>119</v>
      </c>
      <c r="N3405" t="s">
        <v>775</v>
      </c>
      <c r="O3405" t="s">
        <v>82</v>
      </c>
      <c r="P3405" t="str">
        <f>"2170719547                    "</f>
        <v xml:space="preserve">2170719547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8.58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 s="4">
        <v>50.45</v>
      </c>
      <c r="BM3405" s="4">
        <v>7.57</v>
      </c>
      <c r="BN3405" s="4">
        <v>58.02</v>
      </c>
      <c r="BO3405" s="4">
        <v>58.02</v>
      </c>
      <c r="BQ3405" t="s">
        <v>142</v>
      </c>
      <c r="BR3405" t="s">
        <v>84</v>
      </c>
      <c r="BS3405" t="s">
        <v>201</v>
      </c>
      <c r="BY3405">
        <v>1200</v>
      </c>
      <c r="CC3405" t="s">
        <v>119</v>
      </c>
      <c r="CD3405">
        <v>3201</v>
      </c>
      <c r="CE3405" t="s">
        <v>147</v>
      </c>
      <c r="CI3405">
        <v>1</v>
      </c>
      <c r="CJ3405" t="s">
        <v>201</v>
      </c>
      <c r="CK3405">
        <v>21</v>
      </c>
      <c r="CL3405" t="s">
        <v>89</v>
      </c>
    </row>
    <row r="3406" spans="1:90">
      <c r="A3406" t="s">
        <v>72</v>
      </c>
      <c r="B3406" t="s">
        <v>73</v>
      </c>
      <c r="C3406" t="s">
        <v>74</v>
      </c>
      <c r="E3406" t="str">
        <f>"FES1162725960"</f>
        <v>FES1162725960</v>
      </c>
      <c r="F3406" s="3">
        <v>43798</v>
      </c>
      <c r="G3406">
        <v>202005</v>
      </c>
      <c r="H3406" t="s">
        <v>75</v>
      </c>
      <c r="I3406" t="s">
        <v>76</v>
      </c>
      <c r="J3406" t="s">
        <v>77</v>
      </c>
      <c r="K3406" t="s">
        <v>78</v>
      </c>
      <c r="L3406" t="s">
        <v>578</v>
      </c>
      <c r="M3406" t="s">
        <v>579</v>
      </c>
      <c r="N3406" t="s">
        <v>1020</v>
      </c>
      <c r="O3406" t="s">
        <v>82</v>
      </c>
      <c r="P3406" t="str">
        <f>"2170719476                    "</f>
        <v xml:space="preserve">2170719476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23.59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5.0999999999999996</v>
      </c>
      <c r="BJ3406">
        <v>4</v>
      </c>
      <c r="BK3406">
        <v>5.5</v>
      </c>
      <c r="BL3406" s="4">
        <v>138.68</v>
      </c>
      <c r="BM3406" s="4">
        <v>20.8</v>
      </c>
      <c r="BN3406" s="4">
        <v>159.47999999999999</v>
      </c>
      <c r="BO3406" s="4">
        <v>159.47999999999999</v>
      </c>
      <c r="BQ3406" t="s">
        <v>121</v>
      </c>
      <c r="BR3406" t="s">
        <v>84</v>
      </c>
      <c r="BS3406" t="s">
        <v>201</v>
      </c>
      <c r="BY3406">
        <v>20181.849999999999</v>
      </c>
      <c r="CC3406" t="s">
        <v>579</v>
      </c>
      <c r="CD3406">
        <v>7600</v>
      </c>
      <c r="CE3406" t="s">
        <v>1598</v>
      </c>
      <c r="CI3406">
        <v>1</v>
      </c>
      <c r="CJ3406" t="s">
        <v>201</v>
      </c>
      <c r="CK3406">
        <v>21</v>
      </c>
      <c r="CL3406" t="s">
        <v>89</v>
      </c>
    </row>
    <row r="3407" spans="1:90">
      <c r="A3407" t="s">
        <v>72</v>
      </c>
      <c r="B3407" t="s">
        <v>73</v>
      </c>
      <c r="C3407" t="s">
        <v>74</v>
      </c>
      <c r="E3407" t="str">
        <f>"FES1162725800"</f>
        <v>FES1162725800</v>
      </c>
      <c r="F3407" s="3">
        <v>43798</v>
      </c>
      <c r="G3407">
        <v>202005</v>
      </c>
      <c r="H3407" t="s">
        <v>75</v>
      </c>
      <c r="I3407" t="s">
        <v>76</v>
      </c>
      <c r="J3407" t="s">
        <v>77</v>
      </c>
      <c r="K3407" t="s">
        <v>78</v>
      </c>
      <c r="L3407" t="s">
        <v>75</v>
      </c>
      <c r="M3407" t="s">
        <v>76</v>
      </c>
      <c r="N3407" t="s">
        <v>1416</v>
      </c>
      <c r="O3407" t="s">
        <v>82</v>
      </c>
      <c r="P3407" t="str">
        <f>"217071365                     "</f>
        <v xml:space="preserve">217071365 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6.71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1.6</v>
      </c>
      <c r="BJ3407">
        <v>0.8</v>
      </c>
      <c r="BK3407">
        <v>2</v>
      </c>
      <c r="BL3407" s="4">
        <v>39.42</v>
      </c>
      <c r="BM3407" s="4">
        <v>5.91</v>
      </c>
      <c r="BN3407" s="4">
        <v>45.33</v>
      </c>
      <c r="BO3407" s="4">
        <v>45.33</v>
      </c>
      <c r="BQ3407" t="s">
        <v>1417</v>
      </c>
      <c r="BR3407" t="s">
        <v>84</v>
      </c>
      <c r="BS3407" s="3">
        <v>43801</v>
      </c>
      <c r="BT3407" s="5">
        <v>0.27916666666666667</v>
      </c>
      <c r="BU3407" t="s">
        <v>2624</v>
      </c>
      <c r="BV3407" t="s">
        <v>86</v>
      </c>
      <c r="BY3407">
        <v>3783.58</v>
      </c>
      <c r="CA3407" t="s">
        <v>198</v>
      </c>
      <c r="CC3407" t="s">
        <v>76</v>
      </c>
      <c r="CD3407">
        <v>1601</v>
      </c>
      <c r="CE3407" t="s">
        <v>1598</v>
      </c>
      <c r="CI3407">
        <v>1</v>
      </c>
      <c r="CJ3407">
        <v>1</v>
      </c>
      <c r="CK3407">
        <v>22</v>
      </c>
      <c r="CL3407" t="s">
        <v>89</v>
      </c>
    </row>
    <row r="3408" spans="1:90">
      <c r="A3408" t="s">
        <v>72</v>
      </c>
      <c r="B3408" t="s">
        <v>73</v>
      </c>
      <c r="C3408" t="s">
        <v>74</v>
      </c>
      <c r="E3408" t="str">
        <f>"FES1162725915"</f>
        <v>FES1162725915</v>
      </c>
      <c r="F3408" s="3">
        <v>43798</v>
      </c>
      <c r="G3408">
        <v>202005</v>
      </c>
      <c r="H3408" t="s">
        <v>75</v>
      </c>
      <c r="I3408" t="s">
        <v>76</v>
      </c>
      <c r="J3408" t="s">
        <v>77</v>
      </c>
      <c r="K3408" t="s">
        <v>78</v>
      </c>
      <c r="L3408" t="s">
        <v>101</v>
      </c>
      <c r="M3408" t="s">
        <v>102</v>
      </c>
      <c r="N3408" t="s">
        <v>330</v>
      </c>
      <c r="O3408" t="s">
        <v>82</v>
      </c>
      <c r="P3408" t="str">
        <f>"2170718874                    "</f>
        <v xml:space="preserve">2170718874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15.02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2.8</v>
      </c>
      <c r="BJ3408">
        <v>3.5</v>
      </c>
      <c r="BK3408">
        <v>3.5</v>
      </c>
      <c r="BL3408" s="4">
        <v>88.27</v>
      </c>
      <c r="BM3408" s="4">
        <v>13.24</v>
      </c>
      <c r="BN3408" s="4">
        <v>101.51</v>
      </c>
      <c r="BO3408" s="4">
        <v>101.51</v>
      </c>
      <c r="BQ3408" t="s">
        <v>109</v>
      </c>
      <c r="BR3408" t="s">
        <v>84</v>
      </c>
      <c r="BS3408" t="s">
        <v>201</v>
      </c>
      <c r="BY3408">
        <v>17691.7</v>
      </c>
      <c r="CC3408" t="s">
        <v>102</v>
      </c>
      <c r="CD3408">
        <v>200</v>
      </c>
      <c r="CE3408" t="s">
        <v>88</v>
      </c>
      <c r="CI3408">
        <v>1</v>
      </c>
      <c r="CJ3408" t="s">
        <v>201</v>
      </c>
      <c r="CK3408">
        <v>21</v>
      </c>
      <c r="CL3408" t="s">
        <v>89</v>
      </c>
    </row>
    <row r="3409" spans="1:90">
      <c r="A3409" t="s">
        <v>72</v>
      </c>
      <c r="B3409" t="s">
        <v>73</v>
      </c>
      <c r="C3409" t="s">
        <v>74</v>
      </c>
      <c r="E3409" t="str">
        <f>"FES1162725855"</f>
        <v>FES1162725855</v>
      </c>
      <c r="F3409" s="3">
        <v>43798</v>
      </c>
      <c r="G3409">
        <v>202005</v>
      </c>
      <c r="H3409" t="s">
        <v>75</v>
      </c>
      <c r="I3409" t="s">
        <v>76</v>
      </c>
      <c r="J3409" t="s">
        <v>77</v>
      </c>
      <c r="K3409" t="s">
        <v>78</v>
      </c>
      <c r="L3409" t="s">
        <v>101</v>
      </c>
      <c r="M3409" t="s">
        <v>102</v>
      </c>
      <c r="N3409" t="s">
        <v>2356</v>
      </c>
      <c r="O3409" t="s">
        <v>82</v>
      </c>
      <c r="P3409" t="str">
        <f>"2170710570                    "</f>
        <v xml:space="preserve">2170710570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25.74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5.7</v>
      </c>
      <c r="BJ3409">
        <v>4</v>
      </c>
      <c r="BK3409">
        <v>6</v>
      </c>
      <c r="BL3409" s="4">
        <v>151.29</v>
      </c>
      <c r="BM3409" s="4">
        <v>22.69</v>
      </c>
      <c r="BN3409" s="4">
        <v>173.98</v>
      </c>
      <c r="BO3409" s="4">
        <v>173.98</v>
      </c>
      <c r="BQ3409" t="s">
        <v>109</v>
      </c>
      <c r="BR3409" t="s">
        <v>84</v>
      </c>
      <c r="BS3409" t="s">
        <v>201</v>
      </c>
      <c r="BY3409">
        <v>19961.64</v>
      </c>
      <c r="CC3409" t="s">
        <v>102</v>
      </c>
      <c r="CD3409">
        <v>1</v>
      </c>
      <c r="CE3409" t="s">
        <v>88</v>
      </c>
      <c r="CI3409">
        <v>1</v>
      </c>
      <c r="CJ3409" t="s">
        <v>201</v>
      </c>
      <c r="CK3409">
        <v>21</v>
      </c>
      <c r="CL3409" t="s">
        <v>89</v>
      </c>
    </row>
    <row r="3410" spans="1:90">
      <c r="A3410" t="s">
        <v>72</v>
      </c>
      <c r="B3410" t="s">
        <v>73</v>
      </c>
      <c r="C3410" t="s">
        <v>74</v>
      </c>
      <c r="E3410" t="str">
        <f>"FES1162725769"</f>
        <v>FES1162725769</v>
      </c>
      <c r="F3410" s="3">
        <v>43798</v>
      </c>
      <c r="G3410">
        <v>202005</v>
      </c>
      <c r="H3410" t="s">
        <v>75</v>
      </c>
      <c r="I3410" t="s">
        <v>76</v>
      </c>
      <c r="J3410" t="s">
        <v>77</v>
      </c>
      <c r="K3410" t="s">
        <v>78</v>
      </c>
      <c r="L3410" t="s">
        <v>133</v>
      </c>
      <c r="M3410" t="s">
        <v>134</v>
      </c>
      <c r="N3410" t="s">
        <v>135</v>
      </c>
      <c r="O3410" t="s">
        <v>82</v>
      </c>
      <c r="P3410" t="str">
        <f>"2170718752                    "</f>
        <v xml:space="preserve">2170718752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42.89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5.7</v>
      </c>
      <c r="BJ3410">
        <v>9.9</v>
      </c>
      <c r="BK3410">
        <v>10</v>
      </c>
      <c r="BL3410" s="4">
        <v>252.12</v>
      </c>
      <c r="BM3410" s="4">
        <v>37.82</v>
      </c>
      <c r="BN3410" s="4">
        <v>289.94</v>
      </c>
      <c r="BO3410" s="4">
        <v>289.94</v>
      </c>
      <c r="BQ3410" t="s">
        <v>109</v>
      </c>
      <c r="BR3410" t="s">
        <v>84</v>
      </c>
      <c r="BS3410" t="s">
        <v>201</v>
      </c>
      <c r="BY3410">
        <v>49489.63</v>
      </c>
      <c r="CC3410" t="s">
        <v>134</v>
      </c>
      <c r="CD3410">
        <v>5201</v>
      </c>
      <c r="CE3410" t="s">
        <v>1598</v>
      </c>
      <c r="CI3410">
        <v>1</v>
      </c>
      <c r="CJ3410" t="s">
        <v>201</v>
      </c>
      <c r="CK3410">
        <v>21</v>
      </c>
      <c r="CL3410" t="s">
        <v>89</v>
      </c>
    </row>
    <row r="3411" spans="1:90">
      <c r="A3411" t="s">
        <v>72</v>
      </c>
      <c r="B3411" t="s">
        <v>73</v>
      </c>
      <c r="C3411" t="s">
        <v>74</v>
      </c>
      <c r="E3411" t="str">
        <f>"FES1162725896"</f>
        <v>FES1162725896</v>
      </c>
      <c r="F3411" s="3">
        <v>43798</v>
      </c>
      <c r="G3411">
        <v>202005</v>
      </c>
      <c r="H3411" t="s">
        <v>75</v>
      </c>
      <c r="I3411" t="s">
        <v>76</v>
      </c>
      <c r="J3411" t="s">
        <v>77</v>
      </c>
      <c r="K3411" t="s">
        <v>78</v>
      </c>
      <c r="L3411" t="s">
        <v>75</v>
      </c>
      <c r="M3411" t="s">
        <v>76</v>
      </c>
      <c r="N3411" t="s">
        <v>466</v>
      </c>
      <c r="O3411" t="s">
        <v>82</v>
      </c>
      <c r="P3411" t="str">
        <f>"2170719442                    "</f>
        <v xml:space="preserve">2170719442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25.19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6.7</v>
      </c>
      <c r="BJ3411">
        <v>13.3</v>
      </c>
      <c r="BK3411">
        <v>13.5</v>
      </c>
      <c r="BL3411" s="4">
        <v>148.06</v>
      </c>
      <c r="BM3411" s="4">
        <v>22.21</v>
      </c>
      <c r="BN3411" s="4">
        <v>170.27</v>
      </c>
      <c r="BO3411" s="4">
        <v>170.27</v>
      </c>
      <c r="BQ3411" t="s">
        <v>109</v>
      </c>
      <c r="BR3411" t="s">
        <v>84</v>
      </c>
      <c r="BS3411" t="s">
        <v>201</v>
      </c>
      <c r="BY3411">
        <v>66513.490000000005</v>
      </c>
      <c r="CC3411" t="s">
        <v>76</v>
      </c>
      <c r="CD3411">
        <v>1609</v>
      </c>
      <c r="CE3411" t="s">
        <v>1598</v>
      </c>
      <c r="CI3411">
        <v>1</v>
      </c>
      <c r="CJ3411" t="s">
        <v>201</v>
      </c>
      <c r="CK3411">
        <v>22</v>
      </c>
      <c r="CL3411" t="s">
        <v>89</v>
      </c>
    </row>
    <row r="3412" spans="1:90">
      <c r="A3412" t="s">
        <v>72</v>
      </c>
      <c r="B3412" t="s">
        <v>73</v>
      </c>
      <c r="C3412" t="s">
        <v>74</v>
      </c>
      <c r="E3412" t="str">
        <f>"FES1162725954"</f>
        <v>FES1162725954</v>
      </c>
      <c r="F3412" s="3">
        <v>43798</v>
      </c>
      <c r="G3412">
        <v>202005</v>
      </c>
      <c r="H3412" t="s">
        <v>75</v>
      </c>
      <c r="I3412" t="s">
        <v>76</v>
      </c>
      <c r="J3412" t="s">
        <v>77</v>
      </c>
      <c r="K3412" t="s">
        <v>78</v>
      </c>
      <c r="L3412" t="s">
        <v>1268</v>
      </c>
      <c r="M3412" t="s">
        <v>1269</v>
      </c>
      <c r="N3412" t="s">
        <v>1270</v>
      </c>
      <c r="O3412" t="s">
        <v>82</v>
      </c>
      <c r="P3412" t="str">
        <f>"2170718928                    "</f>
        <v xml:space="preserve">2170718928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8.58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0.8</v>
      </c>
      <c r="BJ3412">
        <v>0.9</v>
      </c>
      <c r="BK3412">
        <v>1</v>
      </c>
      <c r="BL3412" s="4">
        <v>50.45</v>
      </c>
      <c r="BM3412" s="4">
        <v>7.57</v>
      </c>
      <c r="BN3412" s="4">
        <v>58.02</v>
      </c>
      <c r="BO3412" s="4">
        <v>58.02</v>
      </c>
      <c r="BQ3412" t="s">
        <v>109</v>
      </c>
      <c r="BR3412" t="s">
        <v>84</v>
      </c>
      <c r="BS3412" t="s">
        <v>201</v>
      </c>
      <c r="BY3412">
        <v>4454.63</v>
      </c>
      <c r="CC3412" t="s">
        <v>1269</v>
      </c>
      <c r="CD3412">
        <v>3290</v>
      </c>
      <c r="CE3412" t="s">
        <v>88</v>
      </c>
      <c r="CI3412">
        <v>1</v>
      </c>
      <c r="CJ3412" t="s">
        <v>201</v>
      </c>
      <c r="CK3412">
        <v>21</v>
      </c>
      <c r="CL3412" t="s">
        <v>89</v>
      </c>
    </row>
    <row r="3413" spans="1:90">
      <c r="A3413" t="s">
        <v>72</v>
      </c>
      <c r="B3413" t="s">
        <v>73</v>
      </c>
      <c r="C3413" t="s">
        <v>74</v>
      </c>
      <c r="E3413" t="str">
        <f>"FES1162726087"</f>
        <v>FES1162726087</v>
      </c>
      <c r="F3413" s="3">
        <v>43798</v>
      </c>
      <c r="G3413">
        <v>202005</v>
      </c>
      <c r="H3413" t="s">
        <v>75</v>
      </c>
      <c r="I3413" t="s">
        <v>76</v>
      </c>
      <c r="J3413" t="s">
        <v>77</v>
      </c>
      <c r="K3413" t="s">
        <v>78</v>
      </c>
      <c r="L3413" t="s">
        <v>112</v>
      </c>
      <c r="M3413" t="s">
        <v>113</v>
      </c>
      <c r="N3413" t="s">
        <v>423</v>
      </c>
      <c r="O3413" t="s">
        <v>82</v>
      </c>
      <c r="P3413" t="str">
        <f>"217081674                     "</f>
        <v xml:space="preserve">217081674 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38.6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8.8000000000000007</v>
      </c>
      <c r="BJ3413">
        <v>8.4</v>
      </c>
      <c r="BK3413">
        <v>9</v>
      </c>
      <c r="BL3413" s="4">
        <v>226.91</v>
      </c>
      <c r="BM3413" s="4">
        <v>34.04</v>
      </c>
      <c r="BN3413" s="4">
        <v>260.95</v>
      </c>
      <c r="BO3413" s="4">
        <v>260.95</v>
      </c>
      <c r="BQ3413" t="s">
        <v>424</v>
      </c>
      <c r="BR3413" t="s">
        <v>84</v>
      </c>
      <c r="BS3413" s="3">
        <v>43801</v>
      </c>
      <c r="BT3413" s="5">
        <v>0.28472222222222221</v>
      </c>
      <c r="BU3413" t="s">
        <v>1946</v>
      </c>
      <c r="BY3413">
        <v>42122.75</v>
      </c>
      <c r="CC3413" t="s">
        <v>113</v>
      </c>
      <c r="CD3413">
        <v>4001</v>
      </c>
      <c r="CE3413" t="s">
        <v>88</v>
      </c>
      <c r="CI3413">
        <v>1</v>
      </c>
      <c r="CJ3413">
        <v>1</v>
      </c>
      <c r="CK3413">
        <v>21</v>
      </c>
      <c r="CL3413" t="s">
        <v>89</v>
      </c>
    </row>
    <row r="3414" spans="1:90">
      <c r="A3414" t="s">
        <v>72</v>
      </c>
      <c r="B3414" t="s">
        <v>73</v>
      </c>
      <c r="C3414" t="s">
        <v>74</v>
      </c>
      <c r="E3414" t="str">
        <f>"FES1162725996"</f>
        <v>FES1162725996</v>
      </c>
      <c r="F3414" s="3">
        <v>43798</v>
      </c>
      <c r="G3414">
        <v>202005</v>
      </c>
      <c r="H3414" t="s">
        <v>75</v>
      </c>
      <c r="I3414" t="s">
        <v>76</v>
      </c>
      <c r="J3414" t="s">
        <v>77</v>
      </c>
      <c r="K3414" t="s">
        <v>78</v>
      </c>
      <c r="L3414" t="s">
        <v>112</v>
      </c>
      <c r="M3414" t="s">
        <v>113</v>
      </c>
      <c r="N3414" t="s">
        <v>1380</v>
      </c>
      <c r="O3414" t="s">
        <v>82</v>
      </c>
      <c r="P3414" t="str">
        <f>"2170717831                    "</f>
        <v xml:space="preserve">2170717831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8.58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 s="4">
        <v>50.45</v>
      </c>
      <c r="BM3414" s="4">
        <v>7.57</v>
      </c>
      <c r="BN3414" s="4">
        <v>58.02</v>
      </c>
      <c r="BO3414" s="4">
        <v>58.02</v>
      </c>
      <c r="BQ3414" t="s">
        <v>121</v>
      </c>
      <c r="BR3414" t="s">
        <v>84</v>
      </c>
      <c r="BS3414" t="s">
        <v>201</v>
      </c>
      <c r="BY3414">
        <v>1200</v>
      </c>
      <c r="CC3414" t="s">
        <v>113</v>
      </c>
      <c r="CD3414">
        <v>4051</v>
      </c>
      <c r="CE3414" t="s">
        <v>147</v>
      </c>
      <c r="CI3414">
        <v>1</v>
      </c>
      <c r="CJ3414" t="s">
        <v>201</v>
      </c>
      <c r="CK3414">
        <v>21</v>
      </c>
      <c r="CL3414" t="s">
        <v>89</v>
      </c>
    </row>
    <row r="3415" spans="1:90">
      <c r="A3415" t="s">
        <v>72</v>
      </c>
      <c r="B3415" t="s">
        <v>73</v>
      </c>
      <c r="C3415" t="s">
        <v>74</v>
      </c>
      <c r="E3415" t="str">
        <f>"FES1162726083"</f>
        <v>FES1162726083</v>
      </c>
      <c r="F3415" s="3">
        <v>43798</v>
      </c>
      <c r="G3415">
        <v>202005</v>
      </c>
      <c r="H3415" t="s">
        <v>75</v>
      </c>
      <c r="I3415" t="s">
        <v>76</v>
      </c>
      <c r="J3415" t="s">
        <v>77</v>
      </c>
      <c r="K3415" t="s">
        <v>78</v>
      </c>
      <c r="L3415" t="s">
        <v>118</v>
      </c>
      <c r="M3415" t="s">
        <v>119</v>
      </c>
      <c r="N3415" t="s">
        <v>630</v>
      </c>
      <c r="O3415" t="s">
        <v>82</v>
      </c>
      <c r="P3415" t="str">
        <f>"2170719573                    "</f>
        <v xml:space="preserve">2170719573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21.45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5</v>
      </c>
      <c r="BJ3415">
        <v>3.2</v>
      </c>
      <c r="BK3415">
        <v>5</v>
      </c>
      <c r="BL3415" s="4">
        <v>126.08</v>
      </c>
      <c r="BM3415" s="4">
        <v>18.91</v>
      </c>
      <c r="BN3415" s="4">
        <v>144.99</v>
      </c>
      <c r="BO3415" s="4">
        <v>144.99</v>
      </c>
      <c r="BQ3415" t="s">
        <v>121</v>
      </c>
      <c r="BR3415" t="s">
        <v>84</v>
      </c>
      <c r="BS3415" t="s">
        <v>201</v>
      </c>
      <c r="BY3415">
        <v>16176.03</v>
      </c>
      <c r="CC3415" t="s">
        <v>119</v>
      </c>
      <c r="CD3415">
        <v>3201</v>
      </c>
      <c r="CE3415" t="s">
        <v>88</v>
      </c>
      <c r="CI3415">
        <v>1</v>
      </c>
      <c r="CJ3415" t="s">
        <v>201</v>
      </c>
      <c r="CK3415">
        <v>21</v>
      </c>
      <c r="CL3415" t="s">
        <v>89</v>
      </c>
    </row>
    <row r="3416" spans="1:90">
      <c r="A3416" t="s">
        <v>72</v>
      </c>
      <c r="B3416" t="s">
        <v>73</v>
      </c>
      <c r="C3416" t="s">
        <v>74</v>
      </c>
      <c r="E3416" t="str">
        <f>"FES1162725963"</f>
        <v>FES1162725963</v>
      </c>
      <c r="F3416" s="3">
        <v>43798</v>
      </c>
      <c r="G3416">
        <v>202005</v>
      </c>
      <c r="H3416" t="s">
        <v>75</v>
      </c>
      <c r="I3416" t="s">
        <v>76</v>
      </c>
      <c r="J3416" t="s">
        <v>77</v>
      </c>
      <c r="K3416" t="s">
        <v>78</v>
      </c>
      <c r="L3416" t="s">
        <v>176</v>
      </c>
      <c r="M3416" t="s">
        <v>177</v>
      </c>
      <c r="N3416" t="s">
        <v>600</v>
      </c>
      <c r="O3416" t="s">
        <v>82</v>
      </c>
      <c r="P3416" t="str">
        <f>"2170719475                    "</f>
        <v xml:space="preserve">2170719475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8.58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 s="4">
        <v>50.45</v>
      </c>
      <c r="BM3416" s="4">
        <v>7.57</v>
      </c>
      <c r="BN3416" s="4">
        <v>58.02</v>
      </c>
      <c r="BO3416" s="4">
        <v>58.02</v>
      </c>
      <c r="BQ3416" t="s">
        <v>109</v>
      </c>
      <c r="BR3416" t="s">
        <v>84</v>
      </c>
      <c r="BS3416" t="s">
        <v>201</v>
      </c>
      <c r="BY3416">
        <v>1200</v>
      </c>
      <c r="CC3416" t="s">
        <v>177</v>
      </c>
      <c r="CD3416">
        <v>3610</v>
      </c>
      <c r="CE3416" t="s">
        <v>147</v>
      </c>
      <c r="CI3416">
        <v>1</v>
      </c>
      <c r="CJ3416" t="s">
        <v>201</v>
      </c>
      <c r="CK3416">
        <v>21</v>
      </c>
      <c r="CL3416" t="s">
        <v>89</v>
      </c>
    </row>
    <row r="3417" spans="1:90">
      <c r="A3417" t="s">
        <v>72</v>
      </c>
      <c r="B3417" t="s">
        <v>73</v>
      </c>
      <c r="C3417" t="s">
        <v>74</v>
      </c>
      <c r="E3417" t="str">
        <f>"FES1162726016"</f>
        <v>FES1162726016</v>
      </c>
      <c r="F3417" s="3">
        <v>43798</v>
      </c>
      <c r="G3417">
        <v>202005</v>
      </c>
      <c r="H3417" t="s">
        <v>75</v>
      </c>
      <c r="I3417" t="s">
        <v>76</v>
      </c>
      <c r="J3417" t="s">
        <v>77</v>
      </c>
      <c r="K3417" t="s">
        <v>78</v>
      </c>
      <c r="L3417" t="s">
        <v>124</v>
      </c>
      <c r="M3417" t="s">
        <v>125</v>
      </c>
      <c r="N3417" t="s">
        <v>642</v>
      </c>
      <c r="O3417" t="s">
        <v>82</v>
      </c>
      <c r="P3417" t="str">
        <f>"2170717470                    "</f>
        <v xml:space="preserve">2170717470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6.71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 s="4">
        <v>39.42</v>
      </c>
      <c r="BM3417" s="4">
        <v>5.91</v>
      </c>
      <c r="BN3417" s="4">
        <v>45.33</v>
      </c>
      <c r="BO3417" s="4">
        <v>45.33</v>
      </c>
      <c r="BQ3417" t="s">
        <v>109</v>
      </c>
      <c r="BR3417" t="s">
        <v>84</v>
      </c>
      <c r="BS3417" t="s">
        <v>201</v>
      </c>
      <c r="BY3417">
        <v>1200</v>
      </c>
      <c r="CC3417" t="s">
        <v>125</v>
      </c>
      <c r="CD3417">
        <v>2091</v>
      </c>
      <c r="CE3417" t="s">
        <v>147</v>
      </c>
      <c r="CI3417">
        <v>1</v>
      </c>
      <c r="CJ3417" t="s">
        <v>201</v>
      </c>
      <c r="CK3417">
        <v>22</v>
      </c>
      <c r="CL3417" t="s">
        <v>89</v>
      </c>
    </row>
    <row r="3418" spans="1:90">
      <c r="A3418" t="s">
        <v>72</v>
      </c>
      <c r="B3418" t="s">
        <v>73</v>
      </c>
      <c r="C3418" t="s">
        <v>74</v>
      </c>
      <c r="E3418" t="str">
        <f>"FES1162724156"</f>
        <v>FES1162724156</v>
      </c>
      <c r="F3418" s="3">
        <v>43790</v>
      </c>
      <c r="G3418">
        <v>202005</v>
      </c>
      <c r="H3418" t="s">
        <v>75</v>
      </c>
      <c r="I3418" t="s">
        <v>76</v>
      </c>
      <c r="J3418" t="s">
        <v>211</v>
      </c>
      <c r="K3418" t="s">
        <v>78</v>
      </c>
      <c r="L3418" t="s">
        <v>405</v>
      </c>
      <c r="M3418" t="s">
        <v>406</v>
      </c>
      <c r="N3418" t="s">
        <v>934</v>
      </c>
      <c r="O3418" t="s">
        <v>756</v>
      </c>
      <c r="P3418" t="str">
        <f>"2170716134                    "</f>
        <v xml:space="preserve">2170716134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12.07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0.2</v>
      </c>
      <c r="BJ3418">
        <v>2.4</v>
      </c>
      <c r="BK3418">
        <v>3</v>
      </c>
      <c r="BL3418" s="4">
        <v>70.95</v>
      </c>
      <c r="BM3418" s="4">
        <v>10.64</v>
      </c>
      <c r="BN3418" s="4">
        <v>81.59</v>
      </c>
      <c r="BO3418" s="4">
        <v>81.59</v>
      </c>
      <c r="BQ3418" t="s">
        <v>121</v>
      </c>
      <c r="BR3418" t="s">
        <v>212</v>
      </c>
      <c r="BS3418" s="3">
        <v>43791</v>
      </c>
      <c r="BT3418" s="5">
        <v>0.40972222222222227</v>
      </c>
      <c r="BU3418" t="s">
        <v>2748</v>
      </c>
      <c r="BV3418" t="s">
        <v>86</v>
      </c>
      <c r="BY3418">
        <v>11822.43</v>
      </c>
      <c r="BZ3418" t="s">
        <v>27</v>
      </c>
      <c r="CA3418" t="s">
        <v>1501</v>
      </c>
      <c r="CC3418" t="s">
        <v>406</v>
      </c>
      <c r="CD3418">
        <v>250</v>
      </c>
      <c r="CE3418" t="s">
        <v>88</v>
      </c>
      <c r="CF3418" s="3">
        <v>43795</v>
      </c>
      <c r="CI3418">
        <v>1</v>
      </c>
      <c r="CJ3418">
        <v>1</v>
      </c>
      <c r="CK3418">
        <v>34</v>
      </c>
      <c r="CL3418" t="s">
        <v>89</v>
      </c>
    </row>
    <row r="3419" spans="1:90">
      <c r="A3419" t="s">
        <v>72</v>
      </c>
      <c r="B3419" t="s">
        <v>73</v>
      </c>
      <c r="C3419" t="s">
        <v>74</v>
      </c>
      <c r="E3419" t="str">
        <f>"FES1162725983"</f>
        <v>FES1162725983</v>
      </c>
      <c r="F3419" s="3">
        <v>43798</v>
      </c>
      <c r="G3419">
        <v>202005</v>
      </c>
      <c r="H3419" t="s">
        <v>75</v>
      </c>
      <c r="I3419" t="s">
        <v>76</v>
      </c>
      <c r="J3419" t="s">
        <v>77</v>
      </c>
      <c r="K3419" t="s">
        <v>78</v>
      </c>
      <c r="L3419" t="s">
        <v>90</v>
      </c>
      <c r="M3419" t="s">
        <v>91</v>
      </c>
      <c r="N3419" t="s">
        <v>1394</v>
      </c>
      <c r="O3419" t="s">
        <v>82</v>
      </c>
      <c r="P3419" t="str">
        <f>"2170716174                    "</f>
        <v xml:space="preserve">2170716174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8.58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 s="4">
        <v>50.45</v>
      </c>
      <c r="BM3419" s="4">
        <v>7.57</v>
      </c>
      <c r="BN3419" s="4">
        <v>58.02</v>
      </c>
      <c r="BO3419" s="4">
        <v>58.02</v>
      </c>
      <c r="BQ3419" t="s">
        <v>121</v>
      </c>
      <c r="BR3419" t="s">
        <v>84</v>
      </c>
      <c r="BS3419" t="s">
        <v>201</v>
      </c>
      <c r="BY3419">
        <v>1200</v>
      </c>
      <c r="CC3419" t="s">
        <v>91</v>
      </c>
      <c r="CD3419">
        <v>7490</v>
      </c>
      <c r="CE3419" t="s">
        <v>147</v>
      </c>
      <c r="CI3419">
        <v>1</v>
      </c>
      <c r="CJ3419" t="s">
        <v>201</v>
      </c>
      <c r="CK3419">
        <v>21</v>
      </c>
      <c r="CL3419" t="s">
        <v>89</v>
      </c>
    </row>
    <row r="3420" spans="1:90">
      <c r="A3420" t="s">
        <v>72</v>
      </c>
      <c r="B3420" t="s">
        <v>73</v>
      </c>
      <c r="C3420" t="s">
        <v>74</v>
      </c>
      <c r="E3420" t="str">
        <f>"FES1162725961"</f>
        <v>FES1162725961</v>
      </c>
      <c r="F3420" s="3">
        <v>43798</v>
      </c>
      <c r="G3420">
        <v>202005</v>
      </c>
      <c r="H3420" t="s">
        <v>75</v>
      </c>
      <c r="I3420" t="s">
        <v>76</v>
      </c>
      <c r="J3420" t="s">
        <v>77</v>
      </c>
      <c r="K3420" t="s">
        <v>78</v>
      </c>
      <c r="L3420" t="s">
        <v>605</v>
      </c>
      <c r="M3420" t="s">
        <v>606</v>
      </c>
      <c r="N3420" t="s">
        <v>1276</v>
      </c>
      <c r="O3420" t="s">
        <v>82</v>
      </c>
      <c r="P3420" t="str">
        <f>"2170719483                    "</f>
        <v xml:space="preserve">2170719483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12.07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 s="4">
        <v>70.95</v>
      </c>
      <c r="BM3420" s="4">
        <v>10.64</v>
      </c>
      <c r="BN3420" s="4">
        <v>81.59</v>
      </c>
      <c r="BO3420" s="4">
        <v>81.59</v>
      </c>
      <c r="BQ3420" t="s">
        <v>109</v>
      </c>
      <c r="BR3420" t="s">
        <v>84</v>
      </c>
      <c r="BS3420" t="s">
        <v>201</v>
      </c>
      <c r="BY3420">
        <v>1200</v>
      </c>
      <c r="CC3420" t="s">
        <v>606</v>
      </c>
      <c r="CD3420">
        <v>208</v>
      </c>
      <c r="CE3420" t="s">
        <v>147</v>
      </c>
      <c r="CI3420">
        <v>1</v>
      </c>
      <c r="CJ3420" t="s">
        <v>201</v>
      </c>
      <c r="CK3420">
        <v>24</v>
      </c>
      <c r="CL3420" t="s">
        <v>89</v>
      </c>
    </row>
    <row r="3421" spans="1:90">
      <c r="A3421" t="s">
        <v>72</v>
      </c>
      <c r="B3421" t="s">
        <v>73</v>
      </c>
      <c r="C3421" t="s">
        <v>74</v>
      </c>
      <c r="E3421" t="str">
        <f>"FES1162725987"</f>
        <v>FES1162725987</v>
      </c>
      <c r="F3421" s="3">
        <v>43798</v>
      </c>
      <c r="G3421">
        <v>202005</v>
      </c>
      <c r="H3421" t="s">
        <v>75</v>
      </c>
      <c r="I3421" t="s">
        <v>76</v>
      </c>
      <c r="J3421" t="s">
        <v>77</v>
      </c>
      <c r="K3421" t="s">
        <v>78</v>
      </c>
      <c r="L3421" t="s">
        <v>90</v>
      </c>
      <c r="M3421" t="s">
        <v>91</v>
      </c>
      <c r="N3421" t="s">
        <v>1194</v>
      </c>
      <c r="O3421" t="s">
        <v>82</v>
      </c>
      <c r="P3421" t="str">
        <f>"2170716488                    "</f>
        <v xml:space="preserve">2170716488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8.58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1.4</v>
      </c>
      <c r="BJ3421">
        <v>1.7</v>
      </c>
      <c r="BK3421">
        <v>2</v>
      </c>
      <c r="BL3421" s="4">
        <v>50.45</v>
      </c>
      <c r="BM3421" s="4">
        <v>7.57</v>
      </c>
      <c r="BN3421" s="4">
        <v>58.02</v>
      </c>
      <c r="BO3421" s="4">
        <v>58.02</v>
      </c>
      <c r="BR3421" t="s">
        <v>84</v>
      </c>
      <c r="BS3421" t="s">
        <v>201</v>
      </c>
      <c r="BY3421">
        <v>8343.15</v>
      </c>
      <c r="CC3421" t="s">
        <v>91</v>
      </c>
      <c r="CD3421">
        <v>7580</v>
      </c>
      <c r="CE3421" t="s">
        <v>88</v>
      </c>
      <c r="CI3421">
        <v>1</v>
      </c>
      <c r="CJ3421" t="s">
        <v>201</v>
      </c>
      <c r="CK3421">
        <v>21</v>
      </c>
      <c r="CL3421" t="s">
        <v>89</v>
      </c>
    </row>
    <row r="3422" spans="1:90">
      <c r="A3422" t="s">
        <v>72</v>
      </c>
      <c r="B3422" t="s">
        <v>73</v>
      </c>
      <c r="C3422" t="s">
        <v>74</v>
      </c>
      <c r="E3422" t="str">
        <f>"FES1162724016"</f>
        <v>FES1162724016</v>
      </c>
      <c r="F3422" s="3">
        <v>43789</v>
      </c>
      <c r="G3422">
        <v>202005</v>
      </c>
      <c r="H3422" t="s">
        <v>75</v>
      </c>
      <c r="I3422" t="s">
        <v>76</v>
      </c>
      <c r="J3422" t="s">
        <v>211</v>
      </c>
      <c r="K3422" t="s">
        <v>78</v>
      </c>
      <c r="L3422" t="s">
        <v>681</v>
      </c>
      <c r="M3422" t="s">
        <v>682</v>
      </c>
      <c r="N3422" t="s">
        <v>3050</v>
      </c>
      <c r="O3422" t="s">
        <v>756</v>
      </c>
      <c r="P3422" t="str">
        <f>"2170718001                    "</f>
        <v xml:space="preserve">2170718001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30.18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8.4</v>
      </c>
      <c r="BJ3422">
        <v>2.4</v>
      </c>
      <c r="BK3422">
        <v>9</v>
      </c>
      <c r="BL3422" s="4">
        <v>177.41</v>
      </c>
      <c r="BM3422" s="4">
        <v>26.61</v>
      </c>
      <c r="BN3422" s="4">
        <v>204.02</v>
      </c>
      <c r="BO3422" s="4">
        <v>204.02</v>
      </c>
      <c r="BQ3422" t="s">
        <v>121</v>
      </c>
      <c r="BR3422" t="s">
        <v>212</v>
      </c>
      <c r="BS3422" s="3">
        <v>43790</v>
      </c>
      <c r="BT3422" s="5">
        <v>0.33333333333333331</v>
      </c>
      <c r="BU3422" t="s">
        <v>2669</v>
      </c>
      <c r="BV3422" t="s">
        <v>86</v>
      </c>
      <c r="BY3422">
        <v>12215.38</v>
      </c>
      <c r="BZ3422" t="s">
        <v>27</v>
      </c>
      <c r="CA3422" t="s">
        <v>1224</v>
      </c>
      <c r="CC3422" t="s">
        <v>682</v>
      </c>
      <c r="CD3422">
        <v>1930</v>
      </c>
      <c r="CE3422" t="s">
        <v>88</v>
      </c>
      <c r="CF3422" s="3">
        <v>43791</v>
      </c>
      <c r="CI3422">
        <v>1</v>
      </c>
      <c r="CJ3422">
        <v>1</v>
      </c>
      <c r="CK3422">
        <v>34</v>
      </c>
      <c r="CL3422" t="s">
        <v>89</v>
      </c>
    </row>
    <row r="3423" spans="1:90">
      <c r="A3423" t="s">
        <v>72</v>
      </c>
      <c r="B3423" t="s">
        <v>73</v>
      </c>
      <c r="C3423" t="s">
        <v>74</v>
      </c>
      <c r="E3423" t="str">
        <f>"FES1162726045"</f>
        <v>FES1162726045</v>
      </c>
      <c r="F3423" s="3">
        <v>43798</v>
      </c>
      <c r="G3423">
        <v>202005</v>
      </c>
      <c r="H3423" t="s">
        <v>75</v>
      </c>
      <c r="I3423" t="s">
        <v>76</v>
      </c>
      <c r="J3423" t="s">
        <v>77</v>
      </c>
      <c r="K3423" t="s">
        <v>78</v>
      </c>
      <c r="L3423" t="s">
        <v>90</v>
      </c>
      <c r="M3423" t="s">
        <v>91</v>
      </c>
      <c r="N3423" t="s">
        <v>527</v>
      </c>
      <c r="O3423" t="s">
        <v>82</v>
      </c>
      <c r="P3423" t="str">
        <f>"217071509                     "</f>
        <v xml:space="preserve">217071509 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8.58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1.3</v>
      </c>
      <c r="BJ3423">
        <v>0.8</v>
      </c>
      <c r="BK3423">
        <v>1.5</v>
      </c>
      <c r="BL3423" s="4">
        <v>50.45</v>
      </c>
      <c r="BM3423" s="4">
        <v>7.57</v>
      </c>
      <c r="BN3423" s="4">
        <v>58.02</v>
      </c>
      <c r="BO3423" s="4">
        <v>58.02</v>
      </c>
      <c r="BQ3423" t="s">
        <v>109</v>
      </c>
      <c r="BR3423" t="s">
        <v>84</v>
      </c>
      <c r="BS3423" t="s">
        <v>201</v>
      </c>
      <c r="BY3423">
        <v>3885.65</v>
      </c>
      <c r="CC3423" t="s">
        <v>91</v>
      </c>
      <c r="CD3423">
        <v>7405</v>
      </c>
      <c r="CE3423" t="s">
        <v>88</v>
      </c>
      <c r="CI3423">
        <v>1</v>
      </c>
      <c r="CJ3423" t="s">
        <v>201</v>
      </c>
      <c r="CK3423">
        <v>21</v>
      </c>
      <c r="CL3423" t="s">
        <v>89</v>
      </c>
    </row>
    <row r="3424" spans="1:90">
      <c r="A3424" t="s">
        <v>72</v>
      </c>
      <c r="B3424" t="s">
        <v>73</v>
      </c>
      <c r="C3424" t="s">
        <v>74</v>
      </c>
      <c r="E3424" t="str">
        <f>"FES1162726030"</f>
        <v>FES1162726030</v>
      </c>
      <c r="F3424" s="3">
        <v>43798</v>
      </c>
      <c r="G3424">
        <v>202005</v>
      </c>
      <c r="H3424" t="s">
        <v>75</v>
      </c>
      <c r="I3424" t="s">
        <v>76</v>
      </c>
      <c r="J3424" t="s">
        <v>77</v>
      </c>
      <c r="K3424" t="s">
        <v>78</v>
      </c>
      <c r="L3424" t="s">
        <v>214</v>
      </c>
      <c r="M3424" t="s">
        <v>214</v>
      </c>
      <c r="N3424" t="s">
        <v>215</v>
      </c>
      <c r="O3424" t="s">
        <v>82</v>
      </c>
      <c r="P3424" t="str">
        <f>"217071916                     "</f>
        <v xml:space="preserve">217071916 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99.25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13</v>
      </c>
      <c r="BJ3424">
        <v>8.4</v>
      </c>
      <c r="BK3424">
        <v>13</v>
      </c>
      <c r="BL3424" s="4">
        <v>583.41</v>
      </c>
      <c r="BM3424" s="4">
        <v>87.51</v>
      </c>
      <c r="BN3424" s="4">
        <v>670.92</v>
      </c>
      <c r="BO3424" s="4">
        <v>670.92</v>
      </c>
      <c r="BQ3424" t="s">
        <v>109</v>
      </c>
      <c r="BR3424" t="s">
        <v>84</v>
      </c>
      <c r="BS3424" t="s">
        <v>201</v>
      </c>
      <c r="BY3424">
        <v>42190.85</v>
      </c>
      <c r="CC3424" t="s">
        <v>214</v>
      </c>
      <c r="CD3424">
        <v>7646</v>
      </c>
      <c r="CE3424" t="s">
        <v>88</v>
      </c>
      <c r="CI3424">
        <v>1</v>
      </c>
      <c r="CJ3424" t="s">
        <v>201</v>
      </c>
      <c r="CK3424">
        <v>23</v>
      </c>
      <c r="CL3424" t="s">
        <v>89</v>
      </c>
    </row>
    <row r="3425" spans="1:90">
      <c r="A3425" t="s">
        <v>72</v>
      </c>
      <c r="B3425" t="s">
        <v>73</v>
      </c>
      <c r="C3425" t="s">
        <v>74</v>
      </c>
      <c r="E3425" t="str">
        <f>"FES1162724871"</f>
        <v>FES1162724871</v>
      </c>
      <c r="F3425" s="3">
        <v>43794</v>
      </c>
      <c r="G3425">
        <v>202005</v>
      </c>
      <c r="H3425" t="s">
        <v>75</v>
      </c>
      <c r="I3425" t="s">
        <v>76</v>
      </c>
      <c r="J3425" t="s">
        <v>211</v>
      </c>
      <c r="K3425" t="s">
        <v>78</v>
      </c>
      <c r="L3425" t="s">
        <v>681</v>
      </c>
      <c r="M3425" t="s">
        <v>682</v>
      </c>
      <c r="N3425" t="s">
        <v>2585</v>
      </c>
      <c r="O3425" t="s">
        <v>756</v>
      </c>
      <c r="P3425" t="str">
        <f>"2170717900                    "</f>
        <v xml:space="preserve">2170717900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19.32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3.5</v>
      </c>
      <c r="BJ3425">
        <v>5.5</v>
      </c>
      <c r="BK3425">
        <v>6</v>
      </c>
      <c r="BL3425" s="4">
        <v>113.54</v>
      </c>
      <c r="BM3425" s="4">
        <v>17.03</v>
      </c>
      <c r="BN3425" s="4">
        <v>130.57</v>
      </c>
      <c r="BO3425" s="4">
        <v>130.57</v>
      </c>
      <c r="BQ3425" t="s">
        <v>121</v>
      </c>
      <c r="BR3425" t="s">
        <v>212</v>
      </c>
      <c r="BS3425" s="3">
        <v>43795</v>
      </c>
      <c r="BT3425" s="5">
        <v>0.34583333333333338</v>
      </c>
      <c r="BU3425" t="s">
        <v>2624</v>
      </c>
      <c r="BV3425" t="s">
        <v>86</v>
      </c>
      <c r="BY3425">
        <v>27544.86</v>
      </c>
      <c r="BZ3425" t="s">
        <v>27</v>
      </c>
      <c r="CA3425" t="s">
        <v>1224</v>
      </c>
      <c r="CC3425" t="s">
        <v>682</v>
      </c>
      <c r="CD3425">
        <v>1939</v>
      </c>
      <c r="CE3425" t="s">
        <v>1598</v>
      </c>
      <c r="CF3425" s="3">
        <v>43796</v>
      </c>
      <c r="CI3425">
        <v>1</v>
      </c>
      <c r="CJ3425">
        <v>1</v>
      </c>
      <c r="CK3425">
        <v>34</v>
      </c>
      <c r="CL3425" t="s">
        <v>89</v>
      </c>
    </row>
    <row r="3426" spans="1:90">
      <c r="A3426" t="s">
        <v>72</v>
      </c>
      <c r="B3426" t="s">
        <v>73</v>
      </c>
      <c r="C3426" t="s">
        <v>74</v>
      </c>
      <c r="E3426" t="str">
        <f>"FES1162726004"</f>
        <v>FES1162726004</v>
      </c>
      <c r="F3426" s="3">
        <v>43798</v>
      </c>
      <c r="G3426">
        <v>202005</v>
      </c>
      <c r="H3426" t="s">
        <v>75</v>
      </c>
      <c r="I3426" t="s">
        <v>76</v>
      </c>
      <c r="J3426" t="s">
        <v>77</v>
      </c>
      <c r="K3426" t="s">
        <v>78</v>
      </c>
      <c r="L3426" t="s">
        <v>75</v>
      </c>
      <c r="M3426" t="s">
        <v>76</v>
      </c>
      <c r="N3426" t="s">
        <v>2341</v>
      </c>
      <c r="O3426" t="s">
        <v>82</v>
      </c>
      <c r="P3426" t="str">
        <f>"2170719194                    "</f>
        <v xml:space="preserve">2170719194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6.71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 s="4">
        <v>39.42</v>
      </c>
      <c r="BM3426" s="4">
        <v>5.91</v>
      </c>
      <c r="BN3426" s="4">
        <v>45.33</v>
      </c>
      <c r="BO3426" s="4">
        <v>45.33</v>
      </c>
      <c r="BQ3426" t="s">
        <v>109</v>
      </c>
      <c r="BR3426" t="s">
        <v>84</v>
      </c>
      <c r="BS3426" t="s">
        <v>201</v>
      </c>
      <c r="BY3426">
        <v>1200</v>
      </c>
      <c r="CC3426" t="s">
        <v>76</v>
      </c>
      <c r="CD3426">
        <v>1682</v>
      </c>
      <c r="CE3426" t="s">
        <v>147</v>
      </c>
      <c r="CI3426">
        <v>1</v>
      </c>
      <c r="CJ3426" t="s">
        <v>201</v>
      </c>
      <c r="CK3426">
        <v>22</v>
      </c>
      <c r="CL3426" t="s">
        <v>89</v>
      </c>
    </row>
    <row r="3427" spans="1:90">
      <c r="A3427" t="s">
        <v>72</v>
      </c>
      <c r="B3427" t="s">
        <v>73</v>
      </c>
      <c r="C3427" t="s">
        <v>74</v>
      </c>
      <c r="E3427" t="str">
        <f>"FES1162725820"</f>
        <v>FES1162725820</v>
      </c>
      <c r="F3427" s="3">
        <v>43798</v>
      </c>
      <c r="G3427">
        <v>202005</v>
      </c>
      <c r="H3427" t="s">
        <v>75</v>
      </c>
      <c r="I3427" t="s">
        <v>76</v>
      </c>
      <c r="J3427" t="s">
        <v>77</v>
      </c>
      <c r="K3427" t="s">
        <v>78</v>
      </c>
      <c r="L3427" t="s">
        <v>90</v>
      </c>
      <c r="M3427" t="s">
        <v>91</v>
      </c>
      <c r="N3427" t="s">
        <v>393</v>
      </c>
      <c r="O3427" t="s">
        <v>82</v>
      </c>
      <c r="P3427" t="str">
        <f>"2170719399                    "</f>
        <v xml:space="preserve">2170719399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70.77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7.8</v>
      </c>
      <c r="BJ3427">
        <v>16.3</v>
      </c>
      <c r="BK3427">
        <v>16.5</v>
      </c>
      <c r="BL3427" s="4">
        <v>415.98</v>
      </c>
      <c r="BM3427" s="4">
        <v>62.4</v>
      </c>
      <c r="BN3427" s="4">
        <v>478.38</v>
      </c>
      <c r="BO3427" s="4">
        <v>478.38</v>
      </c>
      <c r="BQ3427" t="s">
        <v>1630</v>
      </c>
      <c r="BR3427" t="s">
        <v>84</v>
      </c>
      <c r="BS3427" t="s">
        <v>201</v>
      </c>
      <c r="BY3427">
        <v>81609.39</v>
      </c>
      <c r="CC3427" t="s">
        <v>91</v>
      </c>
      <c r="CD3427">
        <v>7405</v>
      </c>
      <c r="CE3427" t="s">
        <v>88</v>
      </c>
      <c r="CI3427">
        <v>1</v>
      </c>
      <c r="CJ3427" t="s">
        <v>201</v>
      </c>
      <c r="CK3427">
        <v>21</v>
      </c>
      <c r="CL3427" t="s">
        <v>89</v>
      </c>
    </row>
    <row r="3428" spans="1:90">
      <c r="A3428" t="s">
        <v>72</v>
      </c>
      <c r="B3428" t="s">
        <v>73</v>
      </c>
      <c r="C3428" t="s">
        <v>74</v>
      </c>
      <c r="E3428" t="str">
        <f>"FES1162724303"</f>
        <v>FES1162724303</v>
      </c>
      <c r="F3428" s="3">
        <v>43790</v>
      </c>
      <c r="G3428">
        <v>202005</v>
      </c>
      <c r="H3428" t="s">
        <v>75</v>
      </c>
      <c r="I3428" t="s">
        <v>76</v>
      </c>
      <c r="J3428" t="s">
        <v>211</v>
      </c>
      <c r="K3428" t="s">
        <v>78</v>
      </c>
      <c r="L3428" t="s">
        <v>172</v>
      </c>
      <c r="M3428" t="s">
        <v>173</v>
      </c>
      <c r="N3428" t="s">
        <v>3225</v>
      </c>
      <c r="O3428" t="s">
        <v>756</v>
      </c>
      <c r="P3428" t="str">
        <f>"2170718166                    "</f>
        <v xml:space="preserve">2170718166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12.07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3.5</v>
      </c>
      <c r="BJ3428">
        <v>2.5</v>
      </c>
      <c r="BK3428">
        <v>4</v>
      </c>
      <c r="BL3428" s="4">
        <v>70.95</v>
      </c>
      <c r="BM3428" s="4">
        <v>10.64</v>
      </c>
      <c r="BN3428" s="4">
        <v>81.59</v>
      </c>
      <c r="BO3428" s="4">
        <v>81.59</v>
      </c>
      <c r="BQ3428" t="s">
        <v>121</v>
      </c>
      <c r="BR3428" t="s">
        <v>212</v>
      </c>
      <c r="BS3428" s="3">
        <v>43791</v>
      </c>
      <c r="BT3428" s="5">
        <v>0.41319444444444442</v>
      </c>
      <c r="BU3428" t="s">
        <v>1227</v>
      </c>
      <c r="BV3428" t="s">
        <v>86</v>
      </c>
      <c r="BY3428">
        <v>12362.88</v>
      </c>
      <c r="BZ3428" t="s">
        <v>27</v>
      </c>
      <c r="CC3428" t="s">
        <v>173</v>
      </c>
      <c r="CD3428">
        <v>1739</v>
      </c>
      <c r="CE3428" t="s">
        <v>88</v>
      </c>
      <c r="CF3428" s="3">
        <v>43794</v>
      </c>
      <c r="CI3428">
        <v>1</v>
      </c>
      <c r="CJ3428">
        <v>1</v>
      </c>
      <c r="CK3428">
        <v>34</v>
      </c>
      <c r="CL3428" t="s">
        <v>89</v>
      </c>
    </row>
    <row r="3429" spans="1:90">
      <c r="A3429" t="s">
        <v>72</v>
      </c>
      <c r="B3429" t="s">
        <v>73</v>
      </c>
      <c r="C3429" t="s">
        <v>74</v>
      </c>
      <c r="E3429" t="str">
        <f>"FES1162725844"</f>
        <v>FES1162725844</v>
      </c>
      <c r="F3429" s="3">
        <v>43798</v>
      </c>
      <c r="G3429">
        <v>202005</v>
      </c>
      <c r="H3429" t="s">
        <v>75</v>
      </c>
      <c r="I3429" t="s">
        <v>76</v>
      </c>
      <c r="J3429" t="s">
        <v>77</v>
      </c>
      <c r="K3429" t="s">
        <v>78</v>
      </c>
      <c r="L3429" t="s">
        <v>339</v>
      </c>
      <c r="M3429" t="s">
        <v>340</v>
      </c>
      <c r="N3429" t="s">
        <v>2316</v>
      </c>
      <c r="O3429" t="s">
        <v>82</v>
      </c>
      <c r="P3429" t="str">
        <f>"2170719421                    "</f>
        <v xml:space="preserve">2170719421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17.16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1.8</v>
      </c>
      <c r="BJ3429">
        <v>4</v>
      </c>
      <c r="BK3429">
        <v>4</v>
      </c>
      <c r="BL3429" s="4">
        <v>100.87</v>
      </c>
      <c r="BM3429" s="4">
        <v>15.13</v>
      </c>
      <c r="BN3429" s="4">
        <v>116</v>
      </c>
      <c r="BO3429" s="4">
        <v>116</v>
      </c>
      <c r="BQ3429" t="s">
        <v>161</v>
      </c>
      <c r="BR3429" t="s">
        <v>84</v>
      </c>
      <c r="BS3429" t="s">
        <v>201</v>
      </c>
      <c r="BY3429">
        <v>19827.84</v>
      </c>
      <c r="CC3429" t="s">
        <v>340</v>
      </c>
      <c r="CD3429">
        <v>157</v>
      </c>
      <c r="CE3429" t="s">
        <v>1598</v>
      </c>
      <c r="CI3429">
        <v>1</v>
      </c>
      <c r="CJ3429" t="s">
        <v>201</v>
      </c>
      <c r="CK3429">
        <v>21</v>
      </c>
      <c r="CL3429" t="s">
        <v>89</v>
      </c>
    </row>
    <row r="3430" spans="1:90">
      <c r="A3430" t="s">
        <v>72</v>
      </c>
      <c r="B3430" t="s">
        <v>73</v>
      </c>
      <c r="C3430" t="s">
        <v>74</v>
      </c>
      <c r="E3430" t="str">
        <f>"FES1162726053"</f>
        <v>FES1162726053</v>
      </c>
      <c r="F3430" s="3">
        <v>43798</v>
      </c>
      <c r="G3430">
        <v>202005</v>
      </c>
      <c r="H3430" t="s">
        <v>75</v>
      </c>
      <c r="I3430" t="s">
        <v>76</v>
      </c>
      <c r="J3430" t="s">
        <v>77</v>
      </c>
      <c r="K3430" t="s">
        <v>78</v>
      </c>
      <c r="L3430" t="s">
        <v>101</v>
      </c>
      <c r="M3430" t="s">
        <v>102</v>
      </c>
      <c r="N3430" t="s">
        <v>2454</v>
      </c>
      <c r="O3430" t="s">
        <v>82</v>
      </c>
      <c r="P3430" t="str">
        <f>"2170719520                    "</f>
        <v xml:space="preserve">2170719520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21.45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4.5999999999999996</v>
      </c>
      <c r="BJ3430">
        <v>1.5</v>
      </c>
      <c r="BK3430">
        <v>5</v>
      </c>
      <c r="BL3430" s="4">
        <v>126.08</v>
      </c>
      <c r="BM3430" s="4">
        <v>18.91</v>
      </c>
      <c r="BN3430" s="4">
        <v>144.99</v>
      </c>
      <c r="BO3430" s="4">
        <v>144.99</v>
      </c>
      <c r="BQ3430" t="s">
        <v>142</v>
      </c>
      <c r="BR3430" t="s">
        <v>84</v>
      </c>
      <c r="BS3430" t="s">
        <v>201</v>
      </c>
      <c r="BY3430">
        <v>7639.92</v>
      </c>
      <c r="CC3430" t="s">
        <v>102</v>
      </c>
      <c r="CD3430">
        <v>186</v>
      </c>
      <c r="CE3430" t="s">
        <v>88</v>
      </c>
      <c r="CI3430">
        <v>1</v>
      </c>
      <c r="CJ3430" t="s">
        <v>201</v>
      </c>
      <c r="CK3430">
        <v>21</v>
      </c>
      <c r="CL3430" t="s">
        <v>89</v>
      </c>
    </row>
    <row r="3431" spans="1:90">
      <c r="A3431" t="s">
        <v>72</v>
      </c>
      <c r="B3431" t="s">
        <v>73</v>
      </c>
      <c r="C3431" t="s">
        <v>74</v>
      </c>
      <c r="E3431" t="str">
        <f>"FES1162724630"</f>
        <v>FES1162724630</v>
      </c>
      <c r="F3431" s="3">
        <v>43794</v>
      </c>
      <c r="G3431">
        <v>202005</v>
      </c>
      <c r="H3431" t="s">
        <v>75</v>
      </c>
      <c r="I3431" t="s">
        <v>76</v>
      </c>
      <c r="J3431" t="s">
        <v>211</v>
      </c>
      <c r="K3431" t="s">
        <v>78</v>
      </c>
      <c r="L3431" t="s">
        <v>605</v>
      </c>
      <c r="M3431" t="s">
        <v>606</v>
      </c>
      <c r="N3431" t="s">
        <v>607</v>
      </c>
      <c r="O3431" t="s">
        <v>756</v>
      </c>
      <c r="P3431" t="str">
        <f>"2170718378                    "</f>
        <v xml:space="preserve">2170718378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12.07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1.1000000000000001</v>
      </c>
      <c r="BJ3431">
        <v>3.1</v>
      </c>
      <c r="BK3431">
        <v>4</v>
      </c>
      <c r="BL3431" s="4">
        <v>70.95</v>
      </c>
      <c r="BM3431" s="4">
        <v>10.64</v>
      </c>
      <c r="BN3431" s="4">
        <v>81.59</v>
      </c>
      <c r="BO3431" s="4">
        <v>81.59</v>
      </c>
      <c r="BQ3431" t="s">
        <v>608</v>
      </c>
      <c r="BR3431" t="s">
        <v>212</v>
      </c>
      <c r="BS3431" s="3">
        <v>43795</v>
      </c>
      <c r="BT3431" s="5">
        <v>0.44791666666666669</v>
      </c>
      <c r="BU3431" t="s">
        <v>3226</v>
      </c>
      <c r="BV3431" t="s">
        <v>86</v>
      </c>
      <c r="BY3431">
        <v>15419.03</v>
      </c>
      <c r="BZ3431" t="s">
        <v>27</v>
      </c>
      <c r="CA3431" t="s">
        <v>889</v>
      </c>
      <c r="CC3431" t="s">
        <v>606</v>
      </c>
      <c r="CD3431">
        <v>208</v>
      </c>
      <c r="CE3431" t="s">
        <v>88</v>
      </c>
      <c r="CF3431" s="3">
        <v>43796</v>
      </c>
      <c r="CI3431">
        <v>1</v>
      </c>
      <c r="CJ3431">
        <v>1</v>
      </c>
      <c r="CK3431">
        <v>34</v>
      </c>
      <c r="CL3431" t="s">
        <v>89</v>
      </c>
    </row>
    <row r="3432" spans="1:90">
      <c r="A3432" t="s">
        <v>72</v>
      </c>
      <c r="B3432" t="s">
        <v>73</v>
      </c>
      <c r="C3432" t="s">
        <v>74</v>
      </c>
      <c r="E3432" t="str">
        <f>"FES1162726001"</f>
        <v>FES1162726001</v>
      </c>
      <c r="F3432" s="3">
        <v>43798</v>
      </c>
      <c r="G3432">
        <v>202005</v>
      </c>
      <c r="H3432" t="s">
        <v>75</v>
      </c>
      <c r="I3432" t="s">
        <v>76</v>
      </c>
      <c r="J3432" t="s">
        <v>77</v>
      </c>
      <c r="K3432" t="s">
        <v>78</v>
      </c>
      <c r="L3432" t="s">
        <v>90</v>
      </c>
      <c r="M3432" t="s">
        <v>91</v>
      </c>
      <c r="N3432" t="s">
        <v>1194</v>
      </c>
      <c r="O3432" t="s">
        <v>82</v>
      </c>
      <c r="P3432" t="str">
        <f>"2170718764                    "</f>
        <v xml:space="preserve">2170718764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8.58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 s="4">
        <v>50.45</v>
      </c>
      <c r="BM3432" s="4">
        <v>7.57</v>
      </c>
      <c r="BN3432" s="4">
        <v>58.02</v>
      </c>
      <c r="BO3432" s="4">
        <v>58.02</v>
      </c>
      <c r="BQ3432" t="s">
        <v>109</v>
      </c>
      <c r="BR3432" t="s">
        <v>84</v>
      </c>
      <c r="BS3432" t="s">
        <v>201</v>
      </c>
      <c r="BY3432">
        <v>1200</v>
      </c>
      <c r="CC3432" t="s">
        <v>91</v>
      </c>
      <c r="CD3432">
        <v>7580</v>
      </c>
      <c r="CE3432" t="s">
        <v>147</v>
      </c>
      <c r="CI3432">
        <v>1</v>
      </c>
      <c r="CJ3432" t="s">
        <v>201</v>
      </c>
      <c r="CK3432">
        <v>21</v>
      </c>
      <c r="CL3432" t="s">
        <v>89</v>
      </c>
    </row>
    <row r="3433" spans="1:90">
      <c r="A3433" t="s">
        <v>72</v>
      </c>
      <c r="B3433" t="s">
        <v>73</v>
      </c>
      <c r="C3433" t="s">
        <v>74</v>
      </c>
      <c r="E3433" t="str">
        <f>"FES1162724813"</f>
        <v>FES1162724813</v>
      </c>
      <c r="F3433" s="3">
        <v>43794</v>
      </c>
      <c r="G3433">
        <v>202005</v>
      </c>
      <c r="H3433" t="s">
        <v>75</v>
      </c>
      <c r="I3433" t="s">
        <v>76</v>
      </c>
      <c r="J3433" t="s">
        <v>211</v>
      </c>
      <c r="K3433" t="s">
        <v>78</v>
      </c>
      <c r="L3433" t="s">
        <v>292</v>
      </c>
      <c r="M3433" t="s">
        <v>293</v>
      </c>
      <c r="N3433" t="s">
        <v>294</v>
      </c>
      <c r="O3433" t="s">
        <v>282</v>
      </c>
      <c r="P3433" t="str">
        <f>"2170716609                    "</f>
        <v xml:space="preserve">2170716609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16.09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13.5</v>
      </c>
      <c r="BJ3433">
        <v>13.3</v>
      </c>
      <c r="BK3433">
        <v>14</v>
      </c>
      <c r="BL3433" s="4">
        <v>99.59</v>
      </c>
      <c r="BM3433" s="4">
        <v>14.94</v>
      </c>
      <c r="BN3433" s="4">
        <v>114.53</v>
      </c>
      <c r="BO3433" s="4">
        <v>114.53</v>
      </c>
      <c r="BQ3433" t="s">
        <v>121</v>
      </c>
      <c r="BR3433" t="s">
        <v>212</v>
      </c>
      <c r="BS3433" s="3">
        <v>43795</v>
      </c>
      <c r="BT3433" s="5">
        <v>0.33333333333333331</v>
      </c>
      <c r="BU3433" t="s">
        <v>2933</v>
      </c>
      <c r="BV3433" t="s">
        <v>86</v>
      </c>
      <c r="BY3433">
        <v>66317.66</v>
      </c>
      <c r="CA3433" t="s">
        <v>123</v>
      </c>
      <c r="CC3433" t="s">
        <v>293</v>
      </c>
      <c r="CD3433">
        <v>1947</v>
      </c>
      <c r="CE3433" t="s">
        <v>1598</v>
      </c>
      <c r="CF3433" s="3">
        <v>43796</v>
      </c>
      <c r="CI3433">
        <v>1</v>
      </c>
      <c r="CJ3433">
        <v>1</v>
      </c>
      <c r="CK3433" t="s">
        <v>289</v>
      </c>
      <c r="CL3433" t="s">
        <v>89</v>
      </c>
    </row>
    <row r="3434" spans="1:90">
      <c r="A3434" t="s">
        <v>72</v>
      </c>
      <c r="B3434" t="s">
        <v>73</v>
      </c>
      <c r="C3434" t="s">
        <v>74</v>
      </c>
      <c r="E3434" t="str">
        <f>"FES1162724988"</f>
        <v>FES1162724988</v>
      </c>
      <c r="F3434" s="3">
        <v>43795</v>
      </c>
      <c r="G3434">
        <v>202005</v>
      </c>
      <c r="H3434" t="s">
        <v>75</v>
      </c>
      <c r="I3434" t="s">
        <v>76</v>
      </c>
      <c r="J3434" t="s">
        <v>211</v>
      </c>
      <c r="K3434" t="s">
        <v>78</v>
      </c>
      <c r="L3434" t="s">
        <v>280</v>
      </c>
      <c r="M3434" t="s">
        <v>102</v>
      </c>
      <c r="N3434" t="s">
        <v>707</v>
      </c>
      <c r="O3434" t="s">
        <v>282</v>
      </c>
      <c r="P3434" t="str">
        <f>"2170718704                    "</f>
        <v xml:space="preserve">2170718704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14.75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4.5999999999999996</v>
      </c>
      <c r="BJ3434">
        <v>3.4</v>
      </c>
      <c r="BK3434">
        <v>5</v>
      </c>
      <c r="BL3434" s="4">
        <v>91.71</v>
      </c>
      <c r="BM3434" s="4">
        <v>13.76</v>
      </c>
      <c r="BN3434" s="4">
        <v>105.47</v>
      </c>
      <c r="BO3434" s="4">
        <v>105.47</v>
      </c>
      <c r="BQ3434" t="s">
        <v>121</v>
      </c>
      <c r="BR3434" t="s">
        <v>212</v>
      </c>
      <c r="BS3434" s="3">
        <v>43797</v>
      </c>
      <c r="BT3434" s="5">
        <v>0.375</v>
      </c>
      <c r="BU3434" t="s">
        <v>708</v>
      </c>
      <c r="BV3434" t="s">
        <v>89</v>
      </c>
      <c r="BW3434" t="s">
        <v>319</v>
      </c>
      <c r="BX3434" t="s">
        <v>3227</v>
      </c>
      <c r="BY3434">
        <v>16880.64</v>
      </c>
      <c r="CA3434" t="s">
        <v>709</v>
      </c>
      <c r="CC3434" t="s">
        <v>102</v>
      </c>
      <c r="CD3434">
        <v>1</v>
      </c>
      <c r="CE3434" t="s">
        <v>88</v>
      </c>
      <c r="CF3434" s="3">
        <v>43798</v>
      </c>
      <c r="CI3434">
        <v>0</v>
      </c>
      <c r="CJ3434">
        <v>0</v>
      </c>
      <c r="CK3434" t="s">
        <v>285</v>
      </c>
      <c r="CL3434" t="s">
        <v>89</v>
      </c>
    </row>
    <row r="3435" spans="1:90">
      <c r="A3435" t="s">
        <v>72</v>
      </c>
      <c r="B3435" t="s">
        <v>73</v>
      </c>
      <c r="C3435" t="s">
        <v>74</v>
      </c>
      <c r="E3435" t="str">
        <f>"FES1162724885"</f>
        <v>FES1162724885</v>
      </c>
      <c r="F3435" s="3">
        <v>43795</v>
      </c>
      <c r="G3435">
        <v>202005</v>
      </c>
      <c r="H3435" t="s">
        <v>75</v>
      </c>
      <c r="I3435" t="s">
        <v>76</v>
      </c>
      <c r="J3435" t="s">
        <v>211</v>
      </c>
      <c r="K3435" t="s">
        <v>78</v>
      </c>
      <c r="L3435" t="s">
        <v>280</v>
      </c>
      <c r="M3435" t="s">
        <v>102</v>
      </c>
      <c r="N3435" t="s">
        <v>2712</v>
      </c>
      <c r="O3435" t="s">
        <v>282</v>
      </c>
      <c r="P3435" t="str">
        <f>"2170718307                    "</f>
        <v xml:space="preserve">2170718307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14.75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3.5</v>
      </c>
      <c r="BJ3435">
        <v>5.8</v>
      </c>
      <c r="BK3435">
        <v>6</v>
      </c>
      <c r="BL3435" s="4">
        <v>91.71</v>
      </c>
      <c r="BM3435" s="4">
        <v>13.76</v>
      </c>
      <c r="BN3435" s="4">
        <v>105.47</v>
      </c>
      <c r="BO3435" s="4">
        <v>105.47</v>
      </c>
      <c r="BR3435" t="s">
        <v>212</v>
      </c>
      <c r="BS3435" s="3">
        <v>43796</v>
      </c>
      <c r="BT3435" s="5">
        <v>0.38541666666666669</v>
      </c>
      <c r="BU3435" t="s">
        <v>3228</v>
      </c>
      <c r="BV3435" t="s">
        <v>86</v>
      </c>
      <c r="BY3435">
        <v>28889.119999999999</v>
      </c>
      <c r="CC3435" t="s">
        <v>102</v>
      </c>
      <c r="CD3435">
        <v>200</v>
      </c>
      <c r="CE3435" t="s">
        <v>1598</v>
      </c>
      <c r="CF3435" s="3">
        <v>43797</v>
      </c>
      <c r="CI3435">
        <v>0</v>
      </c>
      <c r="CJ3435">
        <v>0</v>
      </c>
      <c r="CK3435" t="s">
        <v>285</v>
      </c>
      <c r="CL3435" t="s">
        <v>89</v>
      </c>
    </row>
    <row r="3436" spans="1:90">
      <c r="A3436" t="s">
        <v>72</v>
      </c>
      <c r="B3436" t="s">
        <v>73</v>
      </c>
      <c r="C3436" t="s">
        <v>74</v>
      </c>
      <c r="E3436" t="str">
        <f>"FES1162724840"</f>
        <v>FES1162724840</v>
      </c>
      <c r="F3436" s="3">
        <v>43794</v>
      </c>
      <c r="G3436">
        <v>202005</v>
      </c>
      <c r="H3436" t="s">
        <v>75</v>
      </c>
      <c r="I3436" t="s">
        <v>76</v>
      </c>
      <c r="J3436" t="s">
        <v>211</v>
      </c>
      <c r="K3436" t="s">
        <v>78</v>
      </c>
      <c r="L3436" t="s">
        <v>280</v>
      </c>
      <c r="M3436" t="s">
        <v>102</v>
      </c>
      <c r="N3436" t="s">
        <v>879</v>
      </c>
      <c r="O3436" t="s">
        <v>282</v>
      </c>
      <c r="P3436" t="str">
        <f>"2170716820                    "</f>
        <v xml:space="preserve">2170716820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14.75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6</v>
      </c>
      <c r="BJ3436">
        <v>8.8000000000000007</v>
      </c>
      <c r="BK3436">
        <v>9</v>
      </c>
      <c r="BL3436" s="4">
        <v>91.71</v>
      </c>
      <c r="BM3436" s="4">
        <v>13.76</v>
      </c>
      <c r="BN3436" s="4">
        <v>105.47</v>
      </c>
      <c r="BO3436" s="4">
        <v>105.47</v>
      </c>
      <c r="BQ3436" t="s">
        <v>142</v>
      </c>
      <c r="BR3436" t="s">
        <v>212</v>
      </c>
      <c r="BS3436" s="3">
        <v>43795</v>
      </c>
      <c r="BT3436" s="5">
        <v>0.38194444444444442</v>
      </c>
      <c r="BU3436" t="s">
        <v>2953</v>
      </c>
      <c r="BV3436" t="s">
        <v>86</v>
      </c>
      <c r="BY3436">
        <v>43898.11</v>
      </c>
      <c r="CC3436" t="s">
        <v>102</v>
      </c>
      <c r="CD3436">
        <v>200</v>
      </c>
      <c r="CE3436" t="s">
        <v>1598</v>
      </c>
      <c r="CF3436" s="3">
        <v>43796</v>
      </c>
      <c r="CI3436">
        <v>0</v>
      </c>
      <c r="CJ3436">
        <v>0</v>
      </c>
      <c r="CK3436" t="s">
        <v>285</v>
      </c>
      <c r="CL3436" t="s">
        <v>89</v>
      </c>
    </row>
    <row r="3437" spans="1:90">
      <c r="A3437" t="s">
        <v>72</v>
      </c>
      <c r="B3437" t="s">
        <v>73</v>
      </c>
      <c r="C3437" t="s">
        <v>74</v>
      </c>
      <c r="E3437" t="str">
        <f>"FES1162725709"</f>
        <v>FES1162725709</v>
      </c>
      <c r="F3437" s="3">
        <v>43798</v>
      </c>
      <c r="G3437">
        <v>202005</v>
      </c>
      <c r="H3437" t="s">
        <v>75</v>
      </c>
      <c r="I3437" t="s">
        <v>76</v>
      </c>
      <c r="J3437" t="s">
        <v>77</v>
      </c>
      <c r="K3437" t="s">
        <v>78</v>
      </c>
      <c r="L3437" t="s">
        <v>133</v>
      </c>
      <c r="M3437" t="s">
        <v>134</v>
      </c>
      <c r="N3437" t="s">
        <v>1694</v>
      </c>
      <c r="O3437" t="s">
        <v>282</v>
      </c>
      <c r="P3437" t="str">
        <f>"2170713400                    "</f>
        <v xml:space="preserve">2170713400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19.829999999999998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2</v>
      </c>
      <c r="BI3437">
        <v>17.7</v>
      </c>
      <c r="BJ3437">
        <v>7</v>
      </c>
      <c r="BK3437">
        <v>18</v>
      </c>
      <c r="BL3437" s="4">
        <v>121.55</v>
      </c>
      <c r="BM3437" s="4">
        <v>18.23</v>
      </c>
      <c r="BN3437" s="4">
        <v>139.78</v>
      </c>
      <c r="BO3437" s="4">
        <v>139.78</v>
      </c>
      <c r="BQ3437" t="s">
        <v>121</v>
      </c>
      <c r="BR3437" t="s">
        <v>84</v>
      </c>
      <c r="BS3437" t="s">
        <v>201</v>
      </c>
      <c r="BY3437">
        <v>35067.980000000003</v>
      </c>
      <c r="CC3437" t="s">
        <v>134</v>
      </c>
      <c r="CD3437">
        <v>5201</v>
      </c>
      <c r="CE3437" t="s">
        <v>1892</v>
      </c>
      <c r="CI3437">
        <v>2</v>
      </c>
      <c r="CJ3437" t="s">
        <v>201</v>
      </c>
      <c r="CK3437" t="s">
        <v>994</v>
      </c>
      <c r="CL3437" t="s">
        <v>89</v>
      </c>
    </row>
    <row r="3438" spans="1:90">
      <c r="A3438" t="s">
        <v>72</v>
      </c>
      <c r="B3438" t="s">
        <v>73</v>
      </c>
      <c r="C3438" t="s">
        <v>74</v>
      </c>
      <c r="E3438" t="str">
        <f>"009938746332"</f>
        <v>009938746332</v>
      </c>
      <c r="F3438" s="3">
        <v>43794</v>
      </c>
      <c r="G3438">
        <v>202005</v>
      </c>
      <c r="H3438" t="s">
        <v>95</v>
      </c>
      <c r="I3438" t="s">
        <v>96</v>
      </c>
      <c r="J3438" t="s">
        <v>557</v>
      </c>
      <c r="K3438" t="s">
        <v>78</v>
      </c>
      <c r="L3438" t="s">
        <v>75</v>
      </c>
      <c r="M3438" t="s">
        <v>76</v>
      </c>
      <c r="N3438" t="s">
        <v>211</v>
      </c>
      <c r="O3438" t="s">
        <v>282</v>
      </c>
      <c r="P3438" t="str">
        <f>"                              "</f>
        <v xml:space="preserve">          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19.34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15.2</v>
      </c>
      <c r="BJ3438">
        <v>32.9</v>
      </c>
      <c r="BK3438">
        <v>33</v>
      </c>
      <c r="BL3438" s="4">
        <v>118.68</v>
      </c>
      <c r="BM3438" s="4">
        <v>17.8</v>
      </c>
      <c r="BN3438" s="4">
        <v>136.47999999999999</v>
      </c>
      <c r="BO3438" s="4">
        <v>136.47999999999999</v>
      </c>
      <c r="BQ3438" t="s">
        <v>3229</v>
      </c>
      <c r="BR3438" t="s">
        <v>3230</v>
      </c>
      <c r="BS3438" s="3">
        <v>43795</v>
      </c>
      <c r="BT3438" s="5">
        <v>0.42430555555555555</v>
      </c>
      <c r="BU3438" t="s">
        <v>1016</v>
      </c>
      <c r="BV3438" t="s">
        <v>86</v>
      </c>
      <c r="BY3438">
        <v>164497.01</v>
      </c>
      <c r="CA3438" t="s">
        <v>198</v>
      </c>
      <c r="CC3438" t="s">
        <v>76</v>
      </c>
      <c r="CD3438">
        <v>1600</v>
      </c>
      <c r="CE3438" t="s">
        <v>88</v>
      </c>
      <c r="CF3438" s="3">
        <v>43796</v>
      </c>
      <c r="CI3438">
        <v>1</v>
      </c>
      <c r="CJ3438">
        <v>1</v>
      </c>
      <c r="CK3438" t="s">
        <v>379</v>
      </c>
      <c r="CL3438" t="s">
        <v>89</v>
      </c>
    </row>
    <row r="3439" spans="1:90">
      <c r="A3439" t="s">
        <v>72</v>
      </c>
      <c r="B3439" t="s">
        <v>73</v>
      </c>
      <c r="C3439" t="s">
        <v>74</v>
      </c>
      <c r="E3439" t="str">
        <f>"FES1162724023"</f>
        <v>FES1162724023</v>
      </c>
      <c r="F3439" s="3">
        <v>43789</v>
      </c>
      <c r="G3439">
        <v>202005</v>
      </c>
      <c r="H3439" t="s">
        <v>75</v>
      </c>
      <c r="I3439" t="s">
        <v>76</v>
      </c>
      <c r="J3439" t="s">
        <v>211</v>
      </c>
      <c r="K3439" t="s">
        <v>78</v>
      </c>
      <c r="L3439" t="s">
        <v>681</v>
      </c>
      <c r="M3439" t="s">
        <v>682</v>
      </c>
      <c r="N3439" t="s">
        <v>2569</v>
      </c>
      <c r="O3439" t="s">
        <v>756</v>
      </c>
      <c r="P3439" t="str">
        <f>"2170717278                    "</f>
        <v xml:space="preserve">2170717278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26.56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7.4</v>
      </c>
      <c r="BJ3439">
        <v>2.5</v>
      </c>
      <c r="BK3439">
        <v>8</v>
      </c>
      <c r="BL3439" s="4">
        <v>156.12</v>
      </c>
      <c r="BM3439" s="4">
        <v>23.42</v>
      </c>
      <c r="BN3439" s="4">
        <v>179.54</v>
      </c>
      <c r="BO3439" s="4">
        <v>179.54</v>
      </c>
      <c r="BQ3439" t="s">
        <v>142</v>
      </c>
      <c r="BR3439" t="s">
        <v>212</v>
      </c>
      <c r="BS3439" s="3">
        <v>43790</v>
      </c>
      <c r="BT3439" s="5">
        <v>0.41666666666666669</v>
      </c>
      <c r="BU3439" t="s">
        <v>2570</v>
      </c>
      <c r="BV3439" t="s">
        <v>86</v>
      </c>
      <c r="BY3439">
        <v>12675.71</v>
      </c>
      <c r="BZ3439" t="s">
        <v>27</v>
      </c>
      <c r="CA3439" t="s">
        <v>1224</v>
      </c>
      <c r="CC3439" t="s">
        <v>682</v>
      </c>
      <c r="CD3439">
        <v>1929</v>
      </c>
      <c r="CE3439" t="s">
        <v>88</v>
      </c>
      <c r="CF3439" s="3">
        <v>43791</v>
      </c>
      <c r="CI3439">
        <v>1</v>
      </c>
      <c r="CJ3439">
        <v>1</v>
      </c>
      <c r="CK3439">
        <v>34</v>
      </c>
      <c r="CL3439" t="s">
        <v>89</v>
      </c>
    </row>
    <row r="3440" spans="1:90">
      <c r="A3440" t="s">
        <v>72</v>
      </c>
      <c r="B3440" t="s">
        <v>73</v>
      </c>
      <c r="C3440" t="s">
        <v>74</v>
      </c>
      <c r="E3440" t="str">
        <f>"FES1162725967"</f>
        <v>FES1162725967</v>
      </c>
      <c r="F3440" s="3">
        <v>43798</v>
      </c>
      <c r="G3440">
        <v>202005</v>
      </c>
      <c r="H3440" t="s">
        <v>75</v>
      </c>
      <c r="I3440" t="s">
        <v>76</v>
      </c>
      <c r="J3440" t="s">
        <v>77</v>
      </c>
      <c r="K3440" t="s">
        <v>78</v>
      </c>
      <c r="L3440" t="s">
        <v>90</v>
      </c>
      <c r="M3440" t="s">
        <v>91</v>
      </c>
      <c r="N3440" t="s">
        <v>1610</v>
      </c>
      <c r="O3440" t="s">
        <v>82</v>
      </c>
      <c r="P3440" t="str">
        <f>"217071453                     "</f>
        <v xml:space="preserve">217071453 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12.87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2.9</v>
      </c>
      <c r="BJ3440">
        <v>1.8</v>
      </c>
      <c r="BK3440">
        <v>3</v>
      </c>
      <c r="BL3440" s="4">
        <v>75.66</v>
      </c>
      <c r="BM3440" s="4">
        <v>11.35</v>
      </c>
      <c r="BN3440" s="4">
        <v>87.01</v>
      </c>
      <c r="BO3440" s="4">
        <v>87.01</v>
      </c>
      <c r="BQ3440" t="s">
        <v>121</v>
      </c>
      <c r="BR3440" t="s">
        <v>84</v>
      </c>
      <c r="BS3440" t="s">
        <v>201</v>
      </c>
      <c r="BY3440">
        <v>8886.15</v>
      </c>
      <c r="CC3440" t="s">
        <v>91</v>
      </c>
      <c r="CD3440">
        <v>7975</v>
      </c>
      <c r="CE3440" t="s">
        <v>88</v>
      </c>
      <c r="CI3440">
        <v>1</v>
      </c>
      <c r="CJ3440" t="s">
        <v>201</v>
      </c>
      <c r="CK3440">
        <v>21</v>
      </c>
      <c r="CL3440" t="s">
        <v>89</v>
      </c>
    </row>
    <row r="3441" spans="1:90">
      <c r="A3441" t="s">
        <v>72</v>
      </c>
      <c r="B3441" t="s">
        <v>73</v>
      </c>
      <c r="C3441" t="s">
        <v>74</v>
      </c>
      <c r="E3441" t="str">
        <f>"FES1162722371"</f>
        <v>FES1162722371</v>
      </c>
      <c r="F3441" s="3">
        <v>43780</v>
      </c>
      <c r="G3441">
        <v>202005</v>
      </c>
      <c r="H3441" t="s">
        <v>75</v>
      </c>
      <c r="I3441" t="s">
        <v>76</v>
      </c>
      <c r="J3441" t="s">
        <v>211</v>
      </c>
      <c r="K3441" t="s">
        <v>78</v>
      </c>
      <c r="L3441" t="s">
        <v>605</v>
      </c>
      <c r="M3441" t="s">
        <v>606</v>
      </c>
      <c r="N3441" t="s">
        <v>2866</v>
      </c>
      <c r="O3441" t="s">
        <v>282</v>
      </c>
      <c r="P3441" t="str">
        <f>"2170716571                    "</f>
        <v xml:space="preserve">2170716571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24.33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2</v>
      </c>
      <c r="BI3441">
        <v>28.4</v>
      </c>
      <c r="BJ3441">
        <v>10.6</v>
      </c>
      <c r="BK3441">
        <v>29</v>
      </c>
      <c r="BL3441" s="4">
        <v>148.01</v>
      </c>
      <c r="BM3441" s="4">
        <v>22.2</v>
      </c>
      <c r="BN3441" s="4">
        <v>170.21</v>
      </c>
      <c r="BO3441" s="4">
        <v>170.21</v>
      </c>
      <c r="BQ3441" t="s">
        <v>187</v>
      </c>
      <c r="BR3441" t="s">
        <v>212</v>
      </c>
      <c r="BS3441" s="3">
        <v>43781</v>
      </c>
      <c r="BT3441" s="5">
        <v>0.53125</v>
      </c>
      <c r="BU3441" t="s">
        <v>3231</v>
      </c>
      <c r="BV3441" t="s">
        <v>86</v>
      </c>
      <c r="BY3441">
        <v>52805.07</v>
      </c>
      <c r="CA3441" t="s">
        <v>922</v>
      </c>
      <c r="CC3441" t="s">
        <v>606</v>
      </c>
      <c r="CD3441">
        <v>407</v>
      </c>
      <c r="CE3441" t="s">
        <v>88</v>
      </c>
      <c r="CF3441" s="3">
        <v>43782</v>
      </c>
      <c r="CI3441">
        <v>0</v>
      </c>
      <c r="CJ3441">
        <v>0</v>
      </c>
      <c r="CK3441" t="s">
        <v>289</v>
      </c>
      <c r="CL3441" t="s">
        <v>89</v>
      </c>
    </row>
    <row r="3442" spans="1:90">
      <c r="A3442" t="s">
        <v>72</v>
      </c>
      <c r="B3442" t="s">
        <v>73</v>
      </c>
      <c r="C3442" t="s">
        <v>74</v>
      </c>
      <c r="E3442" t="str">
        <f>"FES1162722258"</f>
        <v>FES1162722258</v>
      </c>
      <c r="F3442" s="3">
        <v>43780</v>
      </c>
      <c r="G3442">
        <v>202005</v>
      </c>
      <c r="H3442" t="s">
        <v>75</v>
      </c>
      <c r="I3442" t="s">
        <v>76</v>
      </c>
      <c r="J3442" t="s">
        <v>211</v>
      </c>
      <c r="K3442" t="s">
        <v>78</v>
      </c>
      <c r="L3442" t="s">
        <v>280</v>
      </c>
      <c r="M3442" t="s">
        <v>102</v>
      </c>
      <c r="N3442" t="s">
        <v>181</v>
      </c>
      <c r="O3442" t="s">
        <v>282</v>
      </c>
      <c r="P3442" t="str">
        <f>"2170714709                    "</f>
        <v xml:space="preserve">2170714709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14.75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5</v>
      </c>
      <c r="BJ3442">
        <v>1.1000000000000001</v>
      </c>
      <c r="BK3442">
        <v>5</v>
      </c>
      <c r="BL3442" s="4">
        <v>91.71</v>
      </c>
      <c r="BM3442" s="4">
        <v>13.76</v>
      </c>
      <c r="BN3442" s="4">
        <v>105.47</v>
      </c>
      <c r="BO3442" s="4">
        <v>105.47</v>
      </c>
      <c r="BQ3442" t="s">
        <v>121</v>
      </c>
      <c r="BR3442" t="s">
        <v>212</v>
      </c>
      <c r="BS3442" s="3">
        <v>43781</v>
      </c>
      <c r="BT3442" s="5">
        <v>0.3923611111111111</v>
      </c>
      <c r="BU3442" t="s">
        <v>1980</v>
      </c>
      <c r="BV3442" t="s">
        <v>86</v>
      </c>
      <c r="BY3442">
        <v>5320</v>
      </c>
      <c r="CA3442" t="s">
        <v>183</v>
      </c>
      <c r="CC3442" t="s">
        <v>102</v>
      </c>
      <c r="CD3442">
        <v>200</v>
      </c>
      <c r="CE3442" t="s">
        <v>88</v>
      </c>
      <c r="CF3442" s="3">
        <v>43782</v>
      </c>
      <c r="CI3442">
        <v>0</v>
      </c>
      <c r="CJ3442">
        <v>0</v>
      </c>
      <c r="CK3442" t="s">
        <v>285</v>
      </c>
      <c r="CL3442" t="s">
        <v>89</v>
      </c>
    </row>
    <row r="3443" spans="1:90">
      <c r="A3443" t="s">
        <v>72</v>
      </c>
      <c r="B3443" t="s">
        <v>73</v>
      </c>
      <c r="C3443" t="s">
        <v>74</v>
      </c>
      <c r="E3443" t="str">
        <f>"FES1162722325"</f>
        <v>FES1162722325</v>
      </c>
      <c r="F3443" s="3">
        <v>43780</v>
      </c>
      <c r="G3443">
        <v>202005</v>
      </c>
      <c r="H3443" t="s">
        <v>75</v>
      </c>
      <c r="I3443" t="s">
        <v>76</v>
      </c>
      <c r="J3443" t="s">
        <v>211</v>
      </c>
      <c r="K3443" t="s">
        <v>78</v>
      </c>
      <c r="L3443" t="s">
        <v>280</v>
      </c>
      <c r="M3443" t="s">
        <v>102</v>
      </c>
      <c r="N3443" t="s">
        <v>1857</v>
      </c>
      <c r="O3443" t="s">
        <v>282</v>
      </c>
      <c r="P3443" t="str">
        <f>"2170716533                    "</f>
        <v xml:space="preserve">2170716533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14.75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5</v>
      </c>
      <c r="BJ3443">
        <v>0.8</v>
      </c>
      <c r="BK3443">
        <v>5</v>
      </c>
      <c r="BL3443" s="4">
        <v>91.71</v>
      </c>
      <c r="BM3443" s="4">
        <v>13.76</v>
      </c>
      <c r="BN3443" s="4">
        <v>105.47</v>
      </c>
      <c r="BO3443" s="4">
        <v>105.47</v>
      </c>
      <c r="BQ3443" t="s">
        <v>121</v>
      </c>
      <c r="BR3443" t="s">
        <v>212</v>
      </c>
      <c r="BS3443" s="3">
        <v>43781</v>
      </c>
      <c r="BT3443" s="5">
        <v>0.41319444444444442</v>
      </c>
      <c r="BU3443" t="s">
        <v>3232</v>
      </c>
      <c r="BV3443" t="s">
        <v>86</v>
      </c>
      <c r="BY3443">
        <v>3822</v>
      </c>
      <c r="CA3443" t="s">
        <v>183</v>
      </c>
      <c r="CC3443" t="s">
        <v>102</v>
      </c>
      <c r="CD3443">
        <v>200</v>
      </c>
      <c r="CE3443" t="s">
        <v>1598</v>
      </c>
      <c r="CF3443" s="3">
        <v>43782</v>
      </c>
      <c r="CI3443">
        <v>0</v>
      </c>
      <c r="CJ3443">
        <v>0</v>
      </c>
      <c r="CK3443" t="s">
        <v>285</v>
      </c>
      <c r="CL3443" t="s">
        <v>89</v>
      </c>
    </row>
    <row r="3444" spans="1:90">
      <c r="A3444" t="s">
        <v>72</v>
      </c>
      <c r="B3444" t="s">
        <v>73</v>
      </c>
      <c r="C3444" t="s">
        <v>74</v>
      </c>
      <c r="E3444" t="str">
        <f>"FES1162722204"</f>
        <v>FES1162722204</v>
      </c>
      <c r="F3444" s="3">
        <v>43780</v>
      </c>
      <c r="G3444">
        <v>202005</v>
      </c>
      <c r="H3444" t="s">
        <v>75</v>
      </c>
      <c r="I3444" t="s">
        <v>76</v>
      </c>
      <c r="J3444" t="s">
        <v>211</v>
      </c>
      <c r="K3444" t="s">
        <v>78</v>
      </c>
      <c r="L3444" t="s">
        <v>917</v>
      </c>
      <c r="M3444" t="s">
        <v>918</v>
      </c>
      <c r="N3444" t="s">
        <v>3062</v>
      </c>
      <c r="O3444" t="s">
        <v>282</v>
      </c>
      <c r="P3444" t="str">
        <f>"2170716379                    "</f>
        <v xml:space="preserve">2170716379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16.09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14.2</v>
      </c>
      <c r="BJ3444">
        <v>9</v>
      </c>
      <c r="BK3444">
        <v>15</v>
      </c>
      <c r="BL3444" s="4">
        <v>99.59</v>
      </c>
      <c r="BM3444" s="4">
        <v>14.94</v>
      </c>
      <c r="BN3444" s="4">
        <v>114.53</v>
      </c>
      <c r="BO3444" s="4">
        <v>114.53</v>
      </c>
      <c r="BQ3444" t="s">
        <v>2755</v>
      </c>
      <c r="BR3444" t="s">
        <v>212</v>
      </c>
      <c r="BS3444" s="3">
        <v>43781</v>
      </c>
      <c r="BT3444" s="5">
        <v>0.375</v>
      </c>
      <c r="BU3444" t="s">
        <v>3063</v>
      </c>
      <c r="BV3444" t="s">
        <v>86</v>
      </c>
      <c r="BY3444">
        <v>45193.5</v>
      </c>
      <c r="CC3444" t="s">
        <v>918</v>
      </c>
      <c r="CD3444">
        <v>2210</v>
      </c>
      <c r="CE3444" t="s">
        <v>88</v>
      </c>
      <c r="CF3444" s="3">
        <v>43782</v>
      </c>
      <c r="CI3444">
        <v>1</v>
      </c>
      <c r="CJ3444">
        <v>1</v>
      </c>
      <c r="CK3444" t="s">
        <v>289</v>
      </c>
      <c r="CL3444" t="s">
        <v>89</v>
      </c>
    </row>
    <row r="3445" spans="1:90">
      <c r="A3445" t="s">
        <v>72</v>
      </c>
      <c r="B3445" t="s">
        <v>73</v>
      </c>
      <c r="C3445" t="s">
        <v>74</v>
      </c>
      <c r="E3445" t="str">
        <f>"FES1162722404"</f>
        <v>FES1162722404</v>
      </c>
      <c r="F3445" s="3">
        <v>43780</v>
      </c>
      <c r="G3445">
        <v>202005</v>
      </c>
      <c r="H3445" t="s">
        <v>75</v>
      </c>
      <c r="I3445" t="s">
        <v>76</v>
      </c>
      <c r="J3445" t="s">
        <v>211</v>
      </c>
      <c r="K3445" t="s">
        <v>78</v>
      </c>
      <c r="L3445" t="s">
        <v>292</v>
      </c>
      <c r="M3445" t="s">
        <v>293</v>
      </c>
      <c r="N3445" t="s">
        <v>294</v>
      </c>
      <c r="O3445" t="s">
        <v>282</v>
      </c>
      <c r="P3445" t="str">
        <f>"2170716007                    "</f>
        <v xml:space="preserve">2170716007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16.09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7.5</v>
      </c>
      <c r="BJ3445">
        <v>0.9</v>
      </c>
      <c r="BK3445">
        <v>8</v>
      </c>
      <c r="BL3445" s="4">
        <v>99.59</v>
      </c>
      <c r="BM3445" s="4">
        <v>14.94</v>
      </c>
      <c r="BN3445" s="4">
        <v>114.53</v>
      </c>
      <c r="BO3445" s="4">
        <v>114.53</v>
      </c>
      <c r="BQ3445" t="s">
        <v>121</v>
      </c>
      <c r="BR3445" t="s">
        <v>212</v>
      </c>
      <c r="BS3445" s="3">
        <v>43781</v>
      </c>
      <c r="BT3445" s="5">
        <v>0.41319444444444442</v>
      </c>
      <c r="BU3445" t="s">
        <v>1733</v>
      </c>
      <c r="BV3445" t="s">
        <v>86</v>
      </c>
      <c r="BY3445">
        <v>4538.9399999999996</v>
      </c>
      <c r="CC3445" t="s">
        <v>293</v>
      </c>
      <c r="CD3445">
        <v>1947</v>
      </c>
      <c r="CE3445" t="s">
        <v>88</v>
      </c>
      <c r="CF3445" s="3">
        <v>43782</v>
      </c>
      <c r="CI3445">
        <v>1</v>
      </c>
      <c r="CJ3445">
        <v>1</v>
      </c>
      <c r="CK3445" t="s">
        <v>289</v>
      </c>
      <c r="CL3445" t="s">
        <v>89</v>
      </c>
    </row>
    <row r="3446" spans="1:90">
      <c r="A3446" t="s">
        <v>72</v>
      </c>
      <c r="B3446" t="s">
        <v>73</v>
      </c>
      <c r="C3446" t="s">
        <v>74</v>
      </c>
      <c r="E3446" t="str">
        <f>"FES1162722406"</f>
        <v>FES1162722406</v>
      </c>
      <c r="F3446" s="3">
        <v>43780</v>
      </c>
      <c r="G3446">
        <v>202005</v>
      </c>
      <c r="H3446" t="s">
        <v>75</v>
      </c>
      <c r="I3446" t="s">
        <v>76</v>
      </c>
      <c r="J3446" t="s">
        <v>211</v>
      </c>
      <c r="K3446" t="s">
        <v>78</v>
      </c>
      <c r="L3446" t="s">
        <v>292</v>
      </c>
      <c r="M3446" t="s">
        <v>293</v>
      </c>
      <c r="N3446" t="s">
        <v>294</v>
      </c>
      <c r="O3446" t="s">
        <v>282</v>
      </c>
      <c r="P3446" t="str">
        <f>"2170716609                    "</f>
        <v xml:space="preserve">2170716609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16.09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7.4</v>
      </c>
      <c r="BJ3446">
        <v>8.9</v>
      </c>
      <c r="BK3446">
        <v>9</v>
      </c>
      <c r="BL3446" s="4">
        <v>99.59</v>
      </c>
      <c r="BM3446" s="4">
        <v>14.94</v>
      </c>
      <c r="BN3446" s="4">
        <v>114.53</v>
      </c>
      <c r="BO3446" s="4">
        <v>114.53</v>
      </c>
      <c r="BQ3446" t="s">
        <v>121</v>
      </c>
      <c r="BR3446" t="s">
        <v>212</v>
      </c>
      <c r="BS3446" s="3">
        <v>43781</v>
      </c>
      <c r="BT3446" s="5">
        <v>0.41319444444444442</v>
      </c>
      <c r="BU3446" t="s">
        <v>1733</v>
      </c>
      <c r="BV3446" t="s">
        <v>86</v>
      </c>
      <c r="BY3446">
        <v>44604.11</v>
      </c>
      <c r="CC3446" t="s">
        <v>293</v>
      </c>
      <c r="CD3446">
        <v>1947</v>
      </c>
      <c r="CE3446" t="s">
        <v>1598</v>
      </c>
      <c r="CF3446" s="3">
        <v>43782</v>
      </c>
      <c r="CI3446">
        <v>1</v>
      </c>
      <c r="CJ3446">
        <v>1</v>
      </c>
      <c r="CK3446" t="s">
        <v>289</v>
      </c>
      <c r="CL3446" t="s">
        <v>89</v>
      </c>
    </row>
    <row r="3447" spans="1:90">
      <c r="A3447" t="s">
        <v>72</v>
      </c>
      <c r="B3447" t="s">
        <v>73</v>
      </c>
      <c r="C3447" t="s">
        <v>74</v>
      </c>
      <c r="E3447" t="str">
        <f>"009938881887"</f>
        <v>009938881887</v>
      </c>
      <c r="F3447" s="3">
        <v>43796</v>
      </c>
      <c r="G3447">
        <v>202005</v>
      </c>
      <c r="H3447" t="s">
        <v>75</v>
      </c>
      <c r="I3447" t="s">
        <v>76</v>
      </c>
      <c r="J3447" t="s">
        <v>3233</v>
      </c>
      <c r="K3447" t="s">
        <v>78</v>
      </c>
      <c r="L3447" t="s">
        <v>75</v>
      </c>
      <c r="M3447" t="s">
        <v>76</v>
      </c>
      <c r="N3447" t="s">
        <v>211</v>
      </c>
      <c r="O3447" t="s">
        <v>82</v>
      </c>
      <c r="P3447" t="str">
        <f>"..                            "</f>
        <v xml:space="preserve">..        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6.71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 s="4">
        <v>39.42</v>
      </c>
      <c r="BM3447" s="4">
        <v>5.91</v>
      </c>
      <c r="BN3447" s="4">
        <v>45.33</v>
      </c>
      <c r="BO3447" s="4">
        <v>45.33</v>
      </c>
      <c r="BQ3447" t="s">
        <v>2611</v>
      </c>
      <c r="BR3447" t="s">
        <v>2496</v>
      </c>
      <c r="BS3447" s="3">
        <v>43797</v>
      </c>
      <c r="BT3447" s="5">
        <v>0.50694444444444442</v>
      </c>
      <c r="BU3447" t="s">
        <v>1016</v>
      </c>
      <c r="BV3447" t="s">
        <v>89</v>
      </c>
      <c r="BY3447">
        <v>1200</v>
      </c>
      <c r="BZ3447" t="s">
        <v>27</v>
      </c>
      <c r="CA3447" t="s">
        <v>198</v>
      </c>
      <c r="CC3447" t="s">
        <v>76</v>
      </c>
      <c r="CD3447">
        <v>1600</v>
      </c>
      <c r="CE3447" t="s">
        <v>88</v>
      </c>
      <c r="CI3447">
        <v>1</v>
      </c>
      <c r="CJ3447">
        <v>1</v>
      </c>
      <c r="CK3447">
        <v>22</v>
      </c>
      <c r="CL3447" t="s">
        <v>89</v>
      </c>
    </row>
    <row r="3448" spans="1:90">
      <c r="A3448" t="s">
        <v>72</v>
      </c>
      <c r="B3448" t="s">
        <v>73</v>
      </c>
      <c r="C3448" t="s">
        <v>74</v>
      </c>
      <c r="E3448" t="str">
        <f>"009939306570"</f>
        <v>009939306570</v>
      </c>
      <c r="F3448" s="3">
        <v>43791</v>
      </c>
      <c r="G3448">
        <v>202005</v>
      </c>
      <c r="H3448" t="s">
        <v>106</v>
      </c>
      <c r="I3448" t="s">
        <v>107</v>
      </c>
      <c r="J3448" t="s">
        <v>3234</v>
      </c>
      <c r="K3448" t="s">
        <v>78</v>
      </c>
      <c r="L3448" t="s">
        <v>106</v>
      </c>
      <c r="M3448" t="s">
        <v>107</v>
      </c>
      <c r="N3448" t="s">
        <v>3235</v>
      </c>
      <c r="O3448" t="s">
        <v>82</v>
      </c>
      <c r="P3448" t="str">
        <f>"                              "</f>
        <v xml:space="preserve">          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2.2000000000000002</v>
      </c>
      <c r="BK3448">
        <v>2.5</v>
      </c>
      <c r="BL3448" s="4">
        <v>0</v>
      </c>
      <c r="BM3448" s="4">
        <v>0</v>
      </c>
      <c r="BN3448" s="4">
        <v>0</v>
      </c>
      <c r="BO3448" s="4">
        <v>0</v>
      </c>
      <c r="BS3448" s="3">
        <v>43794</v>
      </c>
      <c r="BT3448" s="5">
        <v>0.33263888888888887</v>
      </c>
      <c r="BU3448" t="s">
        <v>714</v>
      </c>
      <c r="BV3448" t="s">
        <v>86</v>
      </c>
      <c r="BY3448">
        <v>11040</v>
      </c>
      <c r="BZ3448" t="s">
        <v>3236</v>
      </c>
      <c r="CA3448" t="s">
        <v>87</v>
      </c>
      <c r="CC3448" t="s">
        <v>107</v>
      </c>
      <c r="CD3448">
        <v>6000</v>
      </c>
      <c r="CE3448" t="s">
        <v>88</v>
      </c>
      <c r="CF3448" s="3">
        <v>43795</v>
      </c>
      <c r="CI3448">
        <v>1</v>
      </c>
      <c r="CJ3448">
        <v>1</v>
      </c>
      <c r="CK3448">
        <v>-1</v>
      </c>
      <c r="CL3448" t="s">
        <v>89</v>
      </c>
    </row>
    <row r="3449" spans="1:90">
      <c r="A3449" t="s">
        <v>72</v>
      </c>
      <c r="B3449" t="s">
        <v>73</v>
      </c>
      <c r="C3449" t="s">
        <v>74</v>
      </c>
      <c r="E3449" t="str">
        <f>"FES1162725939"</f>
        <v>FES1162725939</v>
      </c>
      <c r="F3449" s="3">
        <v>43798</v>
      </c>
      <c r="G3449">
        <v>202005</v>
      </c>
      <c r="H3449" t="s">
        <v>75</v>
      </c>
      <c r="I3449" t="s">
        <v>76</v>
      </c>
      <c r="J3449" t="s">
        <v>77</v>
      </c>
      <c r="K3449" t="s">
        <v>78</v>
      </c>
      <c r="L3449" t="s">
        <v>124</v>
      </c>
      <c r="M3449" t="s">
        <v>125</v>
      </c>
      <c r="N3449" t="s">
        <v>218</v>
      </c>
      <c r="O3449" t="s">
        <v>82</v>
      </c>
      <c r="P3449" t="str">
        <f>"2170719477                    "</f>
        <v xml:space="preserve">2170719477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6.71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 s="4">
        <v>39.42</v>
      </c>
      <c r="BM3449" s="4">
        <v>5.91</v>
      </c>
      <c r="BN3449" s="4">
        <v>45.33</v>
      </c>
      <c r="BO3449" s="4">
        <v>45.33</v>
      </c>
      <c r="BQ3449" t="s">
        <v>121</v>
      </c>
      <c r="BR3449" t="s">
        <v>84</v>
      </c>
      <c r="BS3449" t="s">
        <v>201</v>
      </c>
      <c r="BY3449">
        <v>1200</v>
      </c>
      <c r="CC3449" t="s">
        <v>125</v>
      </c>
      <c r="CD3449">
        <v>2094</v>
      </c>
      <c r="CE3449" t="s">
        <v>147</v>
      </c>
      <c r="CI3449">
        <v>1</v>
      </c>
      <c r="CJ3449" t="s">
        <v>201</v>
      </c>
      <c r="CK3449">
        <v>22</v>
      </c>
      <c r="CL3449" t="s">
        <v>89</v>
      </c>
    </row>
    <row r="3450" spans="1:90">
      <c r="A3450" t="s">
        <v>72</v>
      </c>
      <c r="B3450" t="s">
        <v>73</v>
      </c>
      <c r="C3450" t="s">
        <v>74</v>
      </c>
      <c r="E3450" t="str">
        <f>"FES1162725202"</f>
        <v>FES1162725202</v>
      </c>
      <c r="F3450" s="3">
        <v>43796</v>
      </c>
      <c r="G3450">
        <v>202005</v>
      </c>
      <c r="H3450" t="s">
        <v>75</v>
      </c>
      <c r="I3450" t="s">
        <v>76</v>
      </c>
      <c r="J3450" t="s">
        <v>77</v>
      </c>
      <c r="K3450" t="s">
        <v>78</v>
      </c>
      <c r="L3450" t="s">
        <v>296</v>
      </c>
      <c r="M3450" t="s">
        <v>297</v>
      </c>
      <c r="N3450" t="s">
        <v>672</v>
      </c>
      <c r="O3450" t="s">
        <v>82</v>
      </c>
      <c r="P3450" t="str">
        <f>"2170718951                    "</f>
        <v xml:space="preserve">2170718951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16.63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 s="4">
        <v>97.75</v>
      </c>
      <c r="BM3450" s="4">
        <v>14.66</v>
      </c>
      <c r="BN3450" s="4">
        <v>112.41</v>
      </c>
      <c r="BO3450" s="4">
        <v>112.41</v>
      </c>
      <c r="BQ3450" t="s">
        <v>142</v>
      </c>
      <c r="BR3450" t="s">
        <v>84</v>
      </c>
      <c r="BS3450" s="3">
        <v>43798</v>
      </c>
      <c r="BT3450" s="5">
        <v>0.41597222222222219</v>
      </c>
      <c r="BU3450" t="s">
        <v>3237</v>
      </c>
      <c r="BV3450" t="s">
        <v>86</v>
      </c>
      <c r="BY3450">
        <v>1200</v>
      </c>
      <c r="CA3450" t="s">
        <v>300</v>
      </c>
      <c r="CC3450" t="s">
        <v>297</v>
      </c>
      <c r="CD3450">
        <v>6850</v>
      </c>
      <c r="CE3450" t="s">
        <v>147</v>
      </c>
      <c r="CI3450">
        <v>3</v>
      </c>
      <c r="CJ3450">
        <v>2</v>
      </c>
      <c r="CK3450">
        <v>23</v>
      </c>
      <c r="CL3450" t="s">
        <v>89</v>
      </c>
    </row>
    <row r="3451" spans="1:90">
      <c r="A3451" t="s">
        <v>72</v>
      </c>
      <c r="B3451" t="s">
        <v>73</v>
      </c>
      <c r="C3451" t="s">
        <v>74</v>
      </c>
      <c r="E3451" t="str">
        <f>"009935723060"</f>
        <v>009935723060</v>
      </c>
      <c r="F3451" s="3">
        <v>43776</v>
      </c>
      <c r="G3451">
        <v>202005</v>
      </c>
      <c r="H3451" t="s">
        <v>75</v>
      </c>
      <c r="I3451" t="s">
        <v>76</v>
      </c>
      <c r="J3451" t="s">
        <v>211</v>
      </c>
      <c r="K3451" t="s">
        <v>78</v>
      </c>
      <c r="L3451" t="s">
        <v>90</v>
      </c>
      <c r="M3451" t="s">
        <v>91</v>
      </c>
      <c r="N3451" t="s">
        <v>393</v>
      </c>
      <c r="O3451" t="s">
        <v>82</v>
      </c>
      <c r="P3451" t="str">
        <f>"EMMANUEL                      "</f>
        <v xml:space="preserve">EMMANUEL  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51.47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2</v>
      </c>
      <c r="BI3451">
        <v>12</v>
      </c>
      <c r="BJ3451">
        <v>11.7</v>
      </c>
      <c r="BK3451">
        <v>12</v>
      </c>
      <c r="BL3451" s="4">
        <v>302.54000000000002</v>
      </c>
      <c r="BM3451" s="4">
        <v>45.38</v>
      </c>
      <c r="BN3451" s="4">
        <v>347.92</v>
      </c>
      <c r="BO3451" s="4">
        <v>347.92</v>
      </c>
      <c r="BQ3451" t="s">
        <v>589</v>
      </c>
      <c r="BR3451" t="s">
        <v>212</v>
      </c>
      <c r="BS3451" s="3">
        <v>43777</v>
      </c>
      <c r="BT3451" s="5">
        <v>0.41666666666666669</v>
      </c>
      <c r="BU3451" t="s">
        <v>2033</v>
      </c>
      <c r="BV3451" t="s">
        <v>86</v>
      </c>
      <c r="BY3451">
        <v>58410</v>
      </c>
      <c r="BZ3451" t="s">
        <v>27</v>
      </c>
      <c r="CA3451" t="s">
        <v>221</v>
      </c>
      <c r="CC3451" t="s">
        <v>91</v>
      </c>
      <c r="CD3451">
        <v>7405</v>
      </c>
      <c r="CE3451" t="s">
        <v>88</v>
      </c>
      <c r="CF3451" s="3">
        <v>43780</v>
      </c>
      <c r="CI3451">
        <v>1</v>
      </c>
      <c r="CJ3451">
        <v>1</v>
      </c>
      <c r="CK3451">
        <v>21</v>
      </c>
      <c r="CL3451" t="s">
        <v>89</v>
      </c>
    </row>
    <row r="3452" spans="1:90">
      <c r="A3452" t="s">
        <v>72</v>
      </c>
      <c r="B3452" t="s">
        <v>73</v>
      </c>
      <c r="C3452" t="s">
        <v>74</v>
      </c>
      <c r="E3452" t="str">
        <f>"FES1162725324"</f>
        <v>FES1162725324</v>
      </c>
      <c r="F3452" s="3">
        <v>43796</v>
      </c>
      <c r="G3452">
        <v>202005</v>
      </c>
      <c r="H3452" t="s">
        <v>75</v>
      </c>
      <c r="I3452" t="s">
        <v>76</v>
      </c>
      <c r="J3452" t="s">
        <v>77</v>
      </c>
      <c r="K3452" t="s">
        <v>78</v>
      </c>
      <c r="L3452" t="s">
        <v>112</v>
      </c>
      <c r="M3452" t="s">
        <v>113</v>
      </c>
      <c r="N3452" t="s">
        <v>620</v>
      </c>
      <c r="O3452" t="s">
        <v>82</v>
      </c>
      <c r="P3452" t="str">
        <f>"2170717350                    "</f>
        <v xml:space="preserve">2170717350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8.58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 s="4">
        <v>50.45</v>
      </c>
      <c r="BM3452" s="4">
        <v>7.57</v>
      </c>
      <c r="BN3452" s="4">
        <v>58.02</v>
      </c>
      <c r="BO3452" s="4">
        <v>58.02</v>
      </c>
      <c r="BQ3452" t="s">
        <v>109</v>
      </c>
      <c r="BR3452" t="s">
        <v>84</v>
      </c>
      <c r="BS3452" s="3">
        <v>43797</v>
      </c>
      <c r="BT3452" s="5">
        <v>0.3756944444444445</v>
      </c>
      <c r="BU3452" t="s">
        <v>1971</v>
      </c>
      <c r="BV3452" t="s">
        <v>86</v>
      </c>
      <c r="BY3452">
        <v>1200</v>
      </c>
      <c r="CA3452" t="s">
        <v>448</v>
      </c>
      <c r="CC3452" t="s">
        <v>113</v>
      </c>
      <c r="CD3452">
        <v>4302</v>
      </c>
      <c r="CE3452" t="s">
        <v>147</v>
      </c>
      <c r="CF3452" s="3">
        <v>43798</v>
      </c>
      <c r="CI3452">
        <v>1</v>
      </c>
      <c r="CJ3452">
        <v>1</v>
      </c>
      <c r="CK3452">
        <v>21</v>
      </c>
      <c r="CL3452" t="s">
        <v>89</v>
      </c>
    </row>
    <row r="3453" spans="1:90">
      <c r="A3453" t="s">
        <v>72</v>
      </c>
      <c r="B3453" t="s">
        <v>73</v>
      </c>
      <c r="C3453" t="s">
        <v>74</v>
      </c>
      <c r="E3453" t="str">
        <f>"FES1162725429"</f>
        <v>FES1162725429</v>
      </c>
      <c r="F3453" s="3">
        <v>43796</v>
      </c>
      <c r="G3453">
        <v>202005</v>
      </c>
      <c r="H3453" t="s">
        <v>75</v>
      </c>
      <c r="I3453" t="s">
        <v>76</v>
      </c>
      <c r="J3453" t="s">
        <v>77</v>
      </c>
      <c r="K3453" t="s">
        <v>78</v>
      </c>
      <c r="L3453" t="s">
        <v>90</v>
      </c>
      <c r="M3453" t="s">
        <v>91</v>
      </c>
      <c r="N3453" t="s">
        <v>3238</v>
      </c>
      <c r="O3453" t="s">
        <v>82</v>
      </c>
      <c r="P3453" t="str">
        <f>"2170719189                    "</f>
        <v xml:space="preserve">2170719189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8.58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 s="4">
        <v>50.45</v>
      </c>
      <c r="BM3453" s="4">
        <v>7.57</v>
      </c>
      <c r="BN3453" s="4">
        <v>58.02</v>
      </c>
      <c r="BO3453" s="4">
        <v>58.02</v>
      </c>
      <c r="BQ3453" t="s">
        <v>109</v>
      </c>
      <c r="BR3453" t="s">
        <v>84</v>
      </c>
      <c r="BS3453" s="3">
        <v>43797</v>
      </c>
      <c r="BT3453" s="5">
        <v>0.33194444444444443</v>
      </c>
      <c r="BU3453" t="s">
        <v>3239</v>
      </c>
      <c r="BV3453" t="s">
        <v>86</v>
      </c>
      <c r="BY3453">
        <v>1200</v>
      </c>
      <c r="CA3453" t="s">
        <v>140</v>
      </c>
      <c r="CC3453" t="s">
        <v>91</v>
      </c>
      <c r="CD3453">
        <v>7530</v>
      </c>
      <c r="CE3453" t="s">
        <v>147</v>
      </c>
      <c r="CF3453" s="3">
        <v>43798</v>
      </c>
      <c r="CI3453">
        <v>1</v>
      </c>
      <c r="CJ3453">
        <v>1</v>
      </c>
      <c r="CK3453">
        <v>21</v>
      </c>
      <c r="CL3453" t="s">
        <v>89</v>
      </c>
    </row>
    <row r="3454" spans="1:90">
      <c r="A3454" t="s">
        <v>72</v>
      </c>
      <c r="B3454" t="s">
        <v>73</v>
      </c>
      <c r="C3454" t="s">
        <v>74</v>
      </c>
      <c r="E3454" t="str">
        <f>"FES1162725356"</f>
        <v>FES1162725356</v>
      </c>
      <c r="F3454" s="3">
        <v>43796</v>
      </c>
      <c r="G3454">
        <v>202005</v>
      </c>
      <c r="H3454" t="s">
        <v>75</v>
      </c>
      <c r="I3454" t="s">
        <v>76</v>
      </c>
      <c r="J3454" t="s">
        <v>77</v>
      </c>
      <c r="K3454" t="s">
        <v>78</v>
      </c>
      <c r="L3454" t="s">
        <v>133</v>
      </c>
      <c r="M3454" t="s">
        <v>134</v>
      </c>
      <c r="N3454" t="s">
        <v>135</v>
      </c>
      <c r="O3454" t="s">
        <v>82</v>
      </c>
      <c r="P3454" t="str">
        <f>"2172179092                    "</f>
        <v xml:space="preserve">2172179092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15.02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3.1</v>
      </c>
      <c r="BJ3454">
        <v>1.5</v>
      </c>
      <c r="BK3454">
        <v>3.5</v>
      </c>
      <c r="BL3454" s="4">
        <v>88.27</v>
      </c>
      <c r="BM3454" s="4">
        <v>13.24</v>
      </c>
      <c r="BN3454" s="4">
        <v>101.51</v>
      </c>
      <c r="BO3454" s="4">
        <v>101.51</v>
      </c>
      <c r="BQ3454" t="s">
        <v>109</v>
      </c>
      <c r="BR3454" t="s">
        <v>84</v>
      </c>
      <c r="BS3454" s="3">
        <v>43797</v>
      </c>
      <c r="BT3454" s="5">
        <v>0.38958333333333334</v>
      </c>
      <c r="BU3454" t="s">
        <v>136</v>
      </c>
      <c r="BV3454" t="s">
        <v>86</v>
      </c>
      <c r="BY3454">
        <v>7484.4</v>
      </c>
      <c r="CA3454" t="s">
        <v>912</v>
      </c>
      <c r="CC3454" t="s">
        <v>134</v>
      </c>
      <c r="CD3454">
        <v>5201</v>
      </c>
      <c r="CE3454" t="s">
        <v>88</v>
      </c>
      <c r="CF3454" s="3">
        <v>43798</v>
      </c>
      <c r="CI3454">
        <v>1</v>
      </c>
      <c r="CJ3454">
        <v>1</v>
      </c>
      <c r="CK3454">
        <v>21</v>
      </c>
      <c r="CL3454" t="s">
        <v>89</v>
      </c>
    </row>
    <row r="3455" spans="1:90">
      <c r="A3455" t="s">
        <v>72</v>
      </c>
      <c r="B3455" t="s">
        <v>73</v>
      </c>
      <c r="C3455" t="s">
        <v>74</v>
      </c>
      <c r="E3455" t="str">
        <f>"FES1162725425"</f>
        <v>FES1162725425</v>
      </c>
      <c r="F3455" s="3">
        <v>43796</v>
      </c>
      <c r="G3455">
        <v>202005</v>
      </c>
      <c r="H3455" t="s">
        <v>75</v>
      </c>
      <c r="I3455" t="s">
        <v>76</v>
      </c>
      <c r="J3455" t="s">
        <v>77</v>
      </c>
      <c r="K3455" t="s">
        <v>78</v>
      </c>
      <c r="L3455" t="s">
        <v>124</v>
      </c>
      <c r="M3455" t="s">
        <v>125</v>
      </c>
      <c r="N3455" t="s">
        <v>3240</v>
      </c>
      <c r="O3455" t="s">
        <v>82</v>
      </c>
      <c r="P3455" t="str">
        <f>"2170719184                    "</f>
        <v xml:space="preserve">2170719184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6.71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 s="4">
        <v>39.42</v>
      </c>
      <c r="BM3455" s="4">
        <v>5.91</v>
      </c>
      <c r="BN3455" s="4">
        <v>45.33</v>
      </c>
      <c r="BO3455" s="4">
        <v>45.33</v>
      </c>
      <c r="BQ3455" t="s">
        <v>109</v>
      </c>
      <c r="BR3455" t="s">
        <v>84</v>
      </c>
      <c r="BS3455" s="3">
        <v>43797</v>
      </c>
      <c r="BT3455" s="5">
        <v>0.42499999999999999</v>
      </c>
      <c r="BU3455" t="s">
        <v>3241</v>
      </c>
      <c r="BV3455" t="s">
        <v>86</v>
      </c>
      <c r="BY3455">
        <v>1200</v>
      </c>
      <c r="CC3455" t="s">
        <v>125</v>
      </c>
      <c r="CD3455">
        <v>2091</v>
      </c>
      <c r="CE3455" t="s">
        <v>147</v>
      </c>
      <c r="CI3455">
        <v>1</v>
      </c>
      <c r="CJ3455">
        <v>1</v>
      </c>
      <c r="CK3455">
        <v>22</v>
      </c>
      <c r="CL3455" t="s">
        <v>89</v>
      </c>
    </row>
    <row r="3456" spans="1:90">
      <c r="A3456" t="s">
        <v>72</v>
      </c>
      <c r="B3456" t="s">
        <v>73</v>
      </c>
      <c r="C3456" t="s">
        <v>74</v>
      </c>
      <c r="E3456" t="str">
        <f>"FES1162725280"</f>
        <v>FES1162725280</v>
      </c>
      <c r="F3456" s="3">
        <v>43796</v>
      </c>
      <c r="G3456">
        <v>202005</v>
      </c>
      <c r="H3456" t="s">
        <v>75</v>
      </c>
      <c r="I3456" t="s">
        <v>76</v>
      </c>
      <c r="J3456" t="s">
        <v>77</v>
      </c>
      <c r="K3456" t="s">
        <v>78</v>
      </c>
      <c r="L3456" t="s">
        <v>90</v>
      </c>
      <c r="M3456" t="s">
        <v>91</v>
      </c>
      <c r="N3456" t="s">
        <v>326</v>
      </c>
      <c r="O3456" t="s">
        <v>82</v>
      </c>
      <c r="P3456" t="str">
        <f>"2170719020                    "</f>
        <v xml:space="preserve">2170719020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8.58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 s="4">
        <v>50.45</v>
      </c>
      <c r="BM3456" s="4">
        <v>7.57</v>
      </c>
      <c r="BN3456" s="4">
        <v>58.02</v>
      </c>
      <c r="BO3456" s="4">
        <v>58.02</v>
      </c>
      <c r="BQ3456" t="s">
        <v>327</v>
      </c>
      <c r="BR3456" t="s">
        <v>84</v>
      </c>
      <c r="BS3456" s="3">
        <v>43797</v>
      </c>
      <c r="BT3456" s="5">
        <v>0.38750000000000001</v>
      </c>
      <c r="BU3456" t="s">
        <v>328</v>
      </c>
      <c r="BV3456" t="s">
        <v>86</v>
      </c>
      <c r="BY3456">
        <v>1200</v>
      </c>
      <c r="CA3456" t="s">
        <v>329</v>
      </c>
      <c r="CC3456" t="s">
        <v>91</v>
      </c>
      <c r="CD3456">
        <v>7405</v>
      </c>
      <c r="CE3456" t="s">
        <v>147</v>
      </c>
      <c r="CF3456" s="3">
        <v>43798</v>
      </c>
      <c r="CI3456">
        <v>1</v>
      </c>
      <c r="CJ3456">
        <v>1</v>
      </c>
      <c r="CK3456">
        <v>21</v>
      </c>
      <c r="CL3456" t="s">
        <v>89</v>
      </c>
    </row>
    <row r="3457" spans="1:90">
      <c r="A3457" t="s">
        <v>72</v>
      </c>
      <c r="B3457" t="s">
        <v>73</v>
      </c>
      <c r="C3457" t="s">
        <v>74</v>
      </c>
      <c r="E3457" t="str">
        <f>"FES1162725452"</f>
        <v>FES1162725452</v>
      </c>
      <c r="F3457" s="3">
        <v>43796</v>
      </c>
      <c r="G3457">
        <v>202005</v>
      </c>
      <c r="H3457" t="s">
        <v>75</v>
      </c>
      <c r="I3457" t="s">
        <v>76</v>
      </c>
      <c r="J3457" t="s">
        <v>77</v>
      </c>
      <c r="K3457" t="s">
        <v>78</v>
      </c>
      <c r="L3457" t="s">
        <v>701</v>
      </c>
      <c r="M3457" t="s">
        <v>702</v>
      </c>
      <c r="N3457" t="s">
        <v>3242</v>
      </c>
      <c r="O3457" t="s">
        <v>82</v>
      </c>
      <c r="P3457" t="str">
        <f>"2170719232                    "</f>
        <v xml:space="preserve">2170719232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12.07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 s="4">
        <v>70.95</v>
      </c>
      <c r="BM3457" s="4">
        <v>10.64</v>
      </c>
      <c r="BN3457" s="4">
        <v>81.59</v>
      </c>
      <c r="BO3457" s="4">
        <v>81.59</v>
      </c>
      <c r="BP3457" t="s">
        <v>2813</v>
      </c>
      <c r="BQ3457" t="s">
        <v>3243</v>
      </c>
      <c r="BR3457" t="s">
        <v>84</v>
      </c>
      <c r="BS3457" s="3">
        <v>43797</v>
      </c>
      <c r="BT3457" s="5">
        <v>0.43055555555555558</v>
      </c>
      <c r="BU3457" t="s">
        <v>3244</v>
      </c>
      <c r="BV3457" t="s">
        <v>86</v>
      </c>
      <c r="BY3457">
        <v>1200</v>
      </c>
      <c r="CA3457" t="s">
        <v>1546</v>
      </c>
      <c r="CC3457" t="s">
        <v>702</v>
      </c>
      <c r="CD3457">
        <v>299</v>
      </c>
      <c r="CE3457" t="s">
        <v>147</v>
      </c>
      <c r="CI3457">
        <v>1</v>
      </c>
      <c r="CJ3457">
        <v>1</v>
      </c>
      <c r="CK3457">
        <v>24</v>
      </c>
      <c r="CL3457" t="s">
        <v>89</v>
      </c>
    </row>
    <row r="3458" spans="1:90">
      <c r="A3458" t="s">
        <v>72</v>
      </c>
      <c r="B3458" t="s">
        <v>73</v>
      </c>
      <c r="C3458" t="s">
        <v>74</v>
      </c>
      <c r="E3458" t="str">
        <f>"FES1162725302"</f>
        <v>FES1162725302</v>
      </c>
      <c r="F3458" s="3">
        <v>43796</v>
      </c>
      <c r="G3458">
        <v>202005</v>
      </c>
      <c r="H3458" t="s">
        <v>75</v>
      </c>
      <c r="I3458" t="s">
        <v>76</v>
      </c>
      <c r="J3458" t="s">
        <v>77</v>
      </c>
      <c r="K3458" t="s">
        <v>78</v>
      </c>
      <c r="L3458" t="s">
        <v>90</v>
      </c>
      <c r="M3458" t="s">
        <v>91</v>
      </c>
      <c r="N3458" t="s">
        <v>659</v>
      </c>
      <c r="O3458" t="s">
        <v>82</v>
      </c>
      <c r="P3458" t="str">
        <f>"2170719055                    "</f>
        <v xml:space="preserve">2170719055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8.58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 s="4">
        <v>50.45</v>
      </c>
      <c r="BM3458" s="4">
        <v>7.57</v>
      </c>
      <c r="BN3458" s="4">
        <v>58.02</v>
      </c>
      <c r="BO3458" s="4">
        <v>58.02</v>
      </c>
      <c r="BQ3458" t="s">
        <v>121</v>
      </c>
      <c r="BR3458" t="s">
        <v>84</v>
      </c>
      <c r="BS3458" s="3">
        <v>43797</v>
      </c>
      <c r="BT3458" s="5">
        <v>0.47430555555555554</v>
      </c>
      <c r="BU3458" t="s">
        <v>660</v>
      </c>
      <c r="BV3458" t="s">
        <v>89</v>
      </c>
      <c r="BY3458">
        <v>1200</v>
      </c>
      <c r="CA3458" t="s">
        <v>661</v>
      </c>
      <c r="CC3458" t="s">
        <v>91</v>
      </c>
      <c r="CD3458">
        <v>7800</v>
      </c>
      <c r="CE3458" t="s">
        <v>147</v>
      </c>
      <c r="CF3458" s="3">
        <v>43798</v>
      </c>
      <c r="CI3458">
        <v>1</v>
      </c>
      <c r="CJ3458">
        <v>1</v>
      </c>
      <c r="CK3458">
        <v>21</v>
      </c>
      <c r="CL3458" t="s">
        <v>89</v>
      </c>
    </row>
    <row r="3459" spans="1:90">
      <c r="A3459" t="s">
        <v>72</v>
      </c>
      <c r="B3459" t="s">
        <v>73</v>
      </c>
      <c r="C3459" t="s">
        <v>74</v>
      </c>
      <c r="E3459" t="str">
        <f>"FES1162725445"</f>
        <v>FES1162725445</v>
      </c>
      <c r="F3459" s="3">
        <v>43796</v>
      </c>
      <c r="G3459">
        <v>202005</v>
      </c>
      <c r="H3459" t="s">
        <v>75</v>
      </c>
      <c r="I3459" t="s">
        <v>76</v>
      </c>
      <c r="J3459" t="s">
        <v>77</v>
      </c>
      <c r="K3459" t="s">
        <v>78</v>
      </c>
      <c r="L3459" t="s">
        <v>101</v>
      </c>
      <c r="M3459" t="s">
        <v>102</v>
      </c>
      <c r="N3459" t="s">
        <v>867</v>
      </c>
      <c r="O3459" t="s">
        <v>82</v>
      </c>
      <c r="P3459" t="str">
        <f>"2170719220                    "</f>
        <v xml:space="preserve">2170719220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8.58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 s="4">
        <v>50.45</v>
      </c>
      <c r="BM3459" s="4">
        <v>7.57</v>
      </c>
      <c r="BN3459" s="4">
        <v>58.02</v>
      </c>
      <c r="BO3459" s="4">
        <v>58.02</v>
      </c>
      <c r="BR3459" t="s">
        <v>84</v>
      </c>
      <c r="BS3459" s="3">
        <v>43797</v>
      </c>
      <c r="BT3459" s="5">
        <v>0.3611111111111111</v>
      </c>
      <c r="BU3459" t="s">
        <v>1599</v>
      </c>
      <c r="BV3459" t="s">
        <v>86</v>
      </c>
      <c r="BY3459">
        <v>1200</v>
      </c>
      <c r="CA3459" t="s">
        <v>343</v>
      </c>
      <c r="CC3459" t="s">
        <v>102</v>
      </c>
      <c r="CD3459">
        <v>1</v>
      </c>
      <c r="CE3459" t="s">
        <v>147</v>
      </c>
      <c r="CF3459" s="3">
        <v>43798</v>
      </c>
      <c r="CI3459">
        <v>1</v>
      </c>
      <c r="CJ3459">
        <v>1</v>
      </c>
      <c r="CK3459">
        <v>21</v>
      </c>
      <c r="CL3459" t="s">
        <v>89</v>
      </c>
    </row>
    <row r="3460" spans="1:90">
      <c r="A3460" t="s">
        <v>72</v>
      </c>
      <c r="B3460" t="s">
        <v>73</v>
      </c>
      <c r="C3460" t="s">
        <v>74</v>
      </c>
      <c r="E3460" t="str">
        <f>"FES1162725305"</f>
        <v>FES1162725305</v>
      </c>
      <c r="F3460" s="3">
        <v>43796</v>
      </c>
      <c r="G3460">
        <v>202005</v>
      </c>
      <c r="H3460" t="s">
        <v>75</v>
      </c>
      <c r="I3460" t="s">
        <v>76</v>
      </c>
      <c r="J3460" t="s">
        <v>77</v>
      </c>
      <c r="K3460" t="s">
        <v>78</v>
      </c>
      <c r="L3460" t="s">
        <v>214</v>
      </c>
      <c r="M3460" t="s">
        <v>214</v>
      </c>
      <c r="N3460" t="s">
        <v>312</v>
      </c>
      <c r="O3460" t="s">
        <v>82</v>
      </c>
      <c r="P3460" t="str">
        <f>"2170719060                    "</f>
        <v xml:space="preserve">2170719060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16.63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 s="4">
        <v>97.75</v>
      </c>
      <c r="BM3460" s="4">
        <v>14.66</v>
      </c>
      <c r="BN3460" s="4">
        <v>112.41</v>
      </c>
      <c r="BO3460" s="4">
        <v>112.41</v>
      </c>
      <c r="BQ3460" t="s">
        <v>121</v>
      </c>
      <c r="BR3460" t="s">
        <v>84</v>
      </c>
      <c r="BS3460" s="3">
        <v>43797</v>
      </c>
      <c r="BT3460" s="5">
        <v>0.50069444444444444</v>
      </c>
      <c r="BU3460" t="s">
        <v>313</v>
      </c>
      <c r="BV3460" t="s">
        <v>86</v>
      </c>
      <c r="BY3460">
        <v>1200</v>
      </c>
      <c r="CA3460" t="s">
        <v>217</v>
      </c>
      <c r="CC3460" t="s">
        <v>214</v>
      </c>
      <c r="CD3460">
        <v>7646</v>
      </c>
      <c r="CE3460" t="s">
        <v>147</v>
      </c>
      <c r="CF3460" s="3">
        <v>43798</v>
      </c>
      <c r="CI3460">
        <v>1</v>
      </c>
      <c r="CJ3460">
        <v>1</v>
      </c>
      <c r="CK3460">
        <v>23</v>
      </c>
      <c r="CL3460" t="s">
        <v>89</v>
      </c>
    </row>
    <row r="3461" spans="1:90">
      <c r="A3461" t="s">
        <v>72</v>
      </c>
      <c r="B3461" t="s">
        <v>73</v>
      </c>
      <c r="C3461" t="s">
        <v>74</v>
      </c>
      <c r="E3461" t="str">
        <f>"FES1162725472"</f>
        <v>FES1162725472</v>
      </c>
      <c r="F3461" s="3">
        <v>43796</v>
      </c>
      <c r="G3461">
        <v>202005</v>
      </c>
      <c r="H3461" t="s">
        <v>75</v>
      </c>
      <c r="I3461" t="s">
        <v>76</v>
      </c>
      <c r="J3461" t="s">
        <v>77</v>
      </c>
      <c r="K3461" t="s">
        <v>78</v>
      </c>
      <c r="L3461" t="s">
        <v>90</v>
      </c>
      <c r="M3461" t="s">
        <v>91</v>
      </c>
      <c r="N3461" t="s">
        <v>945</v>
      </c>
      <c r="O3461" t="s">
        <v>82</v>
      </c>
      <c r="P3461" t="str">
        <f>"21707187353                   "</f>
        <v xml:space="preserve">21707187353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8.58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0.2</v>
      </c>
      <c r="BJ3461">
        <v>1.1000000000000001</v>
      </c>
      <c r="BK3461">
        <v>1.5</v>
      </c>
      <c r="BL3461" s="4">
        <v>50.45</v>
      </c>
      <c r="BM3461" s="4">
        <v>7.57</v>
      </c>
      <c r="BN3461" s="4">
        <v>58.02</v>
      </c>
      <c r="BO3461" s="4">
        <v>58.02</v>
      </c>
      <c r="BQ3461" t="s">
        <v>121</v>
      </c>
      <c r="BR3461" t="s">
        <v>84</v>
      </c>
      <c r="BS3461" s="3">
        <v>43797</v>
      </c>
      <c r="BT3461" s="5">
        <v>0.33958333333333335</v>
      </c>
      <c r="BU3461" t="s">
        <v>1298</v>
      </c>
      <c r="BV3461" t="s">
        <v>86</v>
      </c>
      <c r="BY3461">
        <v>5749.38</v>
      </c>
      <c r="CA3461" t="s">
        <v>323</v>
      </c>
      <c r="CC3461" t="s">
        <v>91</v>
      </c>
      <c r="CD3461">
        <v>7460</v>
      </c>
      <c r="CE3461" t="s">
        <v>88</v>
      </c>
      <c r="CF3461" s="3">
        <v>43798</v>
      </c>
      <c r="CI3461">
        <v>1</v>
      </c>
      <c r="CJ3461">
        <v>1</v>
      </c>
      <c r="CK3461">
        <v>21</v>
      </c>
      <c r="CL3461" t="s">
        <v>89</v>
      </c>
    </row>
    <row r="3462" spans="1:90">
      <c r="A3462" t="s">
        <v>72</v>
      </c>
      <c r="B3462" t="s">
        <v>73</v>
      </c>
      <c r="C3462" t="s">
        <v>74</v>
      </c>
      <c r="E3462" t="str">
        <f>"FES1162725272"</f>
        <v>FES1162725272</v>
      </c>
      <c r="F3462" s="3">
        <v>43796</v>
      </c>
      <c r="G3462">
        <v>202005</v>
      </c>
      <c r="H3462" t="s">
        <v>75</v>
      </c>
      <c r="I3462" t="s">
        <v>76</v>
      </c>
      <c r="J3462" t="s">
        <v>77</v>
      </c>
      <c r="K3462" t="s">
        <v>78</v>
      </c>
      <c r="L3462" t="s">
        <v>106</v>
      </c>
      <c r="M3462" t="s">
        <v>107</v>
      </c>
      <c r="N3462" t="s">
        <v>3245</v>
      </c>
      <c r="O3462" t="s">
        <v>82</v>
      </c>
      <c r="P3462" t="str">
        <f>"2170719016                    "</f>
        <v xml:space="preserve">2170719016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8.58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 s="4">
        <v>50.45</v>
      </c>
      <c r="BM3462" s="4">
        <v>7.57</v>
      </c>
      <c r="BN3462" s="4">
        <v>58.02</v>
      </c>
      <c r="BO3462" s="4">
        <v>58.02</v>
      </c>
      <c r="BQ3462" t="s">
        <v>3246</v>
      </c>
      <c r="BR3462" t="s">
        <v>84</v>
      </c>
      <c r="BS3462" s="3">
        <v>43797</v>
      </c>
      <c r="BT3462" s="5">
        <v>0.33819444444444446</v>
      </c>
      <c r="BU3462" t="s">
        <v>3247</v>
      </c>
      <c r="BV3462" t="s">
        <v>86</v>
      </c>
      <c r="BY3462">
        <v>1200</v>
      </c>
      <c r="CA3462" t="s">
        <v>87</v>
      </c>
      <c r="CC3462" t="s">
        <v>107</v>
      </c>
      <c r="CD3462">
        <v>6000</v>
      </c>
      <c r="CE3462" t="s">
        <v>147</v>
      </c>
      <c r="CF3462" s="3">
        <v>43798</v>
      </c>
      <c r="CI3462">
        <v>1</v>
      </c>
      <c r="CJ3462">
        <v>1</v>
      </c>
      <c r="CK3462">
        <v>21</v>
      </c>
      <c r="CL3462" t="s">
        <v>89</v>
      </c>
    </row>
    <row r="3463" spans="1:90">
      <c r="A3463" t="s">
        <v>72</v>
      </c>
      <c r="B3463" t="s">
        <v>73</v>
      </c>
      <c r="C3463" t="s">
        <v>74</v>
      </c>
      <c r="E3463" t="str">
        <f>"FES1162725070"</f>
        <v>FES1162725070</v>
      </c>
      <c r="F3463" s="3">
        <v>43796</v>
      </c>
      <c r="G3463">
        <v>202005</v>
      </c>
      <c r="H3463" t="s">
        <v>75</v>
      </c>
      <c r="I3463" t="s">
        <v>76</v>
      </c>
      <c r="J3463" t="s">
        <v>77</v>
      </c>
      <c r="K3463" t="s">
        <v>78</v>
      </c>
      <c r="L3463" t="s">
        <v>133</v>
      </c>
      <c r="M3463" t="s">
        <v>134</v>
      </c>
      <c r="N3463" t="s">
        <v>3248</v>
      </c>
      <c r="O3463" t="s">
        <v>82</v>
      </c>
      <c r="P3463" t="str">
        <f>"2170718816                    "</f>
        <v xml:space="preserve">2170718816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8.58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0.7</v>
      </c>
      <c r="BJ3463">
        <v>1.3</v>
      </c>
      <c r="BK3463">
        <v>1.5</v>
      </c>
      <c r="BL3463" s="4">
        <v>50.45</v>
      </c>
      <c r="BM3463" s="4">
        <v>7.57</v>
      </c>
      <c r="BN3463" s="4">
        <v>58.02</v>
      </c>
      <c r="BO3463" s="4">
        <v>58.02</v>
      </c>
      <c r="BR3463" t="s">
        <v>84</v>
      </c>
      <c r="BS3463" s="3">
        <v>43797</v>
      </c>
      <c r="BT3463" s="5">
        <v>0.43055555555555558</v>
      </c>
      <c r="BU3463" t="s">
        <v>3249</v>
      </c>
      <c r="BV3463" t="s">
        <v>86</v>
      </c>
      <c r="BY3463">
        <v>6349.5</v>
      </c>
      <c r="CA3463" t="s">
        <v>912</v>
      </c>
      <c r="CC3463" t="s">
        <v>134</v>
      </c>
      <c r="CD3463">
        <v>5200</v>
      </c>
      <c r="CE3463" t="s">
        <v>88</v>
      </c>
      <c r="CF3463" s="3">
        <v>43798</v>
      </c>
      <c r="CI3463">
        <v>1</v>
      </c>
      <c r="CJ3463">
        <v>1</v>
      </c>
      <c r="CK3463">
        <v>21</v>
      </c>
      <c r="CL3463" t="s">
        <v>89</v>
      </c>
    </row>
    <row r="3464" spans="1:90">
      <c r="A3464" t="s">
        <v>72</v>
      </c>
      <c r="B3464" t="s">
        <v>73</v>
      </c>
      <c r="C3464" t="s">
        <v>74</v>
      </c>
      <c r="E3464" t="str">
        <f>"FES1162725368"</f>
        <v>FES1162725368</v>
      </c>
      <c r="F3464" s="3">
        <v>43796</v>
      </c>
      <c r="G3464">
        <v>202005</v>
      </c>
      <c r="H3464" t="s">
        <v>75</v>
      </c>
      <c r="I3464" t="s">
        <v>76</v>
      </c>
      <c r="J3464" t="s">
        <v>77</v>
      </c>
      <c r="K3464" t="s">
        <v>78</v>
      </c>
      <c r="L3464" t="s">
        <v>482</v>
      </c>
      <c r="M3464" t="s">
        <v>483</v>
      </c>
      <c r="N3464" t="s">
        <v>1054</v>
      </c>
      <c r="O3464" t="s">
        <v>82</v>
      </c>
      <c r="P3464" t="str">
        <f>"2170719125                    "</f>
        <v xml:space="preserve">2170719125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6.71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 s="4">
        <v>39.42</v>
      </c>
      <c r="BM3464" s="4">
        <v>5.91</v>
      </c>
      <c r="BN3464" s="4">
        <v>45.33</v>
      </c>
      <c r="BO3464" s="4">
        <v>45.33</v>
      </c>
      <c r="BQ3464" t="s">
        <v>109</v>
      </c>
      <c r="BR3464" t="s">
        <v>84</v>
      </c>
      <c r="BS3464" s="3">
        <v>43797</v>
      </c>
      <c r="BT3464" s="5">
        <v>0.3666666666666667</v>
      </c>
      <c r="BU3464" t="s">
        <v>1055</v>
      </c>
      <c r="BV3464" t="s">
        <v>86</v>
      </c>
      <c r="BY3464">
        <v>1200</v>
      </c>
      <c r="CA3464" t="s">
        <v>486</v>
      </c>
      <c r="CC3464" t="s">
        <v>483</v>
      </c>
      <c r="CD3464">
        <v>1459</v>
      </c>
      <c r="CE3464" t="s">
        <v>147</v>
      </c>
      <c r="CI3464">
        <v>1</v>
      </c>
      <c r="CJ3464">
        <v>1</v>
      </c>
      <c r="CK3464">
        <v>22</v>
      </c>
      <c r="CL3464" t="s">
        <v>89</v>
      </c>
    </row>
    <row r="3465" spans="1:90">
      <c r="A3465" t="s">
        <v>72</v>
      </c>
      <c r="B3465" t="s">
        <v>73</v>
      </c>
      <c r="C3465" t="s">
        <v>74</v>
      </c>
      <c r="E3465" t="str">
        <f>"FES1162725276"</f>
        <v>FES1162725276</v>
      </c>
      <c r="F3465" s="3">
        <v>43796</v>
      </c>
      <c r="G3465">
        <v>202005</v>
      </c>
      <c r="H3465" t="s">
        <v>75</v>
      </c>
      <c r="I3465" t="s">
        <v>76</v>
      </c>
      <c r="J3465" t="s">
        <v>77</v>
      </c>
      <c r="K3465" t="s">
        <v>78</v>
      </c>
      <c r="L3465" t="s">
        <v>75</v>
      </c>
      <c r="M3465" t="s">
        <v>76</v>
      </c>
      <c r="N3465" t="s">
        <v>466</v>
      </c>
      <c r="O3465" t="s">
        <v>82</v>
      </c>
      <c r="P3465" t="str">
        <f>"2170716847                    "</f>
        <v xml:space="preserve">2170716847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8.31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2.9</v>
      </c>
      <c r="BJ3465">
        <v>1.6</v>
      </c>
      <c r="BK3465">
        <v>3</v>
      </c>
      <c r="BL3465" s="4">
        <v>48.86</v>
      </c>
      <c r="BM3465" s="4">
        <v>7.33</v>
      </c>
      <c r="BN3465" s="4">
        <v>56.19</v>
      </c>
      <c r="BO3465" s="4">
        <v>56.19</v>
      </c>
      <c r="BQ3465" t="s">
        <v>109</v>
      </c>
      <c r="BR3465" t="s">
        <v>84</v>
      </c>
      <c r="BS3465" s="3">
        <v>43797</v>
      </c>
      <c r="BT3465" s="5">
        <v>0.47569444444444442</v>
      </c>
      <c r="BU3465" t="s">
        <v>3014</v>
      </c>
      <c r="BV3465" t="s">
        <v>89</v>
      </c>
      <c r="BW3465" t="s">
        <v>319</v>
      </c>
      <c r="BX3465" t="s">
        <v>481</v>
      </c>
      <c r="BY3465">
        <v>7985.76</v>
      </c>
      <c r="CC3465" t="s">
        <v>76</v>
      </c>
      <c r="CD3465">
        <v>1609</v>
      </c>
      <c r="CE3465" t="s">
        <v>1598</v>
      </c>
      <c r="CI3465">
        <v>1</v>
      </c>
      <c r="CJ3465">
        <v>1</v>
      </c>
      <c r="CK3465">
        <v>22</v>
      </c>
      <c r="CL3465" t="s">
        <v>89</v>
      </c>
    </row>
    <row r="3466" spans="1:90">
      <c r="A3466" t="s">
        <v>72</v>
      </c>
      <c r="B3466" t="s">
        <v>73</v>
      </c>
      <c r="C3466" t="s">
        <v>74</v>
      </c>
      <c r="E3466" t="str">
        <f>"FES1162725336"</f>
        <v>FES1162725336</v>
      </c>
      <c r="F3466" s="3">
        <v>43796</v>
      </c>
      <c r="G3466">
        <v>202005</v>
      </c>
      <c r="H3466" t="s">
        <v>75</v>
      </c>
      <c r="I3466" t="s">
        <v>76</v>
      </c>
      <c r="J3466" t="s">
        <v>77</v>
      </c>
      <c r="K3466" t="s">
        <v>78</v>
      </c>
      <c r="L3466" t="s">
        <v>192</v>
      </c>
      <c r="M3466" t="s">
        <v>193</v>
      </c>
      <c r="N3466" t="s">
        <v>194</v>
      </c>
      <c r="O3466" t="s">
        <v>82</v>
      </c>
      <c r="P3466" t="str">
        <f>"2170719096                    "</f>
        <v xml:space="preserve">2170719096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16.63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0.9</v>
      </c>
      <c r="BJ3466">
        <v>1.2</v>
      </c>
      <c r="BK3466">
        <v>1.5</v>
      </c>
      <c r="BL3466" s="4">
        <v>97.75</v>
      </c>
      <c r="BM3466" s="4">
        <v>14.66</v>
      </c>
      <c r="BN3466" s="4">
        <v>112.41</v>
      </c>
      <c r="BO3466" s="4">
        <v>112.41</v>
      </c>
      <c r="BQ3466" t="s">
        <v>109</v>
      </c>
      <c r="BR3466" t="s">
        <v>84</v>
      </c>
      <c r="BS3466" s="3">
        <v>43797</v>
      </c>
      <c r="BT3466" s="5">
        <v>0.53125</v>
      </c>
      <c r="BU3466" t="s">
        <v>2176</v>
      </c>
      <c r="BV3466" t="s">
        <v>86</v>
      </c>
      <c r="BY3466">
        <v>6029.22</v>
      </c>
      <c r="CA3466" t="s">
        <v>1364</v>
      </c>
      <c r="CC3466" t="s">
        <v>193</v>
      </c>
      <c r="CD3466">
        <v>7130</v>
      </c>
      <c r="CE3466" t="s">
        <v>88</v>
      </c>
      <c r="CF3466" s="3">
        <v>43798</v>
      </c>
      <c r="CI3466">
        <v>1</v>
      </c>
      <c r="CJ3466">
        <v>1</v>
      </c>
      <c r="CK3466">
        <v>23</v>
      </c>
      <c r="CL3466" t="s">
        <v>89</v>
      </c>
    </row>
    <row r="3467" spans="1:90">
      <c r="A3467" t="s">
        <v>72</v>
      </c>
      <c r="B3467" t="s">
        <v>73</v>
      </c>
      <c r="C3467" t="s">
        <v>74</v>
      </c>
      <c r="E3467" t="str">
        <f>"FES1162725317"</f>
        <v>FES1162725317</v>
      </c>
      <c r="F3467" s="3">
        <v>43796</v>
      </c>
      <c r="G3467">
        <v>202005</v>
      </c>
      <c r="H3467" t="s">
        <v>75</v>
      </c>
      <c r="I3467" t="s">
        <v>76</v>
      </c>
      <c r="J3467" t="s">
        <v>77</v>
      </c>
      <c r="K3467" t="s">
        <v>78</v>
      </c>
      <c r="L3467" t="s">
        <v>124</v>
      </c>
      <c r="M3467" t="s">
        <v>125</v>
      </c>
      <c r="N3467" t="s">
        <v>218</v>
      </c>
      <c r="O3467" t="s">
        <v>82</v>
      </c>
      <c r="P3467" t="str">
        <f>"2170719077                    "</f>
        <v xml:space="preserve">2170719077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21.17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2</v>
      </c>
      <c r="BI3467">
        <v>10.9</v>
      </c>
      <c r="BJ3467">
        <v>4.5999999999999996</v>
      </c>
      <c r="BK3467">
        <v>11</v>
      </c>
      <c r="BL3467" s="4">
        <v>124.44</v>
      </c>
      <c r="BM3467" s="4">
        <v>18.670000000000002</v>
      </c>
      <c r="BN3467" s="4">
        <v>143.11000000000001</v>
      </c>
      <c r="BO3467" s="4">
        <v>143.11000000000001</v>
      </c>
      <c r="BQ3467" t="s">
        <v>121</v>
      </c>
      <c r="BR3467" t="s">
        <v>84</v>
      </c>
      <c r="BS3467" s="3">
        <v>43797</v>
      </c>
      <c r="BT3467" s="5">
        <v>0.36458333333333331</v>
      </c>
      <c r="BU3467" t="s">
        <v>2247</v>
      </c>
      <c r="BV3467" t="s">
        <v>86</v>
      </c>
      <c r="BY3467">
        <v>22819.57</v>
      </c>
      <c r="CA3467" t="s">
        <v>837</v>
      </c>
      <c r="CC3467" t="s">
        <v>125</v>
      </c>
      <c r="CD3467">
        <v>2094</v>
      </c>
      <c r="CE3467" t="s">
        <v>3213</v>
      </c>
      <c r="CI3467">
        <v>1</v>
      </c>
      <c r="CJ3467">
        <v>1</v>
      </c>
      <c r="CK3467">
        <v>22</v>
      </c>
      <c r="CL3467" t="s">
        <v>89</v>
      </c>
    </row>
    <row r="3468" spans="1:90">
      <c r="A3468" t="s">
        <v>72</v>
      </c>
      <c r="B3468" t="s">
        <v>73</v>
      </c>
      <c r="C3468" t="s">
        <v>74</v>
      </c>
      <c r="E3468" t="str">
        <f>"FES1162725373"</f>
        <v>FES1162725373</v>
      </c>
      <c r="F3468" s="3">
        <v>43796</v>
      </c>
      <c r="G3468">
        <v>202005</v>
      </c>
      <c r="H3468" t="s">
        <v>75</v>
      </c>
      <c r="I3468" t="s">
        <v>76</v>
      </c>
      <c r="J3468" t="s">
        <v>77</v>
      </c>
      <c r="K3468" t="s">
        <v>78</v>
      </c>
      <c r="L3468" t="s">
        <v>90</v>
      </c>
      <c r="M3468" t="s">
        <v>91</v>
      </c>
      <c r="N3468" t="s">
        <v>527</v>
      </c>
      <c r="O3468" t="s">
        <v>82</v>
      </c>
      <c r="P3468" t="str">
        <f>"2170719129                    "</f>
        <v xml:space="preserve">2170719129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27.88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6.2</v>
      </c>
      <c r="BJ3468">
        <v>4.0999999999999996</v>
      </c>
      <c r="BK3468">
        <v>6.5</v>
      </c>
      <c r="BL3468" s="4">
        <v>163.89</v>
      </c>
      <c r="BM3468" s="4">
        <v>24.58</v>
      </c>
      <c r="BN3468" s="4">
        <v>188.47</v>
      </c>
      <c r="BO3468" s="4">
        <v>188.47</v>
      </c>
      <c r="BQ3468" t="s">
        <v>109</v>
      </c>
      <c r="BR3468" t="s">
        <v>84</v>
      </c>
      <c r="BS3468" s="3">
        <v>43797</v>
      </c>
      <c r="BT3468" s="5">
        <v>0.33958333333333335</v>
      </c>
      <c r="BU3468" t="s">
        <v>2780</v>
      </c>
      <c r="BV3468" t="s">
        <v>86</v>
      </c>
      <c r="BY3468">
        <v>20396.259999999998</v>
      </c>
      <c r="CA3468" t="s">
        <v>221</v>
      </c>
      <c r="CC3468" t="s">
        <v>91</v>
      </c>
      <c r="CD3468">
        <v>7405</v>
      </c>
      <c r="CE3468" t="s">
        <v>1598</v>
      </c>
      <c r="CF3468" s="3">
        <v>43798</v>
      </c>
      <c r="CI3468">
        <v>1</v>
      </c>
      <c r="CJ3468">
        <v>1</v>
      </c>
      <c r="CK3468">
        <v>21</v>
      </c>
      <c r="CL3468" t="s">
        <v>89</v>
      </c>
    </row>
    <row r="3469" spans="1:90">
      <c r="A3469" t="s">
        <v>72</v>
      </c>
      <c r="B3469" t="s">
        <v>73</v>
      </c>
      <c r="C3469" t="s">
        <v>74</v>
      </c>
      <c r="E3469" t="str">
        <f>"FES1162725461"</f>
        <v>FES1162725461</v>
      </c>
      <c r="F3469" s="3">
        <v>43796</v>
      </c>
      <c r="G3469">
        <v>202005</v>
      </c>
      <c r="H3469" t="s">
        <v>75</v>
      </c>
      <c r="I3469" t="s">
        <v>76</v>
      </c>
      <c r="J3469" t="s">
        <v>77</v>
      </c>
      <c r="K3469" t="s">
        <v>78</v>
      </c>
      <c r="L3469" t="s">
        <v>225</v>
      </c>
      <c r="M3469" t="s">
        <v>226</v>
      </c>
      <c r="N3469" t="s">
        <v>227</v>
      </c>
      <c r="O3469" t="s">
        <v>82</v>
      </c>
      <c r="P3469" t="str">
        <f>"2170719233                    "</f>
        <v xml:space="preserve">2170719233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8.58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1.9</v>
      </c>
      <c r="BJ3469">
        <v>1.4</v>
      </c>
      <c r="BK3469">
        <v>2</v>
      </c>
      <c r="BL3469" s="4">
        <v>50.45</v>
      </c>
      <c r="BM3469" s="4">
        <v>7.57</v>
      </c>
      <c r="BN3469" s="4">
        <v>58.02</v>
      </c>
      <c r="BO3469" s="4">
        <v>58.02</v>
      </c>
      <c r="BQ3469" t="s">
        <v>121</v>
      </c>
      <c r="BR3469" t="s">
        <v>84</v>
      </c>
      <c r="BS3469" s="3">
        <v>43797</v>
      </c>
      <c r="BT3469" s="5">
        <v>0.3347222222222222</v>
      </c>
      <c r="BU3469" t="s">
        <v>1684</v>
      </c>
      <c r="BV3469" t="s">
        <v>86</v>
      </c>
      <c r="BY3469">
        <v>7225.14</v>
      </c>
      <c r="CA3469" t="s">
        <v>229</v>
      </c>
      <c r="CC3469" t="s">
        <v>226</v>
      </c>
      <c r="CD3469">
        <v>4026</v>
      </c>
      <c r="CE3469" t="s">
        <v>88</v>
      </c>
      <c r="CF3469" s="3">
        <v>43798</v>
      </c>
      <c r="CI3469">
        <v>1</v>
      </c>
      <c r="CJ3469">
        <v>1</v>
      </c>
      <c r="CK3469">
        <v>21</v>
      </c>
      <c r="CL3469" t="s">
        <v>89</v>
      </c>
    </row>
    <row r="3470" spans="1:90">
      <c r="A3470" t="s">
        <v>72</v>
      </c>
      <c r="B3470" t="s">
        <v>73</v>
      </c>
      <c r="C3470" t="s">
        <v>74</v>
      </c>
      <c r="E3470" t="str">
        <f>"FES1162725016"</f>
        <v>FES1162725016</v>
      </c>
      <c r="F3470" s="3">
        <v>43796</v>
      </c>
      <c r="G3470">
        <v>202005</v>
      </c>
      <c r="H3470" t="s">
        <v>75</v>
      </c>
      <c r="I3470" t="s">
        <v>76</v>
      </c>
      <c r="J3470" t="s">
        <v>77</v>
      </c>
      <c r="K3470" t="s">
        <v>78</v>
      </c>
      <c r="L3470" t="s">
        <v>482</v>
      </c>
      <c r="M3470" t="s">
        <v>483</v>
      </c>
      <c r="N3470" t="s">
        <v>3250</v>
      </c>
      <c r="O3470" t="s">
        <v>82</v>
      </c>
      <c r="P3470" t="str">
        <f>"2170718743                    "</f>
        <v xml:space="preserve">2170718743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6.71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 s="4">
        <v>39.42</v>
      </c>
      <c r="BM3470" s="4">
        <v>5.91</v>
      </c>
      <c r="BN3470" s="4">
        <v>45.33</v>
      </c>
      <c r="BO3470" s="4">
        <v>45.33</v>
      </c>
      <c r="BQ3470" t="s">
        <v>3251</v>
      </c>
      <c r="BR3470" t="s">
        <v>84</v>
      </c>
      <c r="BS3470" s="3">
        <v>43797</v>
      </c>
      <c r="BT3470" s="5">
        <v>0.38750000000000001</v>
      </c>
      <c r="BU3470" t="s">
        <v>3252</v>
      </c>
      <c r="BV3470" t="s">
        <v>86</v>
      </c>
      <c r="BY3470">
        <v>1200</v>
      </c>
      <c r="CA3470" t="s">
        <v>1336</v>
      </c>
      <c r="CC3470" t="s">
        <v>483</v>
      </c>
      <c r="CD3470">
        <v>1459</v>
      </c>
      <c r="CE3470" t="s">
        <v>147</v>
      </c>
      <c r="CI3470">
        <v>1</v>
      </c>
      <c r="CJ3470">
        <v>1</v>
      </c>
      <c r="CK3470">
        <v>22</v>
      </c>
      <c r="CL3470" t="s">
        <v>89</v>
      </c>
    </row>
    <row r="3471" spans="1:90">
      <c r="A3471" t="s">
        <v>72</v>
      </c>
      <c r="B3471" t="s">
        <v>73</v>
      </c>
      <c r="C3471" t="s">
        <v>74</v>
      </c>
      <c r="E3471" t="str">
        <f>"FES1162725318"</f>
        <v>FES1162725318</v>
      </c>
      <c r="F3471" s="3">
        <v>43796</v>
      </c>
      <c r="G3471">
        <v>202005</v>
      </c>
      <c r="H3471" t="s">
        <v>75</v>
      </c>
      <c r="I3471" t="s">
        <v>76</v>
      </c>
      <c r="J3471" t="s">
        <v>77</v>
      </c>
      <c r="K3471" t="s">
        <v>78</v>
      </c>
      <c r="L3471" t="s">
        <v>124</v>
      </c>
      <c r="M3471" t="s">
        <v>125</v>
      </c>
      <c r="N3471" t="s">
        <v>218</v>
      </c>
      <c r="O3471" t="s">
        <v>82</v>
      </c>
      <c r="P3471" t="str">
        <f>"2170719078                    "</f>
        <v xml:space="preserve">2170719078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6.71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 s="4">
        <v>39.42</v>
      </c>
      <c r="BM3471" s="4">
        <v>5.91</v>
      </c>
      <c r="BN3471" s="4">
        <v>45.33</v>
      </c>
      <c r="BO3471" s="4">
        <v>45.33</v>
      </c>
      <c r="BQ3471" t="s">
        <v>121</v>
      </c>
      <c r="BR3471" t="s">
        <v>84</v>
      </c>
      <c r="BS3471" s="3">
        <v>43797</v>
      </c>
      <c r="BT3471" s="5">
        <v>0.36458333333333331</v>
      </c>
      <c r="BU3471" t="s">
        <v>2247</v>
      </c>
      <c r="BV3471" t="s">
        <v>86</v>
      </c>
      <c r="BY3471">
        <v>1200</v>
      </c>
      <c r="CA3471" t="s">
        <v>837</v>
      </c>
      <c r="CC3471" t="s">
        <v>125</v>
      </c>
      <c r="CD3471">
        <v>2094</v>
      </c>
      <c r="CE3471" t="s">
        <v>147</v>
      </c>
      <c r="CI3471">
        <v>1</v>
      </c>
      <c r="CJ3471">
        <v>1</v>
      </c>
      <c r="CK3471">
        <v>22</v>
      </c>
      <c r="CL3471" t="s">
        <v>89</v>
      </c>
    </row>
    <row r="3472" spans="1:90">
      <c r="A3472" t="s">
        <v>72</v>
      </c>
      <c r="B3472" t="s">
        <v>73</v>
      </c>
      <c r="C3472" t="s">
        <v>74</v>
      </c>
      <c r="E3472" t="str">
        <f>"FES1162725354"</f>
        <v>FES1162725354</v>
      </c>
      <c r="F3472" s="3">
        <v>43796</v>
      </c>
      <c r="G3472">
        <v>202005</v>
      </c>
      <c r="H3472" t="s">
        <v>75</v>
      </c>
      <c r="I3472" t="s">
        <v>76</v>
      </c>
      <c r="J3472" t="s">
        <v>77</v>
      </c>
      <c r="K3472" t="s">
        <v>78</v>
      </c>
      <c r="L3472" t="s">
        <v>106</v>
      </c>
      <c r="M3472" t="s">
        <v>107</v>
      </c>
      <c r="N3472" t="s">
        <v>1401</v>
      </c>
      <c r="O3472" t="s">
        <v>82</v>
      </c>
      <c r="P3472" t="str">
        <f>"2170718052                    "</f>
        <v xml:space="preserve">2170718052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34.31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7.7</v>
      </c>
      <c r="BJ3472">
        <v>3.7</v>
      </c>
      <c r="BK3472">
        <v>8</v>
      </c>
      <c r="BL3472" s="4">
        <v>201.7</v>
      </c>
      <c r="BM3472" s="4">
        <v>30.26</v>
      </c>
      <c r="BN3472" s="4">
        <v>231.96</v>
      </c>
      <c r="BO3472" s="4">
        <v>231.96</v>
      </c>
      <c r="BQ3472" t="s">
        <v>109</v>
      </c>
      <c r="BR3472" t="s">
        <v>84</v>
      </c>
      <c r="BS3472" s="3">
        <v>43797</v>
      </c>
      <c r="BT3472" s="5">
        <v>0.40833333333333338</v>
      </c>
      <c r="BU3472" t="s">
        <v>1402</v>
      </c>
      <c r="BV3472" t="s">
        <v>86</v>
      </c>
      <c r="BY3472">
        <v>18526.46</v>
      </c>
      <c r="CA3472" t="s">
        <v>87</v>
      </c>
      <c r="CC3472" t="s">
        <v>107</v>
      </c>
      <c r="CD3472">
        <v>6001</v>
      </c>
      <c r="CE3472" t="s">
        <v>88</v>
      </c>
      <c r="CF3472" s="3">
        <v>43798</v>
      </c>
      <c r="CI3472">
        <v>1</v>
      </c>
      <c r="CJ3472">
        <v>1</v>
      </c>
      <c r="CK3472">
        <v>21</v>
      </c>
      <c r="CL3472" t="s">
        <v>89</v>
      </c>
    </row>
    <row r="3473" spans="1:90">
      <c r="A3473" t="s">
        <v>72</v>
      </c>
      <c r="B3473" t="s">
        <v>73</v>
      </c>
      <c r="C3473" t="s">
        <v>74</v>
      </c>
      <c r="E3473" t="str">
        <f>"FES1162725396"</f>
        <v>FES1162725396</v>
      </c>
      <c r="F3473" s="3">
        <v>43796</v>
      </c>
      <c r="G3473">
        <v>202005</v>
      </c>
      <c r="H3473" t="s">
        <v>75</v>
      </c>
      <c r="I3473" t="s">
        <v>76</v>
      </c>
      <c r="J3473" t="s">
        <v>77</v>
      </c>
      <c r="K3473" t="s">
        <v>78</v>
      </c>
      <c r="L3473" t="s">
        <v>112</v>
      </c>
      <c r="M3473" t="s">
        <v>113</v>
      </c>
      <c r="N3473" t="s">
        <v>637</v>
      </c>
      <c r="O3473" t="s">
        <v>82</v>
      </c>
      <c r="P3473" t="str">
        <f>"2170719149                    "</f>
        <v xml:space="preserve">2170719149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8.58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 s="4">
        <v>50.45</v>
      </c>
      <c r="BM3473" s="4">
        <v>7.57</v>
      </c>
      <c r="BN3473" s="4">
        <v>58.02</v>
      </c>
      <c r="BO3473" s="4">
        <v>58.02</v>
      </c>
      <c r="BR3473" t="s">
        <v>84</v>
      </c>
      <c r="BS3473" s="3">
        <v>43797</v>
      </c>
      <c r="BT3473" s="5">
        <v>0.35347222222222219</v>
      </c>
      <c r="BU3473" t="s">
        <v>2666</v>
      </c>
      <c r="BV3473" t="s">
        <v>86</v>
      </c>
      <c r="BY3473">
        <v>1200</v>
      </c>
      <c r="CA3473" t="s">
        <v>639</v>
      </c>
      <c r="CC3473" t="s">
        <v>113</v>
      </c>
      <c r="CD3473">
        <v>4094</v>
      </c>
      <c r="CE3473" t="s">
        <v>147</v>
      </c>
      <c r="CF3473" s="3">
        <v>43798</v>
      </c>
      <c r="CI3473">
        <v>1</v>
      </c>
      <c r="CJ3473">
        <v>1</v>
      </c>
      <c r="CK3473">
        <v>21</v>
      </c>
      <c r="CL3473" t="s">
        <v>89</v>
      </c>
    </row>
    <row r="3474" spans="1:90">
      <c r="A3474" t="s">
        <v>72</v>
      </c>
      <c r="B3474" t="s">
        <v>73</v>
      </c>
      <c r="C3474" t="s">
        <v>74</v>
      </c>
      <c r="E3474" t="str">
        <f>"FES1162725329"</f>
        <v>FES1162725329</v>
      </c>
      <c r="F3474" s="3">
        <v>43796</v>
      </c>
      <c r="G3474">
        <v>202005</v>
      </c>
      <c r="H3474" t="s">
        <v>75</v>
      </c>
      <c r="I3474" t="s">
        <v>76</v>
      </c>
      <c r="J3474" t="s">
        <v>77</v>
      </c>
      <c r="K3474" t="s">
        <v>78</v>
      </c>
      <c r="L3474" t="s">
        <v>192</v>
      </c>
      <c r="M3474" t="s">
        <v>193</v>
      </c>
      <c r="N3474" t="s">
        <v>558</v>
      </c>
      <c r="O3474" t="s">
        <v>82</v>
      </c>
      <c r="P3474" t="str">
        <f>"2170719088                    "</f>
        <v xml:space="preserve">2170719088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16.63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 s="4">
        <v>97.75</v>
      </c>
      <c r="BM3474" s="4">
        <v>14.66</v>
      </c>
      <c r="BN3474" s="4">
        <v>112.41</v>
      </c>
      <c r="BO3474" s="4">
        <v>112.41</v>
      </c>
      <c r="BQ3474" t="s">
        <v>121</v>
      </c>
      <c r="BR3474" t="s">
        <v>84</v>
      </c>
      <c r="BS3474" s="3">
        <v>43797</v>
      </c>
      <c r="BT3474" s="5">
        <v>0.52777777777777779</v>
      </c>
      <c r="BU3474" t="s">
        <v>1842</v>
      </c>
      <c r="BV3474" t="s">
        <v>86</v>
      </c>
      <c r="BY3474">
        <v>1200</v>
      </c>
      <c r="CA3474" t="s">
        <v>1364</v>
      </c>
      <c r="CC3474" t="s">
        <v>193</v>
      </c>
      <c r="CD3474">
        <v>7130</v>
      </c>
      <c r="CE3474" t="s">
        <v>147</v>
      </c>
      <c r="CF3474" s="3">
        <v>43798</v>
      </c>
      <c r="CI3474">
        <v>1</v>
      </c>
      <c r="CJ3474">
        <v>1</v>
      </c>
      <c r="CK3474">
        <v>23</v>
      </c>
      <c r="CL3474" t="s">
        <v>89</v>
      </c>
    </row>
    <row r="3475" spans="1:90">
      <c r="A3475" t="s">
        <v>72</v>
      </c>
      <c r="B3475" t="s">
        <v>73</v>
      </c>
      <c r="C3475" t="s">
        <v>74</v>
      </c>
      <c r="E3475" t="str">
        <f>"FES1162723983"</f>
        <v>FES1162723983</v>
      </c>
      <c r="F3475" s="3">
        <v>43796</v>
      </c>
      <c r="G3475">
        <v>202005</v>
      </c>
      <c r="H3475" t="s">
        <v>75</v>
      </c>
      <c r="I3475" t="s">
        <v>76</v>
      </c>
      <c r="J3475" t="s">
        <v>77</v>
      </c>
      <c r="K3475" t="s">
        <v>78</v>
      </c>
      <c r="L3475" t="s">
        <v>90</v>
      </c>
      <c r="M3475" t="s">
        <v>91</v>
      </c>
      <c r="N3475" t="s">
        <v>1306</v>
      </c>
      <c r="O3475" t="s">
        <v>82</v>
      </c>
      <c r="P3475" t="str">
        <f>"2170719737                    "</f>
        <v xml:space="preserve">2170719737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17.16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3.9</v>
      </c>
      <c r="BJ3475">
        <v>1.3</v>
      </c>
      <c r="BK3475">
        <v>4</v>
      </c>
      <c r="BL3475" s="4">
        <v>100.87</v>
      </c>
      <c r="BM3475" s="4">
        <v>15.13</v>
      </c>
      <c r="BN3475" s="4">
        <v>116</v>
      </c>
      <c r="BO3475" s="4">
        <v>116</v>
      </c>
      <c r="BQ3475" t="s">
        <v>1307</v>
      </c>
      <c r="BR3475" t="s">
        <v>84</v>
      </c>
      <c r="BS3475" s="3">
        <v>43797</v>
      </c>
      <c r="BT3475" s="5">
        <v>0.3576388888888889</v>
      </c>
      <c r="BU3475" t="s">
        <v>1308</v>
      </c>
      <c r="BV3475" t="s">
        <v>86</v>
      </c>
      <c r="BY3475">
        <v>6409.73</v>
      </c>
      <c r="CA3475" t="s">
        <v>1309</v>
      </c>
      <c r="CC3475" t="s">
        <v>91</v>
      </c>
      <c r="CD3475">
        <v>7530</v>
      </c>
      <c r="CE3475" t="s">
        <v>88</v>
      </c>
      <c r="CF3475" s="3">
        <v>43798</v>
      </c>
      <c r="CI3475">
        <v>1</v>
      </c>
      <c r="CJ3475">
        <v>1</v>
      </c>
      <c r="CK3475">
        <v>21</v>
      </c>
      <c r="CL3475" t="s">
        <v>89</v>
      </c>
    </row>
    <row r="3476" spans="1:90">
      <c r="A3476" t="s">
        <v>72</v>
      </c>
      <c r="B3476" t="s">
        <v>73</v>
      </c>
      <c r="C3476" t="s">
        <v>74</v>
      </c>
      <c r="E3476" t="str">
        <f>"FES1162725451"</f>
        <v>FES1162725451</v>
      </c>
      <c r="F3476" s="3">
        <v>43796</v>
      </c>
      <c r="G3476">
        <v>202005</v>
      </c>
      <c r="H3476" t="s">
        <v>75</v>
      </c>
      <c r="I3476" t="s">
        <v>76</v>
      </c>
      <c r="J3476" t="s">
        <v>77</v>
      </c>
      <c r="K3476" t="s">
        <v>78</v>
      </c>
      <c r="L3476" t="s">
        <v>112</v>
      </c>
      <c r="M3476" t="s">
        <v>113</v>
      </c>
      <c r="N3476" t="s">
        <v>1083</v>
      </c>
      <c r="O3476" t="s">
        <v>82</v>
      </c>
      <c r="P3476" t="str">
        <f>"2170719229                    "</f>
        <v xml:space="preserve">2170719229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8.58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 s="4">
        <v>50.45</v>
      </c>
      <c r="BM3476" s="4">
        <v>7.57</v>
      </c>
      <c r="BN3476" s="4">
        <v>58.02</v>
      </c>
      <c r="BO3476" s="4">
        <v>58.02</v>
      </c>
      <c r="BQ3476" t="s">
        <v>121</v>
      </c>
      <c r="BR3476" t="s">
        <v>84</v>
      </c>
      <c r="BS3476" s="3">
        <v>43797</v>
      </c>
      <c r="BT3476" s="5">
        <v>0.30694444444444441</v>
      </c>
      <c r="BU3476" t="s">
        <v>3253</v>
      </c>
      <c r="BV3476" t="s">
        <v>86</v>
      </c>
      <c r="BY3476">
        <v>1200</v>
      </c>
      <c r="CA3476" t="s">
        <v>2212</v>
      </c>
      <c r="CC3476" t="s">
        <v>113</v>
      </c>
      <c r="CD3476">
        <v>4001</v>
      </c>
      <c r="CE3476" t="s">
        <v>147</v>
      </c>
      <c r="CF3476" s="3">
        <v>43798</v>
      </c>
      <c r="CI3476">
        <v>1</v>
      </c>
      <c r="CJ3476">
        <v>1</v>
      </c>
      <c r="CK3476">
        <v>21</v>
      </c>
      <c r="CL3476" t="s">
        <v>89</v>
      </c>
    </row>
    <row r="3477" spans="1:90">
      <c r="A3477" t="s">
        <v>72</v>
      </c>
      <c r="B3477" t="s">
        <v>73</v>
      </c>
      <c r="C3477" t="s">
        <v>74</v>
      </c>
      <c r="E3477" t="str">
        <f>"FES1162725431"</f>
        <v>FES1162725431</v>
      </c>
      <c r="F3477" s="3">
        <v>43796</v>
      </c>
      <c r="G3477">
        <v>202005</v>
      </c>
      <c r="H3477" t="s">
        <v>75</v>
      </c>
      <c r="I3477" t="s">
        <v>76</v>
      </c>
      <c r="J3477" t="s">
        <v>77</v>
      </c>
      <c r="K3477" t="s">
        <v>78</v>
      </c>
      <c r="L3477" t="s">
        <v>296</v>
      </c>
      <c r="M3477" t="s">
        <v>297</v>
      </c>
      <c r="N3477" t="s">
        <v>672</v>
      </c>
      <c r="O3477" t="s">
        <v>82</v>
      </c>
      <c r="P3477" t="str">
        <f>"2170719192                    "</f>
        <v xml:space="preserve">2170719192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16.63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 s="4">
        <v>97.75</v>
      </c>
      <c r="BM3477" s="4">
        <v>14.66</v>
      </c>
      <c r="BN3477" s="4">
        <v>112.41</v>
      </c>
      <c r="BO3477" s="4">
        <v>112.41</v>
      </c>
      <c r="BQ3477" t="s">
        <v>142</v>
      </c>
      <c r="BR3477" t="s">
        <v>84</v>
      </c>
      <c r="BS3477" s="3">
        <v>43798</v>
      </c>
      <c r="BT3477" s="5">
        <v>0.41597222222222219</v>
      </c>
      <c r="BU3477" t="s">
        <v>3237</v>
      </c>
      <c r="BV3477" t="s">
        <v>86</v>
      </c>
      <c r="BY3477">
        <v>1200</v>
      </c>
      <c r="CA3477" t="s">
        <v>300</v>
      </c>
      <c r="CC3477" t="s">
        <v>297</v>
      </c>
      <c r="CD3477">
        <v>6850</v>
      </c>
      <c r="CE3477" t="s">
        <v>147</v>
      </c>
      <c r="CI3477">
        <v>3</v>
      </c>
      <c r="CJ3477">
        <v>2</v>
      </c>
      <c r="CK3477">
        <v>23</v>
      </c>
      <c r="CL3477" t="s">
        <v>89</v>
      </c>
    </row>
    <row r="3478" spans="1:90">
      <c r="A3478" t="s">
        <v>72</v>
      </c>
      <c r="B3478" t="s">
        <v>73</v>
      </c>
      <c r="C3478" t="s">
        <v>74</v>
      </c>
      <c r="E3478" t="str">
        <f>"FES1162725442"</f>
        <v>FES1162725442</v>
      </c>
      <c r="F3478" s="3">
        <v>43796</v>
      </c>
      <c r="G3478">
        <v>202005</v>
      </c>
      <c r="H3478" t="s">
        <v>75</v>
      </c>
      <c r="I3478" t="s">
        <v>76</v>
      </c>
      <c r="J3478" t="s">
        <v>77</v>
      </c>
      <c r="K3478" t="s">
        <v>78</v>
      </c>
      <c r="L3478" t="s">
        <v>90</v>
      </c>
      <c r="M3478" t="s">
        <v>91</v>
      </c>
      <c r="N3478" t="s">
        <v>505</v>
      </c>
      <c r="O3478" t="s">
        <v>82</v>
      </c>
      <c r="P3478" t="str">
        <f>"2170719217                    "</f>
        <v xml:space="preserve">2170719217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8.58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 s="4">
        <v>50.45</v>
      </c>
      <c r="BM3478" s="4">
        <v>7.57</v>
      </c>
      <c r="BN3478" s="4">
        <v>58.02</v>
      </c>
      <c r="BO3478" s="4">
        <v>58.02</v>
      </c>
      <c r="BQ3478" t="s">
        <v>121</v>
      </c>
      <c r="BR3478" t="s">
        <v>84</v>
      </c>
      <c r="BS3478" s="3">
        <v>43797</v>
      </c>
      <c r="BT3478" s="5">
        <v>0.36249999999999999</v>
      </c>
      <c r="BU3478" t="s">
        <v>1686</v>
      </c>
      <c r="BV3478" t="s">
        <v>86</v>
      </c>
      <c r="BY3478">
        <v>1200</v>
      </c>
      <c r="CA3478" t="s">
        <v>1121</v>
      </c>
      <c r="CC3478" t="s">
        <v>91</v>
      </c>
      <c r="CD3478">
        <v>7764</v>
      </c>
      <c r="CE3478" t="s">
        <v>147</v>
      </c>
      <c r="CF3478" s="3">
        <v>43798</v>
      </c>
      <c r="CI3478">
        <v>1</v>
      </c>
      <c r="CJ3478">
        <v>1</v>
      </c>
      <c r="CK3478">
        <v>21</v>
      </c>
      <c r="CL3478" t="s">
        <v>89</v>
      </c>
    </row>
    <row r="3479" spans="1:90">
      <c r="A3479" t="s">
        <v>72</v>
      </c>
      <c r="B3479" t="s">
        <v>73</v>
      </c>
      <c r="C3479" t="s">
        <v>74</v>
      </c>
      <c r="E3479" t="str">
        <f>"FES1162725443"</f>
        <v>FES1162725443</v>
      </c>
      <c r="F3479" s="3">
        <v>43796</v>
      </c>
      <c r="G3479">
        <v>202005</v>
      </c>
      <c r="H3479" t="s">
        <v>75</v>
      </c>
      <c r="I3479" t="s">
        <v>76</v>
      </c>
      <c r="J3479" t="s">
        <v>77</v>
      </c>
      <c r="K3479" t="s">
        <v>78</v>
      </c>
      <c r="L3479" t="s">
        <v>192</v>
      </c>
      <c r="M3479" t="s">
        <v>193</v>
      </c>
      <c r="N3479" t="s">
        <v>194</v>
      </c>
      <c r="O3479" t="s">
        <v>82</v>
      </c>
      <c r="P3479" t="str">
        <f>"2170719218                    "</f>
        <v xml:space="preserve">2170719218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16.63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 s="4">
        <v>97.75</v>
      </c>
      <c r="BM3479" s="4">
        <v>14.66</v>
      </c>
      <c r="BN3479" s="4">
        <v>112.41</v>
      </c>
      <c r="BO3479" s="4">
        <v>112.41</v>
      </c>
      <c r="BQ3479" t="s">
        <v>109</v>
      </c>
      <c r="BR3479" t="s">
        <v>84</v>
      </c>
      <c r="BS3479" s="3">
        <v>43797</v>
      </c>
      <c r="BT3479" s="5">
        <v>0.53819444444444442</v>
      </c>
      <c r="BU3479" t="s">
        <v>2176</v>
      </c>
      <c r="BV3479" t="s">
        <v>86</v>
      </c>
      <c r="BY3479">
        <v>1200</v>
      </c>
      <c r="CA3479" t="s">
        <v>1364</v>
      </c>
      <c r="CC3479" t="s">
        <v>193</v>
      </c>
      <c r="CD3479">
        <v>7130</v>
      </c>
      <c r="CE3479" t="s">
        <v>147</v>
      </c>
      <c r="CF3479" s="3">
        <v>43798</v>
      </c>
      <c r="CI3479">
        <v>1</v>
      </c>
      <c r="CJ3479">
        <v>1</v>
      </c>
      <c r="CK3479">
        <v>23</v>
      </c>
      <c r="CL3479" t="s">
        <v>89</v>
      </c>
    </row>
    <row r="3480" spans="1:90">
      <c r="A3480" t="s">
        <v>72</v>
      </c>
      <c r="B3480" t="s">
        <v>73</v>
      </c>
      <c r="C3480" t="s">
        <v>74</v>
      </c>
      <c r="E3480" t="str">
        <f>"FES1162725382"</f>
        <v>FES1162725382</v>
      </c>
      <c r="F3480" s="3">
        <v>43796</v>
      </c>
      <c r="G3480">
        <v>202005</v>
      </c>
      <c r="H3480" t="s">
        <v>75</v>
      </c>
      <c r="I3480" t="s">
        <v>76</v>
      </c>
      <c r="J3480" t="s">
        <v>77</v>
      </c>
      <c r="K3480" t="s">
        <v>78</v>
      </c>
      <c r="L3480" t="s">
        <v>101</v>
      </c>
      <c r="M3480" t="s">
        <v>102</v>
      </c>
      <c r="N3480" t="s">
        <v>707</v>
      </c>
      <c r="O3480" t="s">
        <v>82</v>
      </c>
      <c r="P3480" t="str">
        <f>"2170719140                    "</f>
        <v xml:space="preserve">2170719140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10.73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2.4</v>
      </c>
      <c r="BJ3480">
        <v>0.9</v>
      </c>
      <c r="BK3480">
        <v>2.5</v>
      </c>
      <c r="BL3480" s="4">
        <v>63.06</v>
      </c>
      <c r="BM3480" s="4">
        <v>9.4600000000000009</v>
      </c>
      <c r="BN3480" s="4">
        <v>72.52</v>
      </c>
      <c r="BO3480" s="4">
        <v>72.52</v>
      </c>
      <c r="BQ3480" t="s">
        <v>121</v>
      </c>
      <c r="BR3480" t="s">
        <v>84</v>
      </c>
      <c r="BS3480" s="3">
        <v>43797</v>
      </c>
      <c r="BT3480" s="5">
        <v>0.3743055555555555</v>
      </c>
      <c r="BU3480" t="s">
        <v>708</v>
      </c>
      <c r="BV3480" t="s">
        <v>86</v>
      </c>
      <c r="BY3480">
        <v>4270.91</v>
      </c>
      <c r="CA3480" t="s">
        <v>709</v>
      </c>
      <c r="CC3480" t="s">
        <v>102</v>
      </c>
      <c r="CD3480">
        <v>1</v>
      </c>
      <c r="CE3480" t="s">
        <v>88</v>
      </c>
      <c r="CF3480" s="3">
        <v>43798</v>
      </c>
      <c r="CI3480">
        <v>1</v>
      </c>
      <c r="CJ3480">
        <v>1</v>
      </c>
      <c r="CK3480">
        <v>21</v>
      </c>
      <c r="CL3480" t="s">
        <v>89</v>
      </c>
    </row>
    <row r="3481" spans="1:90">
      <c r="A3481" t="s">
        <v>72</v>
      </c>
      <c r="B3481" t="s">
        <v>73</v>
      </c>
      <c r="C3481" t="s">
        <v>74</v>
      </c>
      <c r="E3481" t="str">
        <f>"FES1162725325"</f>
        <v>FES1162725325</v>
      </c>
      <c r="F3481" s="3">
        <v>43796</v>
      </c>
      <c r="G3481">
        <v>202005</v>
      </c>
      <c r="H3481" t="s">
        <v>75</v>
      </c>
      <c r="I3481" t="s">
        <v>76</v>
      </c>
      <c r="J3481" t="s">
        <v>77</v>
      </c>
      <c r="K3481" t="s">
        <v>78</v>
      </c>
      <c r="L3481" t="s">
        <v>106</v>
      </c>
      <c r="M3481" t="s">
        <v>107</v>
      </c>
      <c r="N3481" t="s">
        <v>2413</v>
      </c>
      <c r="O3481" t="s">
        <v>82</v>
      </c>
      <c r="P3481" t="str">
        <f>"2170717880                    "</f>
        <v xml:space="preserve">2170717880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8.58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 s="4">
        <v>50.45</v>
      </c>
      <c r="BM3481" s="4">
        <v>7.57</v>
      </c>
      <c r="BN3481" s="4">
        <v>58.02</v>
      </c>
      <c r="BO3481" s="4">
        <v>58.02</v>
      </c>
      <c r="BQ3481" t="s">
        <v>109</v>
      </c>
      <c r="BR3481" t="s">
        <v>84</v>
      </c>
      <c r="BS3481" s="3">
        <v>43797</v>
      </c>
      <c r="BT3481" s="5">
        <v>0.36805555555555558</v>
      </c>
      <c r="BU3481" t="s">
        <v>636</v>
      </c>
      <c r="BV3481" t="s">
        <v>86</v>
      </c>
      <c r="BY3481">
        <v>1200</v>
      </c>
      <c r="CA3481" t="s">
        <v>773</v>
      </c>
      <c r="CC3481" t="s">
        <v>107</v>
      </c>
      <c r="CD3481">
        <v>6001</v>
      </c>
      <c r="CE3481" t="s">
        <v>147</v>
      </c>
      <c r="CF3481" s="3">
        <v>43798</v>
      </c>
      <c r="CI3481">
        <v>1</v>
      </c>
      <c r="CJ3481">
        <v>1</v>
      </c>
      <c r="CK3481">
        <v>21</v>
      </c>
      <c r="CL3481" t="s">
        <v>89</v>
      </c>
    </row>
    <row r="3482" spans="1:90">
      <c r="A3482" t="s">
        <v>72</v>
      </c>
      <c r="B3482" t="s">
        <v>73</v>
      </c>
      <c r="C3482" t="s">
        <v>74</v>
      </c>
      <c r="E3482" t="str">
        <f>"FES1162725446"</f>
        <v>FES1162725446</v>
      </c>
      <c r="F3482" s="3">
        <v>43796</v>
      </c>
      <c r="G3482">
        <v>202005</v>
      </c>
      <c r="H3482" t="s">
        <v>75</v>
      </c>
      <c r="I3482" t="s">
        <v>76</v>
      </c>
      <c r="J3482" t="s">
        <v>77</v>
      </c>
      <c r="K3482" t="s">
        <v>78</v>
      </c>
      <c r="L3482" t="s">
        <v>825</v>
      </c>
      <c r="M3482" t="s">
        <v>826</v>
      </c>
      <c r="N3482" t="s">
        <v>939</v>
      </c>
      <c r="O3482" t="s">
        <v>82</v>
      </c>
      <c r="P3482" t="str">
        <f>"2170719224                    "</f>
        <v xml:space="preserve">2170719224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12.07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 s="4">
        <v>70.95</v>
      </c>
      <c r="BM3482" s="4">
        <v>10.64</v>
      </c>
      <c r="BN3482" s="4">
        <v>81.59</v>
      </c>
      <c r="BO3482" s="4">
        <v>81.59</v>
      </c>
      <c r="BQ3482" t="s">
        <v>109</v>
      </c>
      <c r="BR3482" t="s">
        <v>84</v>
      </c>
      <c r="BS3482" s="3">
        <v>43797</v>
      </c>
      <c r="BT3482" s="5">
        <v>0.4375</v>
      </c>
      <c r="BU3482" t="s">
        <v>3254</v>
      </c>
      <c r="BV3482" t="s">
        <v>86</v>
      </c>
      <c r="BY3482">
        <v>1200</v>
      </c>
      <c r="CC3482" t="s">
        <v>826</v>
      </c>
      <c r="CD3482">
        <v>1759</v>
      </c>
      <c r="CE3482" t="s">
        <v>147</v>
      </c>
      <c r="CI3482">
        <v>1</v>
      </c>
      <c r="CJ3482">
        <v>1</v>
      </c>
      <c r="CK3482">
        <v>24</v>
      </c>
      <c r="CL3482" t="s">
        <v>89</v>
      </c>
    </row>
    <row r="3483" spans="1:90">
      <c r="A3483" t="s">
        <v>72</v>
      </c>
      <c r="B3483" t="s">
        <v>73</v>
      </c>
      <c r="C3483" t="s">
        <v>74</v>
      </c>
      <c r="E3483" t="str">
        <f>"FES1162725409"</f>
        <v>FES1162725409</v>
      </c>
      <c r="F3483" s="3">
        <v>43796</v>
      </c>
      <c r="G3483">
        <v>202005</v>
      </c>
      <c r="H3483" t="s">
        <v>75</v>
      </c>
      <c r="I3483" t="s">
        <v>76</v>
      </c>
      <c r="J3483" t="s">
        <v>77</v>
      </c>
      <c r="K3483" t="s">
        <v>78</v>
      </c>
      <c r="L3483" t="s">
        <v>691</v>
      </c>
      <c r="M3483" t="s">
        <v>692</v>
      </c>
      <c r="N3483" t="s">
        <v>816</v>
      </c>
      <c r="O3483" t="s">
        <v>82</v>
      </c>
      <c r="P3483" t="str">
        <f>"2170719156                    "</f>
        <v xml:space="preserve">2170719156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6.71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 s="4">
        <v>39.42</v>
      </c>
      <c r="BM3483" s="4">
        <v>5.91</v>
      </c>
      <c r="BN3483" s="4">
        <v>45.33</v>
      </c>
      <c r="BO3483" s="4">
        <v>45.33</v>
      </c>
      <c r="BQ3483" t="s">
        <v>817</v>
      </c>
      <c r="BR3483" t="s">
        <v>84</v>
      </c>
      <c r="BS3483" s="3">
        <v>43797</v>
      </c>
      <c r="BT3483" s="5">
        <v>0.33333333333333331</v>
      </c>
      <c r="BU3483" t="s">
        <v>3255</v>
      </c>
      <c r="BV3483" t="s">
        <v>86</v>
      </c>
      <c r="BY3483">
        <v>1200</v>
      </c>
      <c r="CA3483" t="s">
        <v>2691</v>
      </c>
      <c r="CC3483" t="s">
        <v>692</v>
      </c>
      <c r="CD3483">
        <v>1559</v>
      </c>
      <c r="CE3483" t="s">
        <v>147</v>
      </c>
      <c r="CI3483">
        <v>1</v>
      </c>
      <c r="CJ3483">
        <v>1</v>
      </c>
      <c r="CK3483">
        <v>22</v>
      </c>
      <c r="CL3483" t="s">
        <v>89</v>
      </c>
    </row>
    <row r="3484" spans="1:90">
      <c r="A3484" t="s">
        <v>72</v>
      </c>
      <c r="B3484" t="s">
        <v>73</v>
      </c>
      <c r="C3484" t="s">
        <v>74</v>
      </c>
      <c r="E3484" t="str">
        <f>"FES1162725438"</f>
        <v>FES1162725438</v>
      </c>
      <c r="F3484" s="3">
        <v>43796</v>
      </c>
      <c r="G3484">
        <v>202005</v>
      </c>
      <c r="H3484" t="s">
        <v>75</v>
      </c>
      <c r="I3484" t="s">
        <v>76</v>
      </c>
      <c r="J3484" t="s">
        <v>77</v>
      </c>
      <c r="K3484" t="s">
        <v>78</v>
      </c>
      <c r="L3484" t="s">
        <v>75</v>
      </c>
      <c r="M3484" t="s">
        <v>76</v>
      </c>
      <c r="N3484" t="s">
        <v>1416</v>
      </c>
      <c r="O3484" t="s">
        <v>82</v>
      </c>
      <c r="P3484" t="str">
        <f>"2170719206                    "</f>
        <v xml:space="preserve">2170719206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6.71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 s="4">
        <v>39.42</v>
      </c>
      <c r="BM3484" s="4">
        <v>5.91</v>
      </c>
      <c r="BN3484" s="4">
        <v>45.33</v>
      </c>
      <c r="BO3484" s="4">
        <v>45.33</v>
      </c>
      <c r="BQ3484" t="s">
        <v>1417</v>
      </c>
      <c r="BR3484" t="s">
        <v>84</v>
      </c>
      <c r="BS3484" s="3">
        <v>43797</v>
      </c>
      <c r="BT3484" s="5">
        <v>0.28819444444444448</v>
      </c>
      <c r="BU3484" t="s">
        <v>3256</v>
      </c>
      <c r="BV3484" t="s">
        <v>86</v>
      </c>
      <c r="BY3484">
        <v>1200</v>
      </c>
      <c r="CA3484" t="s">
        <v>2334</v>
      </c>
      <c r="CC3484" t="s">
        <v>76</v>
      </c>
      <c r="CD3484">
        <v>1601</v>
      </c>
      <c r="CE3484" t="s">
        <v>147</v>
      </c>
      <c r="CI3484">
        <v>1</v>
      </c>
      <c r="CJ3484">
        <v>1</v>
      </c>
      <c r="CK3484">
        <v>22</v>
      </c>
      <c r="CL3484" t="s">
        <v>89</v>
      </c>
    </row>
    <row r="3485" spans="1:90">
      <c r="A3485" t="s">
        <v>72</v>
      </c>
      <c r="B3485" t="s">
        <v>73</v>
      </c>
      <c r="C3485" t="s">
        <v>74</v>
      </c>
      <c r="E3485" t="str">
        <f>"FES1162725424"</f>
        <v>FES1162725424</v>
      </c>
      <c r="F3485" s="3">
        <v>43796</v>
      </c>
      <c r="G3485">
        <v>202005</v>
      </c>
      <c r="H3485" t="s">
        <v>75</v>
      </c>
      <c r="I3485" t="s">
        <v>76</v>
      </c>
      <c r="J3485" t="s">
        <v>77</v>
      </c>
      <c r="K3485" t="s">
        <v>78</v>
      </c>
      <c r="L3485" t="s">
        <v>202</v>
      </c>
      <c r="M3485" t="s">
        <v>203</v>
      </c>
      <c r="N3485" t="s">
        <v>2336</v>
      </c>
      <c r="O3485" t="s">
        <v>82</v>
      </c>
      <c r="P3485" t="str">
        <f>"2170718699                    "</f>
        <v xml:space="preserve">2170718699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6.71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 s="4">
        <v>39.42</v>
      </c>
      <c r="BM3485" s="4">
        <v>5.91</v>
      </c>
      <c r="BN3485" s="4">
        <v>45.33</v>
      </c>
      <c r="BO3485" s="4">
        <v>45.33</v>
      </c>
      <c r="BR3485" t="s">
        <v>84</v>
      </c>
      <c r="BS3485" s="3">
        <v>43797</v>
      </c>
      <c r="BT3485" s="5">
        <v>0.38541666666666669</v>
      </c>
      <c r="BU3485" t="s">
        <v>1542</v>
      </c>
      <c r="BV3485" t="s">
        <v>86</v>
      </c>
      <c r="BY3485">
        <v>1200</v>
      </c>
      <c r="CA3485" t="s">
        <v>123</v>
      </c>
      <c r="CC3485" t="s">
        <v>203</v>
      </c>
      <c r="CD3485">
        <v>1428</v>
      </c>
      <c r="CE3485" t="s">
        <v>147</v>
      </c>
      <c r="CI3485">
        <v>1</v>
      </c>
      <c r="CJ3485">
        <v>1</v>
      </c>
      <c r="CK3485">
        <v>22</v>
      </c>
      <c r="CL3485" t="s">
        <v>89</v>
      </c>
    </row>
    <row r="3486" spans="1:90">
      <c r="A3486" t="s">
        <v>72</v>
      </c>
      <c r="B3486" t="s">
        <v>73</v>
      </c>
      <c r="C3486" t="s">
        <v>74</v>
      </c>
      <c r="E3486" t="str">
        <f>"FES1162725444"</f>
        <v>FES1162725444</v>
      </c>
      <c r="F3486" s="3">
        <v>43796</v>
      </c>
      <c r="G3486">
        <v>202005</v>
      </c>
      <c r="H3486" t="s">
        <v>75</v>
      </c>
      <c r="I3486" t="s">
        <v>76</v>
      </c>
      <c r="J3486" t="s">
        <v>77</v>
      </c>
      <c r="K3486" t="s">
        <v>78</v>
      </c>
      <c r="L3486" t="s">
        <v>192</v>
      </c>
      <c r="M3486" t="s">
        <v>193</v>
      </c>
      <c r="N3486" t="s">
        <v>194</v>
      </c>
      <c r="O3486" t="s">
        <v>82</v>
      </c>
      <c r="P3486" t="str">
        <f>"2170719219                    "</f>
        <v xml:space="preserve">2170719219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35.409999999999997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4.0999999999999996</v>
      </c>
      <c r="BJ3486">
        <v>1.7</v>
      </c>
      <c r="BK3486">
        <v>4.5</v>
      </c>
      <c r="BL3486" s="4">
        <v>208.13</v>
      </c>
      <c r="BM3486" s="4">
        <v>31.22</v>
      </c>
      <c r="BN3486" s="4">
        <v>239.35</v>
      </c>
      <c r="BO3486" s="4">
        <v>239.35</v>
      </c>
      <c r="BQ3486" t="s">
        <v>109</v>
      </c>
      <c r="BR3486" t="s">
        <v>84</v>
      </c>
      <c r="BS3486" s="3">
        <v>43797</v>
      </c>
      <c r="BT3486" s="5">
        <v>0.53125</v>
      </c>
      <c r="BU3486" t="s">
        <v>2176</v>
      </c>
      <c r="BV3486" t="s">
        <v>86</v>
      </c>
      <c r="BY3486">
        <v>8265.86</v>
      </c>
      <c r="CA3486" t="s">
        <v>1364</v>
      </c>
      <c r="CC3486" t="s">
        <v>193</v>
      </c>
      <c r="CD3486">
        <v>7130</v>
      </c>
      <c r="CE3486" t="s">
        <v>88</v>
      </c>
      <c r="CF3486" s="3">
        <v>43798</v>
      </c>
      <c r="CI3486">
        <v>1</v>
      </c>
      <c r="CJ3486">
        <v>1</v>
      </c>
      <c r="CK3486">
        <v>23</v>
      </c>
      <c r="CL3486" t="s">
        <v>89</v>
      </c>
    </row>
    <row r="3487" spans="1:90">
      <c r="A3487" t="s">
        <v>72</v>
      </c>
      <c r="B3487" t="s">
        <v>73</v>
      </c>
      <c r="C3487" t="s">
        <v>74</v>
      </c>
      <c r="E3487" t="str">
        <f>"FES1162725441"</f>
        <v>FES1162725441</v>
      </c>
      <c r="F3487" s="3">
        <v>43796</v>
      </c>
      <c r="G3487">
        <v>202005</v>
      </c>
      <c r="H3487" t="s">
        <v>75</v>
      </c>
      <c r="I3487" t="s">
        <v>76</v>
      </c>
      <c r="J3487" t="s">
        <v>77</v>
      </c>
      <c r="K3487" t="s">
        <v>78</v>
      </c>
      <c r="L3487" t="s">
        <v>124</v>
      </c>
      <c r="M3487" t="s">
        <v>125</v>
      </c>
      <c r="N3487" t="s">
        <v>1876</v>
      </c>
      <c r="O3487" t="s">
        <v>82</v>
      </c>
      <c r="P3487" t="str">
        <f>"2170719216                    "</f>
        <v xml:space="preserve">2170719216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10.72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4.4000000000000004</v>
      </c>
      <c r="BJ3487">
        <v>0.8</v>
      </c>
      <c r="BK3487">
        <v>4.5</v>
      </c>
      <c r="BL3487" s="4">
        <v>63.03</v>
      </c>
      <c r="BM3487" s="4">
        <v>9.4499999999999993</v>
      </c>
      <c r="BN3487" s="4">
        <v>72.48</v>
      </c>
      <c r="BO3487" s="4">
        <v>72.48</v>
      </c>
      <c r="BQ3487" t="s">
        <v>121</v>
      </c>
      <c r="BR3487" t="s">
        <v>84</v>
      </c>
      <c r="BS3487" s="3">
        <v>43797</v>
      </c>
      <c r="BT3487" s="5">
        <v>0.4145833333333333</v>
      </c>
      <c r="BU3487" t="s">
        <v>1990</v>
      </c>
      <c r="BV3487" t="s">
        <v>86</v>
      </c>
      <c r="BY3487">
        <v>4061.25</v>
      </c>
      <c r="CA3487" t="s">
        <v>1991</v>
      </c>
      <c r="CC3487" t="s">
        <v>125</v>
      </c>
      <c r="CD3487">
        <v>2157</v>
      </c>
      <c r="CE3487" t="s">
        <v>88</v>
      </c>
      <c r="CI3487">
        <v>1</v>
      </c>
      <c r="CJ3487">
        <v>1</v>
      </c>
      <c r="CK3487">
        <v>22</v>
      </c>
      <c r="CL3487" t="s">
        <v>89</v>
      </c>
    </row>
    <row r="3488" spans="1:90">
      <c r="A3488" t="s">
        <v>72</v>
      </c>
      <c r="B3488" t="s">
        <v>73</v>
      </c>
      <c r="C3488" t="s">
        <v>74</v>
      </c>
      <c r="E3488" t="str">
        <f>"FES1162725430"</f>
        <v>FES1162725430</v>
      </c>
      <c r="F3488" s="3">
        <v>43796</v>
      </c>
      <c r="G3488">
        <v>202005</v>
      </c>
      <c r="H3488" t="s">
        <v>75</v>
      </c>
      <c r="I3488" t="s">
        <v>76</v>
      </c>
      <c r="J3488" t="s">
        <v>77</v>
      </c>
      <c r="K3488" t="s">
        <v>78</v>
      </c>
      <c r="L3488" t="s">
        <v>90</v>
      </c>
      <c r="M3488" t="s">
        <v>91</v>
      </c>
      <c r="N3488" t="s">
        <v>3238</v>
      </c>
      <c r="O3488" t="s">
        <v>82</v>
      </c>
      <c r="P3488" t="str">
        <f>"2170719190                    "</f>
        <v xml:space="preserve">2170719190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8.58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 s="4">
        <v>50.45</v>
      </c>
      <c r="BM3488" s="4">
        <v>7.57</v>
      </c>
      <c r="BN3488" s="4">
        <v>58.02</v>
      </c>
      <c r="BO3488" s="4">
        <v>58.02</v>
      </c>
      <c r="BQ3488" t="s">
        <v>109</v>
      </c>
      <c r="BR3488" t="s">
        <v>84</v>
      </c>
      <c r="BS3488" s="3">
        <v>43797</v>
      </c>
      <c r="BT3488" s="5">
        <v>0.33194444444444443</v>
      </c>
      <c r="BU3488" t="s">
        <v>3239</v>
      </c>
      <c r="BV3488" t="s">
        <v>86</v>
      </c>
      <c r="BY3488">
        <v>1200</v>
      </c>
      <c r="CA3488" t="s">
        <v>140</v>
      </c>
      <c r="CC3488" t="s">
        <v>91</v>
      </c>
      <c r="CD3488">
        <v>7530</v>
      </c>
      <c r="CE3488" t="s">
        <v>147</v>
      </c>
      <c r="CF3488" s="3">
        <v>43798</v>
      </c>
      <c r="CI3488">
        <v>1</v>
      </c>
      <c r="CJ3488">
        <v>1</v>
      </c>
      <c r="CK3488">
        <v>21</v>
      </c>
      <c r="CL3488" t="s">
        <v>89</v>
      </c>
    </row>
    <row r="3489" spans="1:90">
      <c r="A3489" t="s">
        <v>72</v>
      </c>
      <c r="B3489" t="s">
        <v>73</v>
      </c>
      <c r="C3489" t="s">
        <v>74</v>
      </c>
      <c r="E3489" t="str">
        <f>"FES1162725426"</f>
        <v>FES1162725426</v>
      </c>
      <c r="F3489" s="3">
        <v>43796</v>
      </c>
      <c r="G3489">
        <v>202005</v>
      </c>
      <c r="H3489" t="s">
        <v>75</v>
      </c>
      <c r="I3489" t="s">
        <v>76</v>
      </c>
      <c r="J3489" t="s">
        <v>77</v>
      </c>
      <c r="K3489" t="s">
        <v>78</v>
      </c>
      <c r="L3489" t="s">
        <v>339</v>
      </c>
      <c r="M3489" t="s">
        <v>340</v>
      </c>
      <c r="N3489" t="s">
        <v>1787</v>
      </c>
      <c r="O3489" t="s">
        <v>82</v>
      </c>
      <c r="P3489" t="str">
        <f>"2170719185                    "</f>
        <v xml:space="preserve">2170719185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8.58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 s="4">
        <v>50.45</v>
      </c>
      <c r="BM3489" s="4">
        <v>7.57</v>
      </c>
      <c r="BN3489" s="4">
        <v>58.02</v>
      </c>
      <c r="BO3489" s="4">
        <v>58.02</v>
      </c>
      <c r="BQ3489" t="s">
        <v>109</v>
      </c>
      <c r="BR3489" t="s">
        <v>84</v>
      </c>
      <c r="BS3489" s="3">
        <v>43798</v>
      </c>
      <c r="BT3489" s="5">
        <v>0.56111111111111112</v>
      </c>
      <c r="BU3489" t="s">
        <v>3257</v>
      </c>
      <c r="BV3489" t="s">
        <v>89</v>
      </c>
      <c r="BY3489">
        <v>1200</v>
      </c>
      <c r="CC3489" t="s">
        <v>340</v>
      </c>
      <c r="CD3489">
        <v>157</v>
      </c>
      <c r="CE3489" t="s">
        <v>147</v>
      </c>
      <c r="CI3489">
        <v>1</v>
      </c>
      <c r="CJ3489">
        <v>2</v>
      </c>
      <c r="CK3489">
        <v>21</v>
      </c>
      <c r="CL3489" t="s">
        <v>89</v>
      </c>
    </row>
    <row r="3490" spans="1:90">
      <c r="A3490" t="s">
        <v>72</v>
      </c>
      <c r="B3490" t="s">
        <v>73</v>
      </c>
      <c r="C3490" t="s">
        <v>74</v>
      </c>
      <c r="E3490" t="str">
        <f>"FES1162725321"</f>
        <v>FES1162725321</v>
      </c>
      <c r="F3490" s="3">
        <v>43796</v>
      </c>
      <c r="G3490">
        <v>202005</v>
      </c>
      <c r="H3490" t="s">
        <v>75</v>
      </c>
      <c r="I3490" t="s">
        <v>76</v>
      </c>
      <c r="J3490" t="s">
        <v>77</v>
      </c>
      <c r="K3490" t="s">
        <v>78</v>
      </c>
      <c r="L3490" t="s">
        <v>214</v>
      </c>
      <c r="M3490" t="s">
        <v>214</v>
      </c>
      <c r="N3490" t="s">
        <v>215</v>
      </c>
      <c r="O3490" t="s">
        <v>82</v>
      </c>
      <c r="P3490" t="str">
        <f>"2170715811                    "</f>
        <v xml:space="preserve">2170715811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16.63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 s="4">
        <v>97.75</v>
      </c>
      <c r="BM3490" s="4">
        <v>14.66</v>
      </c>
      <c r="BN3490" s="4">
        <v>112.41</v>
      </c>
      <c r="BO3490" s="4">
        <v>112.41</v>
      </c>
      <c r="BQ3490" t="s">
        <v>109</v>
      </c>
      <c r="BR3490" t="s">
        <v>84</v>
      </c>
      <c r="BS3490" s="3">
        <v>43797</v>
      </c>
      <c r="BT3490" s="5">
        <v>0.4861111111111111</v>
      </c>
      <c r="BU3490" t="s">
        <v>216</v>
      </c>
      <c r="BV3490" t="s">
        <v>86</v>
      </c>
      <c r="BY3490">
        <v>1200</v>
      </c>
      <c r="CA3490" t="s">
        <v>217</v>
      </c>
      <c r="CC3490" t="s">
        <v>214</v>
      </c>
      <c r="CD3490">
        <v>7646</v>
      </c>
      <c r="CE3490" t="s">
        <v>147</v>
      </c>
      <c r="CF3490" s="3">
        <v>43798</v>
      </c>
      <c r="CI3490">
        <v>1</v>
      </c>
      <c r="CJ3490">
        <v>1</v>
      </c>
      <c r="CK3490">
        <v>23</v>
      </c>
      <c r="CL3490" t="s">
        <v>89</v>
      </c>
    </row>
    <row r="3491" spans="1:90">
      <c r="A3491" t="s">
        <v>72</v>
      </c>
      <c r="B3491" t="s">
        <v>73</v>
      </c>
      <c r="C3491" t="s">
        <v>74</v>
      </c>
      <c r="E3491" t="str">
        <f>"FES1162725428"</f>
        <v>FES1162725428</v>
      </c>
      <c r="F3491" s="3">
        <v>43796</v>
      </c>
      <c r="G3491">
        <v>202005</v>
      </c>
      <c r="H3491" t="s">
        <v>75</v>
      </c>
      <c r="I3491" t="s">
        <v>76</v>
      </c>
      <c r="J3491" t="s">
        <v>77</v>
      </c>
      <c r="K3491" t="s">
        <v>78</v>
      </c>
      <c r="L3491" t="s">
        <v>176</v>
      </c>
      <c r="M3491" t="s">
        <v>177</v>
      </c>
      <c r="N3491" t="s">
        <v>178</v>
      </c>
      <c r="O3491" t="s">
        <v>82</v>
      </c>
      <c r="P3491" t="str">
        <f>"2170719187                    "</f>
        <v xml:space="preserve">2170719187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8.58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 s="4">
        <v>50.45</v>
      </c>
      <c r="BM3491" s="4">
        <v>7.57</v>
      </c>
      <c r="BN3491" s="4">
        <v>58.02</v>
      </c>
      <c r="BO3491" s="4">
        <v>58.02</v>
      </c>
      <c r="BQ3491" t="s">
        <v>142</v>
      </c>
      <c r="BR3491" t="s">
        <v>84</v>
      </c>
      <c r="BS3491" s="3">
        <v>43797</v>
      </c>
      <c r="BT3491" s="5">
        <v>0.35138888888888892</v>
      </c>
      <c r="BU3491" t="s">
        <v>1053</v>
      </c>
      <c r="BV3491" t="s">
        <v>86</v>
      </c>
      <c r="BY3491">
        <v>1200</v>
      </c>
      <c r="CA3491" t="s">
        <v>180</v>
      </c>
      <c r="CC3491" t="s">
        <v>177</v>
      </c>
      <c r="CD3491">
        <v>3610</v>
      </c>
      <c r="CE3491" t="s">
        <v>147</v>
      </c>
      <c r="CF3491" s="3">
        <v>43798</v>
      </c>
      <c r="CI3491">
        <v>1</v>
      </c>
      <c r="CJ3491">
        <v>1</v>
      </c>
      <c r="CK3491">
        <v>21</v>
      </c>
      <c r="CL3491" t="s">
        <v>89</v>
      </c>
    </row>
    <row r="3492" spans="1:90">
      <c r="A3492" t="s">
        <v>72</v>
      </c>
      <c r="B3492" t="s">
        <v>73</v>
      </c>
      <c r="C3492" t="s">
        <v>74</v>
      </c>
      <c r="E3492" t="str">
        <f>"FES1162725439"</f>
        <v>FES1162725439</v>
      </c>
      <c r="F3492" s="3">
        <v>43796</v>
      </c>
      <c r="G3492">
        <v>202005</v>
      </c>
      <c r="H3492" t="s">
        <v>75</v>
      </c>
      <c r="I3492" t="s">
        <v>76</v>
      </c>
      <c r="J3492" t="s">
        <v>77</v>
      </c>
      <c r="K3492" t="s">
        <v>78</v>
      </c>
      <c r="L3492" t="s">
        <v>112</v>
      </c>
      <c r="M3492" t="s">
        <v>113</v>
      </c>
      <c r="N3492" t="s">
        <v>1380</v>
      </c>
      <c r="O3492" t="s">
        <v>82</v>
      </c>
      <c r="P3492" t="str">
        <f>"2170719207                    "</f>
        <v xml:space="preserve">2170719207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8.58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2</v>
      </c>
      <c r="BJ3492">
        <v>1.9</v>
      </c>
      <c r="BK3492">
        <v>2</v>
      </c>
      <c r="BL3492" s="4">
        <v>50.45</v>
      </c>
      <c r="BM3492" s="4">
        <v>7.57</v>
      </c>
      <c r="BN3492" s="4">
        <v>58.02</v>
      </c>
      <c r="BO3492" s="4">
        <v>58.02</v>
      </c>
      <c r="BQ3492" t="s">
        <v>121</v>
      </c>
      <c r="BR3492" t="s">
        <v>84</v>
      </c>
      <c r="BS3492" s="3">
        <v>43797</v>
      </c>
      <c r="BT3492" s="5">
        <v>0.48541666666666666</v>
      </c>
      <c r="BU3492" t="s">
        <v>1381</v>
      </c>
      <c r="BV3492" t="s">
        <v>89</v>
      </c>
      <c r="BW3492" t="s">
        <v>144</v>
      </c>
      <c r="BX3492" t="s">
        <v>145</v>
      </c>
      <c r="BY3492">
        <v>9610</v>
      </c>
      <c r="CA3492" t="s">
        <v>1046</v>
      </c>
      <c r="CC3492" t="s">
        <v>113</v>
      </c>
      <c r="CD3492">
        <v>4051</v>
      </c>
      <c r="CE3492" t="s">
        <v>1598</v>
      </c>
      <c r="CF3492" s="3">
        <v>43798</v>
      </c>
      <c r="CI3492">
        <v>1</v>
      </c>
      <c r="CJ3492">
        <v>1</v>
      </c>
      <c r="CK3492">
        <v>21</v>
      </c>
      <c r="CL3492" t="s">
        <v>89</v>
      </c>
    </row>
    <row r="3493" spans="1:90">
      <c r="A3493" t="s">
        <v>72</v>
      </c>
      <c r="B3493" t="s">
        <v>73</v>
      </c>
      <c r="C3493" t="s">
        <v>74</v>
      </c>
      <c r="E3493" t="str">
        <f>"FES1162725493"</f>
        <v>FES1162725493</v>
      </c>
      <c r="F3493" s="3">
        <v>43796</v>
      </c>
      <c r="G3493">
        <v>202005</v>
      </c>
      <c r="H3493" t="s">
        <v>75</v>
      </c>
      <c r="I3493" t="s">
        <v>76</v>
      </c>
      <c r="J3493" t="s">
        <v>77</v>
      </c>
      <c r="K3493" t="s">
        <v>78</v>
      </c>
      <c r="L3493" t="s">
        <v>118</v>
      </c>
      <c r="M3493" t="s">
        <v>119</v>
      </c>
      <c r="N3493" t="s">
        <v>439</v>
      </c>
      <c r="O3493" t="s">
        <v>82</v>
      </c>
      <c r="P3493" t="str">
        <f>"2170719245                    "</f>
        <v xml:space="preserve">2170719245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8.58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 s="4">
        <v>50.45</v>
      </c>
      <c r="BM3493" s="4">
        <v>7.57</v>
      </c>
      <c r="BN3493" s="4">
        <v>58.02</v>
      </c>
      <c r="BO3493" s="4">
        <v>58.02</v>
      </c>
      <c r="BQ3493" t="s">
        <v>121</v>
      </c>
      <c r="BR3493" t="s">
        <v>84</v>
      </c>
      <c r="BS3493" s="3">
        <v>43797</v>
      </c>
      <c r="BT3493" s="5">
        <v>0.4375</v>
      </c>
      <c r="BU3493" t="s">
        <v>3258</v>
      </c>
      <c r="BV3493" t="s">
        <v>86</v>
      </c>
      <c r="BY3493">
        <v>1200</v>
      </c>
      <c r="CA3493" t="s">
        <v>132</v>
      </c>
      <c r="CC3493" t="s">
        <v>119</v>
      </c>
      <c r="CD3493">
        <v>3201</v>
      </c>
      <c r="CE3493" t="s">
        <v>147</v>
      </c>
      <c r="CF3493" s="3">
        <v>43798</v>
      </c>
      <c r="CI3493">
        <v>1</v>
      </c>
      <c r="CJ3493">
        <v>1</v>
      </c>
      <c r="CK3493">
        <v>21</v>
      </c>
      <c r="CL3493" t="s">
        <v>89</v>
      </c>
    </row>
    <row r="3494" spans="1:90">
      <c r="A3494" t="s">
        <v>72</v>
      </c>
      <c r="B3494" t="s">
        <v>73</v>
      </c>
      <c r="C3494" t="s">
        <v>74</v>
      </c>
      <c r="E3494" t="str">
        <f>"FES1162725495"</f>
        <v>FES1162725495</v>
      </c>
      <c r="F3494" s="3">
        <v>43796</v>
      </c>
      <c r="G3494">
        <v>202005</v>
      </c>
      <c r="H3494" t="s">
        <v>75</v>
      </c>
      <c r="I3494" t="s">
        <v>76</v>
      </c>
      <c r="J3494" t="s">
        <v>77</v>
      </c>
      <c r="K3494" t="s">
        <v>78</v>
      </c>
      <c r="L3494" t="s">
        <v>251</v>
      </c>
      <c r="M3494" t="s">
        <v>252</v>
      </c>
      <c r="N3494" t="s">
        <v>330</v>
      </c>
      <c r="O3494" t="s">
        <v>82</v>
      </c>
      <c r="P3494" t="str">
        <f>"2170719267                    "</f>
        <v xml:space="preserve">2170719267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8.58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 s="4">
        <v>50.45</v>
      </c>
      <c r="BM3494" s="4">
        <v>7.57</v>
      </c>
      <c r="BN3494" s="4">
        <v>58.02</v>
      </c>
      <c r="BO3494" s="4">
        <v>58.02</v>
      </c>
      <c r="BQ3494" t="s">
        <v>109</v>
      </c>
      <c r="BR3494" t="s">
        <v>84</v>
      </c>
      <c r="BS3494" s="3">
        <v>43797</v>
      </c>
      <c r="BT3494" s="5">
        <v>0.40902777777777777</v>
      </c>
      <c r="BU3494" t="s">
        <v>1331</v>
      </c>
      <c r="BV3494" t="s">
        <v>86</v>
      </c>
      <c r="BY3494">
        <v>1200</v>
      </c>
      <c r="CA3494" t="s">
        <v>255</v>
      </c>
      <c r="CC3494" t="s">
        <v>252</v>
      </c>
      <c r="CD3494">
        <v>4133</v>
      </c>
      <c r="CE3494" t="s">
        <v>147</v>
      </c>
      <c r="CF3494" s="3">
        <v>43798</v>
      </c>
      <c r="CI3494">
        <v>1</v>
      </c>
      <c r="CJ3494">
        <v>1</v>
      </c>
      <c r="CK3494">
        <v>21</v>
      </c>
      <c r="CL3494" t="s">
        <v>89</v>
      </c>
    </row>
    <row r="3495" spans="1:90">
      <c r="A3495" t="s">
        <v>72</v>
      </c>
      <c r="B3495" t="s">
        <v>73</v>
      </c>
      <c r="C3495" t="s">
        <v>74</v>
      </c>
      <c r="E3495" t="str">
        <f>"FES1162725434"</f>
        <v>FES1162725434</v>
      </c>
      <c r="F3495" s="3">
        <v>43796</v>
      </c>
      <c r="G3495">
        <v>202005</v>
      </c>
      <c r="H3495" t="s">
        <v>75</v>
      </c>
      <c r="I3495" t="s">
        <v>76</v>
      </c>
      <c r="J3495" t="s">
        <v>77</v>
      </c>
      <c r="K3495" t="s">
        <v>78</v>
      </c>
      <c r="L3495" t="s">
        <v>106</v>
      </c>
      <c r="M3495" t="s">
        <v>107</v>
      </c>
      <c r="N3495" t="s">
        <v>635</v>
      </c>
      <c r="O3495" t="s">
        <v>82</v>
      </c>
      <c r="P3495" t="str">
        <f>"2170719191                    "</f>
        <v xml:space="preserve">2170719191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8.58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 s="4">
        <v>50.45</v>
      </c>
      <c r="BM3495" s="4">
        <v>7.57</v>
      </c>
      <c r="BN3495" s="4">
        <v>58.02</v>
      </c>
      <c r="BO3495" s="4">
        <v>58.02</v>
      </c>
      <c r="BQ3495" t="s">
        <v>121</v>
      </c>
      <c r="BR3495" t="s">
        <v>84</v>
      </c>
      <c r="BS3495" s="3">
        <v>43797</v>
      </c>
      <c r="BT3495" s="5">
        <v>0.36805555555555558</v>
      </c>
      <c r="BU3495" t="s">
        <v>636</v>
      </c>
      <c r="BV3495" t="s">
        <v>86</v>
      </c>
      <c r="BY3495">
        <v>1200</v>
      </c>
      <c r="CA3495" t="s">
        <v>773</v>
      </c>
      <c r="CC3495" t="s">
        <v>107</v>
      </c>
      <c r="CD3495">
        <v>6001</v>
      </c>
      <c r="CE3495" t="s">
        <v>147</v>
      </c>
      <c r="CF3495" s="3">
        <v>43798</v>
      </c>
      <c r="CI3495">
        <v>1</v>
      </c>
      <c r="CJ3495">
        <v>1</v>
      </c>
      <c r="CK3495">
        <v>21</v>
      </c>
      <c r="CL3495" t="s">
        <v>89</v>
      </c>
    </row>
    <row r="3496" spans="1:90">
      <c r="A3496" t="s">
        <v>72</v>
      </c>
      <c r="B3496" t="s">
        <v>73</v>
      </c>
      <c r="C3496" t="s">
        <v>74</v>
      </c>
      <c r="E3496" t="str">
        <f>"FES1162725411"</f>
        <v>FES1162725411</v>
      </c>
      <c r="F3496" s="3">
        <v>43796</v>
      </c>
      <c r="G3496">
        <v>202005</v>
      </c>
      <c r="H3496" t="s">
        <v>75</v>
      </c>
      <c r="I3496" t="s">
        <v>76</v>
      </c>
      <c r="J3496" t="s">
        <v>77</v>
      </c>
      <c r="K3496" t="s">
        <v>78</v>
      </c>
      <c r="L3496" t="s">
        <v>106</v>
      </c>
      <c r="M3496" t="s">
        <v>107</v>
      </c>
      <c r="N3496" t="s">
        <v>242</v>
      </c>
      <c r="O3496" t="s">
        <v>82</v>
      </c>
      <c r="P3496" t="str">
        <f>"2170719164                    "</f>
        <v xml:space="preserve">2170719164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40.75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3</v>
      </c>
      <c r="BJ3496">
        <v>9.1</v>
      </c>
      <c r="BK3496">
        <v>9.5</v>
      </c>
      <c r="BL3496" s="4">
        <v>239.52</v>
      </c>
      <c r="BM3496" s="4">
        <v>35.93</v>
      </c>
      <c r="BN3496" s="4">
        <v>275.45</v>
      </c>
      <c r="BO3496" s="4">
        <v>275.45</v>
      </c>
      <c r="BQ3496" t="s">
        <v>109</v>
      </c>
      <c r="BR3496" t="s">
        <v>84</v>
      </c>
      <c r="BS3496" s="3">
        <v>43797</v>
      </c>
      <c r="BT3496" s="5">
        <v>0.38541666666666669</v>
      </c>
      <c r="BU3496" t="s">
        <v>243</v>
      </c>
      <c r="BV3496" t="s">
        <v>86</v>
      </c>
      <c r="BY3496">
        <v>45632</v>
      </c>
      <c r="CA3496" t="s">
        <v>244</v>
      </c>
      <c r="CC3496" t="s">
        <v>107</v>
      </c>
      <c r="CD3496">
        <v>6001</v>
      </c>
      <c r="CE3496" t="s">
        <v>88</v>
      </c>
      <c r="CF3496" s="3">
        <v>43798</v>
      </c>
      <c r="CI3496">
        <v>1</v>
      </c>
      <c r="CJ3496">
        <v>1</v>
      </c>
      <c r="CK3496">
        <v>21</v>
      </c>
      <c r="CL3496" t="s">
        <v>89</v>
      </c>
    </row>
    <row r="3497" spans="1:90">
      <c r="A3497" t="s">
        <v>72</v>
      </c>
      <c r="B3497" t="s">
        <v>73</v>
      </c>
      <c r="C3497" t="s">
        <v>74</v>
      </c>
      <c r="E3497" t="str">
        <f>"FES1162725419"</f>
        <v>FES1162725419</v>
      </c>
      <c r="F3497" s="3">
        <v>43796</v>
      </c>
      <c r="G3497">
        <v>202005</v>
      </c>
      <c r="H3497" t="s">
        <v>75</v>
      </c>
      <c r="I3497" t="s">
        <v>76</v>
      </c>
      <c r="J3497" t="s">
        <v>77</v>
      </c>
      <c r="K3497" t="s">
        <v>78</v>
      </c>
      <c r="L3497" t="s">
        <v>1239</v>
      </c>
      <c r="M3497" t="s">
        <v>1240</v>
      </c>
      <c r="N3497" t="s">
        <v>1241</v>
      </c>
      <c r="O3497" t="s">
        <v>82</v>
      </c>
      <c r="P3497" t="str">
        <f>"2170719172                    "</f>
        <v xml:space="preserve">2170719172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24.14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2</v>
      </c>
      <c r="BI3497">
        <v>1.3</v>
      </c>
      <c r="BJ3497">
        <v>2.8</v>
      </c>
      <c r="BK3497">
        <v>3</v>
      </c>
      <c r="BL3497" s="4">
        <v>141.9</v>
      </c>
      <c r="BM3497" s="4">
        <v>21.29</v>
      </c>
      <c r="BN3497" s="4">
        <v>163.19</v>
      </c>
      <c r="BO3497" s="4">
        <v>163.19</v>
      </c>
      <c r="BQ3497" t="s">
        <v>3259</v>
      </c>
      <c r="BR3497" t="s">
        <v>84</v>
      </c>
      <c r="BS3497" t="s">
        <v>201</v>
      </c>
      <c r="BY3497">
        <v>14087</v>
      </c>
      <c r="CC3497" t="s">
        <v>1240</v>
      </c>
      <c r="CD3497">
        <v>6300</v>
      </c>
      <c r="CE3497" t="s">
        <v>3076</v>
      </c>
      <c r="CI3497">
        <v>3</v>
      </c>
      <c r="CJ3497" t="s">
        <v>201</v>
      </c>
      <c r="CK3497">
        <v>23</v>
      </c>
      <c r="CL3497" t="s">
        <v>89</v>
      </c>
    </row>
    <row r="3498" spans="1:90">
      <c r="A3498" t="s">
        <v>72</v>
      </c>
      <c r="B3498" t="s">
        <v>73</v>
      </c>
      <c r="C3498" t="s">
        <v>74</v>
      </c>
      <c r="E3498" t="str">
        <f>"FES1162725422"</f>
        <v>FES1162725422</v>
      </c>
      <c r="F3498" s="3">
        <v>43796</v>
      </c>
      <c r="G3498">
        <v>202005</v>
      </c>
      <c r="H3498" t="s">
        <v>75</v>
      </c>
      <c r="I3498" t="s">
        <v>76</v>
      </c>
      <c r="J3498" t="s">
        <v>77</v>
      </c>
      <c r="K3498" t="s">
        <v>78</v>
      </c>
      <c r="L3498" t="s">
        <v>101</v>
      </c>
      <c r="M3498" t="s">
        <v>102</v>
      </c>
      <c r="N3498" t="s">
        <v>2435</v>
      </c>
      <c r="O3498" t="s">
        <v>82</v>
      </c>
      <c r="P3498" t="str">
        <f>"2170719177                    "</f>
        <v xml:space="preserve">2170719177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8.58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 s="4">
        <v>50.45</v>
      </c>
      <c r="BM3498" s="4">
        <v>7.57</v>
      </c>
      <c r="BN3498" s="4">
        <v>58.02</v>
      </c>
      <c r="BO3498" s="4">
        <v>58.02</v>
      </c>
      <c r="BQ3498" t="s">
        <v>2945</v>
      </c>
      <c r="BR3498" t="s">
        <v>84</v>
      </c>
      <c r="BS3498" s="3">
        <v>43797</v>
      </c>
      <c r="BT3498" s="5">
        <v>0.40625</v>
      </c>
      <c r="BU3498" t="s">
        <v>3260</v>
      </c>
      <c r="BV3498" t="s">
        <v>86</v>
      </c>
      <c r="BY3498">
        <v>1200</v>
      </c>
      <c r="CA3498" t="s">
        <v>105</v>
      </c>
      <c r="CC3498" t="s">
        <v>102</v>
      </c>
      <c r="CD3498">
        <v>183</v>
      </c>
      <c r="CE3498" t="s">
        <v>147</v>
      </c>
      <c r="CF3498" s="3">
        <v>43798</v>
      </c>
      <c r="CI3498">
        <v>1</v>
      </c>
      <c r="CJ3498">
        <v>1</v>
      </c>
      <c r="CK3498">
        <v>21</v>
      </c>
      <c r="CL3498" t="s">
        <v>89</v>
      </c>
    </row>
    <row r="3499" spans="1:90">
      <c r="A3499" t="s">
        <v>72</v>
      </c>
      <c r="B3499" t="s">
        <v>73</v>
      </c>
      <c r="C3499" t="s">
        <v>74</v>
      </c>
      <c r="E3499" t="str">
        <f>"FES1162725423"</f>
        <v>FES1162725423</v>
      </c>
      <c r="F3499" s="3">
        <v>43796</v>
      </c>
      <c r="G3499">
        <v>202005</v>
      </c>
      <c r="H3499" t="s">
        <v>75</v>
      </c>
      <c r="I3499" t="s">
        <v>76</v>
      </c>
      <c r="J3499" t="s">
        <v>77</v>
      </c>
      <c r="K3499" t="s">
        <v>78</v>
      </c>
      <c r="L3499" t="s">
        <v>1268</v>
      </c>
      <c r="M3499" t="s">
        <v>1269</v>
      </c>
      <c r="N3499" t="s">
        <v>2471</v>
      </c>
      <c r="O3499" t="s">
        <v>82</v>
      </c>
      <c r="P3499" t="str">
        <f>"2170719180                    "</f>
        <v xml:space="preserve">2170719180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8.58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 s="4">
        <v>50.45</v>
      </c>
      <c r="BM3499" s="4">
        <v>7.57</v>
      </c>
      <c r="BN3499" s="4">
        <v>58.02</v>
      </c>
      <c r="BO3499" s="4">
        <v>58.02</v>
      </c>
      <c r="BQ3499" t="s">
        <v>109</v>
      </c>
      <c r="BR3499" t="s">
        <v>84</v>
      </c>
      <c r="BS3499" s="3">
        <v>43797</v>
      </c>
      <c r="BT3499" s="5">
        <v>0.47222222222222227</v>
      </c>
      <c r="BU3499" t="s">
        <v>3261</v>
      </c>
      <c r="BV3499" t="s">
        <v>86</v>
      </c>
      <c r="BY3499">
        <v>1200</v>
      </c>
      <c r="CA3499" t="s">
        <v>1668</v>
      </c>
      <c r="CC3499" t="s">
        <v>1269</v>
      </c>
      <c r="CD3499">
        <v>3291</v>
      </c>
      <c r="CE3499" t="s">
        <v>147</v>
      </c>
      <c r="CF3499" s="3">
        <v>43798</v>
      </c>
      <c r="CI3499">
        <v>1</v>
      </c>
      <c r="CJ3499">
        <v>1</v>
      </c>
      <c r="CK3499">
        <v>21</v>
      </c>
      <c r="CL3499" t="s">
        <v>89</v>
      </c>
    </row>
    <row r="3500" spans="1:90">
      <c r="A3500" t="s">
        <v>72</v>
      </c>
      <c r="B3500" t="s">
        <v>73</v>
      </c>
      <c r="C3500" t="s">
        <v>74</v>
      </c>
      <c r="E3500" t="str">
        <f>"FES1162725410"</f>
        <v>FES1162725410</v>
      </c>
      <c r="F3500" s="3">
        <v>43796</v>
      </c>
      <c r="G3500">
        <v>202005</v>
      </c>
      <c r="H3500" t="s">
        <v>75</v>
      </c>
      <c r="I3500" t="s">
        <v>76</v>
      </c>
      <c r="J3500" t="s">
        <v>77</v>
      </c>
      <c r="K3500" t="s">
        <v>78</v>
      </c>
      <c r="L3500" t="s">
        <v>106</v>
      </c>
      <c r="M3500" t="s">
        <v>107</v>
      </c>
      <c r="N3500" t="s">
        <v>1190</v>
      </c>
      <c r="O3500" t="s">
        <v>82</v>
      </c>
      <c r="P3500" t="str">
        <f>"2170719159                    "</f>
        <v xml:space="preserve">2170719159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8.58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 s="4">
        <v>50.45</v>
      </c>
      <c r="BM3500" s="4">
        <v>7.57</v>
      </c>
      <c r="BN3500" s="4">
        <v>58.02</v>
      </c>
      <c r="BO3500" s="4">
        <v>58.02</v>
      </c>
      <c r="BQ3500" t="s">
        <v>3262</v>
      </c>
      <c r="BR3500" t="s">
        <v>84</v>
      </c>
      <c r="BS3500" s="3">
        <v>43797</v>
      </c>
      <c r="BT3500" s="5">
        <v>0.43611111111111112</v>
      </c>
      <c r="BU3500" t="s">
        <v>3263</v>
      </c>
      <c r="BV3500" t="s">
        <v>86</v>
      </c>
      <c r="BY3500">
        <v>1200</v>
      </c>
      <c r="CA3500" t="s">
        <v>111</v>
      </c>
      <c r="CC3500" t="s">
        <v>107</v>
      </c>
      <c r="CD3500">
        <v>6001</v>
      </c>
      <c r="CE3500" t="s">
        <v>147</v>
      </c>
      <c r="CF3500" s="3">
        <v>43798</v>
      </c>
      <c r="CI3500">
        <v>1</v>
      </c>
      <c r="CJ3500">
        <v>1</v>
      </c>
      <c r="CK3500">
        <v>21</v>
      </c>
      <c r="CL3500" t="s">
        <v>89</v>
      </c>
    </row>
    <row r="3501" spans="1:90">
      <c r="A3501" t="s">
        <v>72</v>
      </c>
      <c r="B3501" t="s">
        <v>73</v>
      </c>
      <c r="C3501" t="s">
        <v>74</v>
      </c>
      <c r="E3501" t="str">
        <f>"FES1162725413"</f>
        <v>FES1162725413</v>
      </c>
      <c r="F3501" s="3">
        <v>43796</v>
      </c>
      <c r="G3501">
        <v>202005</v>
      </c>
      <c r="H3501" t="s">
        <v>75</v>
      </c>
      <c r="I3501" t="s">
        <v>76</v>
      </c>
      <c r="J3501" t="s">
        <v>77</v>
      </c>
      <c r="K3501" t="s">
        <v>78</v>
      </c>
      <c r="L3501" t="s">
        <v>106</v>
      </c>
      <c r="M3501" t="s">
        <v>107</v>
      </c>
      <c r="N3501" t="s">
        <v>108</v>
      </c>
      <c r="O3501" t="s">
        <v>82</v>
      </c>
      <c r="P3501" t="str">
        <f>"2170719167                    "</f>
        <v xml:space="preserve">2170719167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8.58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0.2</v>
      </c>
      <c r="BJ3501">
        <v>1.3</v>
      </c>
      <c r="BK3501">
        <v>1.5</v>
      </c>
      <c r="BL3501" s="4">
        <v>50.45</v>
      </c>
      <c r="BM3501" s="4">
        <v>7.57</v>
      </c>
      <c r="BN3501" s="4">
        <v>58.02</v>
      </c>
      <c r="BO3501" s="4">
        <v>58.02</v>
      </c>
      <c r="BQ3501" t="s">
        <v>109</v>
      </c>
      <c r="BR3501" t="s">
        <v>84</v>
      </c>
      <c r="BS3501" s="3">
        <v>43797</v>
      </c>
      <c r="BT3501" s="5">
        <v>0.43333333333333335</v>
      </c>
      <c r="BU3501" t="s">
        <v>110</v>
      </c>
      <c r="BV3501" t="s">
        <v>86</v>
      </c>
      <c r="BY3501">
        <v>6303.26</v>
      </c>
      <c r="CA3501" t="s">
        <v>111</v>
      </c>
      <c r="CC3501" t="s">
        <v>107</v>
      </c>
      <c r="CD3501">
        <v>6001</v>
      </c>
      <c r="CE3501" t="s">
        <v>1598</v>
      </c>
      <c r="CF3501" s="3">
        <v>43798</v>
      </c>
      <c r="CI3501">
        <v>1</v>
      </c>
      <c r="CJ3501">
        <v>1</v>
      </c>
      <c r="CK3501">
        <v>21</v>
      </c>
      <c r="CL3501" t="s">
        <v>89</v>
      </c>
    </row>
    <row r="3502" spans="1:90">
      <c r="A3502" t="s">
        <v>72</v>
      </c>
      <c r="B3502" t="s">
        <v>73</v>
      </c>
      <c r="C3502" t="s">
        <v>74</v>
      </c>
      <c r="E3502" t="str">
        <f>"FES1162725404"</f>
        <v>FES1162725404</v>
      </c>
      <c r="F3502" s="3">
        <v>43796</v>
      </c>
      <c r="G3502">
        <v>202005</v>
      </c>
      <c r="H3502" t="s">
        <v>75</v>
      </c>
      <c r="I3502" t="s">
        <v>76</v>
      </c>
      <c r="J3502" t="s">
        <v>77</v>
      </c>
      <c r="K3502" t="s">
        <v>78</v>
      </c>
      <c r="L3502" t="s">
        <v>101</v>
      </c>
      <c r="M3502" t="s">
        <v>102</v>
      </c>
      <c r="N3502" t="s">
        <v>707</v>
      </c>
      <c r="O3502" t="s">
        <v>82</v>
      </c>
      <c r="P3502" t="str">
        <f>"2170715129                    "</f>
        <v xml:space="preserve">2170715129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15.02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3.5</v>
      </c>
      <c r="BJ3502">
        <v>0.8</v>
      </c>
      <c r="BK3502">
        <v>3.5</v>
      </c>
      <c r="BL3502" s="4">
        <v>88.27</v>
      </c>
      <c r="BM3502" s="4">
        <v>13.24</v>
      </c>
      <c r="BN3502" s="4">
        <v>101.51</v>
      </c>
      <c r="BO3502" s="4">
        <v>101.51</v>
      </c>
      <c r="BQ3502" t="s">
        <v>121</v>
      </c>
      <c r="BR3502" t="s">
        <v>84</v>
      </c>
      <c r="BS3502" s="3">
        <v>43797</v>
      </c>
      <c r="BT3502" s="5">
        <v>0.375</v>
      </c>
      <c r="BU3502" t="s">
        <v>708</v>
      </c>
      <c r="BV3502" t="s">
        <v>86</v>
      </c>
      <c r="BY3502">
        <v>4242.42</v>
      </c>
      <c r="CA3502" t="s">
        <v>709</v>
      </c>
      <c r="CC3502" t="s">
        <v>102</v>
      </c>
      <c r="CD3502">
        <v>1</v>
      </c>
      <c r="CE3502" t="s">
        <v>1598</v>
      </c>
      <c r="CF3502" s="3">
        <v>43798</v>
      </c>
      <c r="CI3502">
        <v>1</v>
      </c>
      <c r="CJ3502">
        <v>1</v>
      </c>
      <c r="CK3502">
        <v>21</v>
      </c>
      <c r="CL3502" t="s">
        <v>89</v>
      </c>
    </row>
    <row r="3503" spans="1:90">
      <c r="A3503" t="s">
        <v>72</v>
      </c>
      <c r="B3503" t="s">
        <v>73</v>
      </c>
      <c r="C3503" t="s">
        <v>74</v>
      </c>
      <c r="E3503" t="str">
        <f>"FES1162725403"</f>
        <v>FES1162725403</v>
      </c>
      <c r="F3503" s="3">
        <v>43796</v>
      </c>
      <c r="G3503">
        <v>202005</v>
      </c>
      <c r="H3503" t="s">
        <v>75</v>
      </c>
      <c r="I3503" t="s">
        <v>76</v>
      </c>
      <c r="J3503" t="s">
        <v>77</v>
      </c>
      <c r="K3503" t="s">
        <v>78</v>
      </c>
      <c r="L3503" t="s">
        <v>75</v>
      </c>
      <c r="M3503" t="s">
        <v>76</v>
      </c>
      <c r="N3503" t="s">
        <v>942</v>
      </c>
      <c r="O3503" t="s">
        <v>82</v>
      </c>
      <c r="P3503" t="str">
        <f>"2170718997                    "</f>
        <v xml:space="preserve">2170718997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15.55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5</v>
      </c>
      <c r="BJ3503">
        <v>7.2</v>
      </c>
      <c r="BK3503">
        <v>7.5</v>
      </c>
      <c r="BL3503" s="4">
        <v>91.38</v>
      </c>
      <c r="BM3503" s="4">
        <v>13.71</v>
      </c>
      <c r="BN3503" s="4">
        <v>105.09</v>
      </c>
      <c r="BO3503" s="4">
        <v>105.09</v>
      </c>
      <c r="BQ3503" t="s">
        <v>943</v>
      </c>
      <c r="BR3503" t="s">
        <v>84</v>
      </c>
      <c r="BS3503" s="3">
        <v>43797</v>
      </c>
      <c r="BT3503" s="5">
        <v>0.38611111111111113</v>
      </c>
      <c r="BU3503" t="s">
        <v>1831</v>
      </c>
      <c r="BV3503" t="s">
        <v>86</v>
      </c>
      <c r="BY3503">
        <v>36210.1</v>
      </c>
      <c r="CA3503" t="s">
        <v>198</v>
      </c>
      <c r="CC3503" t="s">
        <v>76</v>
      </c>
      <c r="CD3503">
        <v>1619</v>
      </c>
      <c r="CE3503" t="s">
        <v>1598</v>
      </c>
      <c r="CI3503">
        <v>1</v>
      </c>
      <c r="CJ3503">
        <v>1</v>
      </c>
      <c r="CK3503">
        <v>22</v>
      </c>
      <c r="CL3503" t="s">
        <v>89</v>
      </c>
    </row>
    <row r="3504" spans="1:90">
      <c r="A3504" t="s">
        <v>72</v>
      </c>
      <c r="B3504" t="s">
        <v>73</v>
      </c>
      <c r="C3504" t="s">
        <v>74</v>
      </c>
      <c r="E3504" t="str">
        <f>"FES1162725401"</f>
        <v>FES1162725401</v>
      </c>
      <c r="F3504" s="3">
        <v>43796</v>
      </c>
      <c r="G3504">
        <v>202005</v>
      </c>
      <c r="H3504" t="s">
        <v>75</v>
      </c>
      <c r="I3504" t="s">
        <v>76</v>
      </c>
      <c r="J3504" t="s">
        <v>77</v>
      </c>
      <c r="K3504" t="s">
        <v>78</v>
      </c>
      <c r="L3504" t="s">
        <v>75</v>
      </c>
      <c r="M3504" t="s">
        <v>76</v>
      </c>
      <c r="N3504" t="s">
        <v>942</v>
      </c>
      <c r="O3504" t="s">
        <v>82</v>
      </c>
      <c r="P3504" t="str">
        <f>"217071594                     "</f>
        <v xml:space="preserve">217071594 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14.74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6</v>
      </c>
      <c r="BJ3504">
        <v>6.7</v>
      </c>
      <c r="BK3504">
        <v>7</v>
      </c>
      <c r="BL3504" s="4">
        <v>86.65</v>
      </c>
      <c r="BM3504" s="4">
        <v>13</v>
      </c>
      <c r="BN3504" s="4">
        <v>99.65</v>
      </c>
      <c r="BO3504" s="4">
        <v>99.65</v>
      </c>
      <c r="BQ3504" t="s">
        <v>943</v>
      </c>
      <c r="BR3504" t="s">
        <v>84</v>
      </c>
      <c r="BS3504" s="3">
        <v>43797</v>
      </c>
      <c r="BT3504" s="5">
        <v>0.38611111111111113</v>
      </c>
      <c r="BU3504" t="s">
        <v>1831</v>
      </c>
      <c r="BV3504" t="s">
        <v>86</v>
      </c>
      <c r="BY3504">
        <v>33345</v>
      </c>
      <c r="CA3504" t="s">
        <v>198</v>
      </c>
      <c r="CC3504" t="s">
        <v>76</v>
      </c>
      <c r="CD3504">
        <v>1619</v>
      </c>
      <c r="CE3504" t="s">
        <v>1598</v>
      </c>
      <c r="CI3504">
        <v>1</v>
      </c>
      <c r="CJ3504">
        <v>1</v>
      </c>
      <c r="CK3504">
        <v>22</v>
      </c>
      <c r="CL3504" t="s">
        <v>89</v>
      </c>
    </row>
    <row r="3505" spans="1:90">
      <c r="A3505" t="s">
        <v>72</v>
      </c>
      <c r="B3505" t="s">
        <v>73</v>
      </c>
      <c r="C3505" t="s">
        <v>74</v>
      </c>
      <c r="E3505" t="str">
        <f>"FES1162725402"</f>
        <v>FES1162725402</v>
      </c>
      <c r="F3505" s="3">
        <v>43796</v>
      </c>
      <c r="G3505">
        <v>202005</v>
      </c>
      <c r="H3505" t="s">
        <v>75</v>
      </c>
      <c r="I3505" t="s">
        <v>76</v>
      </c>
      <c r="J3505" t="s">
        <v>77</v>
      </c>
      <c r="K3505" t="s">
        <v>78</v>
      </c>
      <c r="L3505" t="s">
        <v>296</v>
      </c>
      <c r="M3505" t="s">
        <v>297</v>
      </c>
      <c r="N3505" t="s">
        <v>672</v>
      </c>
      <c r="O3505" t="s">
        <v>82</v>
      </c>
      <c r="P3505" t="str">
        <f>"2170718687                    "</f>
        <v xml:space="preserve">2170718687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16.63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 s="4">
        <v>97.75</v>
      </c>
      <c r="BM3505" s="4">
        <v>14.66</v>
      </c>
      <c r="BN3505" s="4">
        <v>112.41</v>
      </c>
      <c r="BO3505" s="4">
        <v>112.41</v>
      </c>
      <c r="BQ3505" t="s">
        <v>142</v>
      </c>
      <c r="BR3505" t="s">
        <v>84</v>
      </c>
      <c r="BS3505" s="3">
        <v>43798</v>
      </c>
      <c r="BT3505" s="5">
        <v>0.41597222222222219</v>
      </c>
      <c r="BU3505" t="s">
        <v>3237</v>
      </c>
      <c r="BV3505" t="s">
        <v>86</v>
      </c>
      <c r="BY3505">
        <v>1200</v>
      </c>
      <c r="CA3505" t="s">
        <v>300</v>
      </c>
      <c r="CC3505" t="s">
        <v>297</v>
      </c>
      <c r="CD3505">
        <v>6850</v>
      </c>
      <c r="CE3505" t="s">
        <v>147</v>
      </c>
      <c r="CI3505">
        <v>3</v>
      </c>
      <c r="CJ3505">
        <v>2</v>
      </c>
      <c r="CK3505">
        <v>23</v>
      </c>
      <c r="CL3505" t="s">
        <v>89</v>
      </c>
    </row>
    <row r="3506" spans="1:90">
      <c r="A3506" t="s">
        <v>72</v>
      </c>
      <c r="B3506" t="s">
        <v>73</v>
      </c>
      <c r="C3506" t="s">
        <v>74</v>
      </c>
      <c r="E3506" t="str">
        <f>"009935723058"</f>
        <v>009935723058</v>
      </c>
      <c r="F3506" s="3">
        <v>43796</v>
      </c>
      <c r="G3506">
        <v>202005</v>
      </c>
      <c r="H3506" t="s">
        <v>75</v>
      </c>
      <c r="I3506" t="s">
        <v>76</v>
      </c>
      <c r="J3506" t="s">
        <v>77</v>
      </c>
      <c r="K3506" t="s">
        <v>78</v>
      </c>
      <c r="L3506" t="s">
        <v>90</v>
      </c>
      <c r="M3506" t="s">
        <v>91</v>
      </c>
      <c r="N3506" t="s">
        <v>393</v>
      </c>
      <c r="O3506" t="s">
        <v>82</v>
      </c>
      <c r="P3506" t="str">
        <f>"TONY                          "</f>
        <v xml:space="preserve">TONY      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8.58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1.9</v>
      </c>
      <c r="BJ3506">
        <v>0.6</v>
      </c>
      <c r="BK3506">
        <v>2</v>
      </c>
      <c r="BL3506" s="4">
        <v>50.45</v>
      </c>
      <c r="BM3506" s="4">
        <v>7.57</v>
      </c>
      <c r="BN3506" s="4">
        <v>58.02</v>
      </c>
      <c r="BO3506" s="4">
        <v>58.02</v>
      </c>
      <c r="BQ3506" t="s">
        <v>1630</v>
      </c>
      <c r="BR3506" t="s">
        <v>84</v>
      </c>
      <c r="BS3506" s="3">
        <v>43797</v>
      </c>
      <c r="BT3506" s="5">
        <v>0.33124999999999999</v>
      </c>
      <c r="BU3506" t="s">
        <v>3264</v>
      </c>
      <c r="BV3506" t="s">
        <v>86</v>
      </c>
      <c r="BY3506">
        <v>3110.68</v>
      </c>
      <c r="CA3506" t="s">
        <v>221</v>
      </c>
      <c r="CC3506" t="s">
        <v>91</v>
      </c>
      <c r="CD3506">
        <v>7405</v>
      </c>
      <c r="CE3506" t="s">
        <v>88</v>
      </c>
      <c r="CF3506" s="3">
        <v>43798</v>
      </c>
      <c r="CI3506">
        <v>1</v>
      </c>
      <c r="CJ3506">
        <v>1</v>
      </c>
      <c r="CK3506">
        <v>21</v>
      </c>
      <c r="CL3506" t="s">
        <v>89</v>
      </c>
    </row>
    <row r="3507" spans="1:90">
      <c r="A3507" t="s">
        <v>72</v>
      </c>
      <c r="B3507" t="s">
        <v>73</v>
      </c>
      <c r="C3507" t="s">
        <v>74</v>
      </c>
      <c r="E3507" t="str">
        <f>"FES1162725418"</f>
        <v>FES1162725418</v>
      </c>
      <c r="F3507" s="3">
        <v>43796</v>
      </c>
      <c r="G3507">
        <v>202005</v>
      </c>
      <c r="H3507" t="s">
        <v>75</v>
      </c>
      <c r="I3507" t="s">
        <v>76</v>
      </c>
      <c r="J3507" t="s">
        <v>77</v>
      </c>
      <c r="K3507" t="s">
        <v>78</v>
      </c>
      <c r="L3507" t="s">
        <v>75</v>
      </c>
      <c r="M3507" t="s">
        <v>76</v>
      </c>
      <c r="N3507" t="s">
        <v>1413</v>
      </c>
      <c r="O3507" t="s">
        <v>82</v>
      </c>
      <c r="P3507" t="str">
        <f>"2170719171                    "</f>
        <v xml:space="preserve">2170719171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6.71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 s="4">
        <v>39.42</v>
      </c>
      <c r="BM3507" s="4">
        <v>5.91</v>
      </c>
      <c r="BN3507" s="4">
        <v>45.33</v>
      </c>
      <c r="BO3507" s="4">
        <v>45.33</v>
      </c>
      <c r="BQ3507" t="s">
        <v>1414</v>
      </c>
      <c r="BR3507" t="s">
        <v>84</v>
      </c>
      <c r="BS3507" s="3">
        <v>43797</v>
      </c>
      <c r="BT3507" s="5">
        <v>0.34722222222222227</v>
      </c>
      <c r="BU3507" t="s">
        <v>694</v>
      </c>
      <c r="BV3507" t="s">
        <v>86</v>
      </c>
      <c r="BY3507">
        <v>1200</v>
      </c>
      <c r="CC3507" t="s">
        <v>76</v>
      </c>
      <c r="CD3507">
        <v>1666</v>
      </c>
      <c r="CE3507" t="s">
        <v>147</v>
      </c>
      <c r="CI3507">
        <v>1</v>
      </c>
      <c r="CJ3507">
        <v>1</v>
      </c>
      <c r="CK3507">
        <v>22</v>
      </c>
      <c r="CL3507" t="s">
        <v>89</v>
      </c>
    </row>
    <row r="3508" spans="1:90">
      <c r="A3508" t="s">
        <v>72</v>
      </c>
      <c r="B3508" t="s">
        <v>73</v>
      </c>
      <c r="C3508" t="s">
        <v>74</v>
      </c>
      <c r="E3508" t="str">
        <f>"009935712097"</f>
        <v>009935712097</v>
      </c>
      <c r="F3508" s="3">
        <v>43796</v>
      </c>
      <c r="G3508">
        <v>202005</v>
      </c>
      <c r="H3508" t="s">
        <v>75</v>
      </c>
      <c r="I3508" t="s">
        <v>76</v>
      </c>
      <c r="J3508" t="s">
        <v>77</v>
      </c>
      <c r="K3508" t="s">
        <v>78</v>
      </c>
      <c r="L3508" t="s">
        <v>112</v>
      </c>
      <c r="M3508" t="s">
        <v>113</v>
      </c>
      <c r="N3508" t="s">
        <v>397</v>
      </c>
      <c r="O3508" t="s">
        <v>82</v>
      </c>
      <c r="P3508" t="str">
        <f>"TONY                          "</f>
        <v xml:space="preserve">TONY      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8.58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0.6</v>
      </c>
      <c r="BJ3508">
        <v>0.9</v>
      </c>
      <c r="BK3508">
        <v>1</v>
      </c>
      <c r="BL3508" s="4">
        <v>50.45</v>
      </c>
      <c r="BM3508" s="4">
        <v>7.57</v>
      </c>
      <c r="BN3508" s="4">
        <v>58.02</v>
      </c>
      <c r="BO3508" s="4">
        <v>58.02</v>
      </c>
      <c r="BQ3508" t="s">
        <v>1076</v>
      </c>
      <c r="BR3508" t="s">
        <v>84</v>
      </c>
      <c r="BS3508" s="3">
        <v>43797</v>
      </c>
      <c r="BT3508" s="5">
        <v>0.38611111111111113</v>
      </c>
      <c r="BU3508" t="s">
        <v>3265</v>
      </c>
      <c r="BV3508" t="s">
        <v>86</v>
      </c>
      <c r="BY3508">
        <v>4403.1400000000003</v>
      </c>
      <c r="CA3508" t="s">
        <v>163</v>
      </c>
      <c r="CC3508" t="s">
        <v>113</v>
      </c>
      <c r="CD3508">
        <v>4051</v>
      </c>
      <c r="CE3508" t="s">
        <v>1598</v>
      </c>
      <c r="CF3508" s="3">
        <v>43798</v>
      </c>
      <c r="CI3508">
        <v>1</v>
      </c>
      <c r="CJ3508">
        <v>1</v>
      </c>
      <c r="CK3508">
        <v>21</v>
      </c>
      <c r="CL3508" t="s">
        <v>89</v>
      </c>
    </row>
    <row r="3509" spans="1:90">
      <c r="A3509" t="s">
        <v>72</v>
      </c>
      <c r="B3509" t="s">
        <v>73</v>
      </c>
      <c r="C3509" t="s">
        <v>74</v>
      </c>
      <c r="E3509" t="str">
        <f>"009935723349"</f>
        <v>009935723349</v>
      </c>
      <c r="F3509" s="3">
        <v>43796</v>
      </c>
      <c r="G3509">
        <v>202005</v>
      </c>
      <c r="H3509" t="s">
        <v>75</v>
      </c>
      <c r="I3509" t="s">
        <v>76</v>
      </c>
      <c r="J3509" t="s">
        <v>77</v>
      </c>
      <c r="K3509" t="s">
        <v>78</v>
      </c>
      <c r="L3509" t="s">
        <v>106</v>
      </c>
      <c r="M3509" t="s">
        <v>107</v>
      </c>
      <c r="N3509" t="s">
        <v>262</v>
      </c>
      <c r="O3509" t="s">
        <v>82</v>
      </c>
      <c r="P3509" t="str">
        <f>"TONY                          "</f>
        <v xml:space="preserve">TONY      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8.58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0.5</v>
      </c>
      <c r="BJ3509">
        <v>1.7</v>
      </c>
      <c r="BK3509">
        <v>2</v>
      </c>
      <c r="BL3509" s="4">
        <v>50.45</v>
      </c>
      <c r="BM3509" s="4">
        <v>7.57</v>
      </c>
      <c r="BN3509" s="4">
        <v>58.02</v>
      </c>
      <c r="BO3509" s="4">
        <v>58.02</v>
      </c>
      <c r="BQ3509" t="s">
        <v>2734</v>
      </c>
      <c r="BR3509" t="s">
        <v>84</v>
      </c>
      <c r="BS3509" s="3">
        <v>43797</v>
      </c>
      <c r="BT3509" s="5">
        <v>0.34930555555555554</v>
      </c>
      <c r="BU3509" t="s">
        <v>3266</v>
      </c>
      <c r="BV3509" t="s">
        <v>86</v>
      </c>
      <c r="BY3509">
        <v>8354.6</v>
      </c>
      <c r="CA3509" t="s">
        <v>1247</v>
      </c>
      <c r="CC3509" t="s">
        <v>107</v>
      </c>
      <c r="CD3509">
        <v>6045</v>
      </c>
      <c r="CE3509" t="s">
        <v>1598</v>
      </c>
      <c r="CF3509" s="3">
        <v>43798</v>
      </c>
      <c r="CI3509">
        <v>1</v>
      </c>
      <c r="CJ3509">
        <v>1</v>
      </c>
      <c r="CK3509">
        <v>21</v>
      </c>
      <c r="CL3509" t="s">
        <v>89</v>
      </c>
    </row>
    <row r="3510" spans="1:90">
      <c r="A3510" t="s">
        <v>72</v>
      </c>
      <c r="B3510" t="s">
        <v>73</v>
      </c>
      <c r="C3510" t="s">
        <v>74</v>
      </c>
      <c r="E3510" t="str">
        <f>"FES1162725399"</f>
        <v>FES1162725399</v>
      </c>
      <c r="F3510" s="3">
        <v>43796</v>
      </c>
      <c r="G3510">
        <v>202005</v>
      </c>
      <c r="H3510" t="s">
        <v>75</v>
      </c>
      <c r="I3510" t="s">
        <v>76</v>
      </c>
      <c r="J3510" t="s">
        <v>77</v>
      </c>
      <c r="K3510" t="s">
        <v>78</v>
      </c>
      <c r="L3510" t="s">
        <v>90</v>
      </c>
      <c r="M3510" t="s">
        <v>91</v>
      </c>
      <c r="N3510" t="s">
        <v>576</v>
      </c>
      <c r="O3510" t="s">
        <v>82</v>
      </c>
      <c r="P3510" t="str">
        <f>"21708719152                   "</f>
        <v xml:space="preserve">21708719152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8.58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2</v>
      </c>
      <c r="BJ3510">
        <v>0.9</v>
      </c>
      <c r="BK3510">
        <v>2</v>
      </c>
      <c r="BL3510" s="4">
        <v>50.45</v>
      </c>
      <c r="BM3510" s="4">
        <v>7.57</v>
      </c>
      <c r="BN3510" s="4">
        <v>58.02</v>
      </c>
      <c r="BO3510" s="4">
        <v>58.02</v>
      </c>
      <c r="BQ3510" t="s">
        <v>109</v>
      </c>
      <c r="BR3510" t="s">
        <v>84</v>
      </c>
      <c r="BS3510" s="3">
        <v>43797</v>
      </c>
      <c r="BT3510" s="5">
        <v>0.38055555555555554</v>
      </c>
      <c r="BU3510" t="s">
        <v>2081</v>
      </c>
      <c r="BV3510" t="s">
        <v>86</v>
      </c>
      <c r="BY3510">
        <v>4434.1400000000003</v>
      </c>
      <c r="CA3510" t="s">
        <v>213</v>
      </c>
      <c r="CC3510" t="s">
        <v>91</v>
      </c>
      <c r="CD3510">
        <v>7441</v>
      </c>
      <c r="CE3510" t="s">
        <v>88</v>
      </c>
      <c r="CF3510" s="3">
        <v>43798</v>
      </c>
      <c r="CI3510">
        <v>1</v>
      </c>
      <c r="CJ3510">
        <v>1</v>
      </c>
      <c r="CK3510">
        <v>21</v>
      </c>
      <c r="CL3510" t="s">
        <v>89</v>
      </c>
    </row>
    <row r="3511" spans="1:90">
      <c r="A3511" t="s">
        <v>72</v>
      </c>
      <c r="B3511" t="s">
        <v>73</v>
      </c>
      <c r="C3511" t="s">
        <v>74</v>
      </c>
      <c r="E3511" t="str">
        <f>"FES1162725414"</f>
        <v>FES1162725414</v>
      </c>
      <c r="F3511" s="3">
        <v>43796</v>
      </c>
      <c r="G3511">
        <v>202005</v>
      </c>
      <c r="H3511" t="s">
        <v>75</v>
      </c>
      <c r="I3511" t="s">
        <v>76</v>
      </c>
      <c r="J3511" t="s">
        <v>77</v>
      </c>
      <c r="K3511" t="s">
        <v>78</v>
      </c>
      <c r="L3511" t="s">
        <v>90</v>
      </c>
      <c r="M3511" t="s">
        <v>91</v>
      </c>
      <c r="N3511" t="s">
        <v>401</v>
      </c>
      <c r="O3511" t="s">
        <v>82</v>
      </c>
      <c r="P3511" t="str">
        <f>"2170719168                    "</f>
        <v xml:space="preserve">2170719168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12.87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2.1</v>
      </c>
      <c r="BJ3511">
        <v>3</v>
      </c>
      <c r="BK3511">
        <v>3</v>
      </c>
      <c r="BL3511" s="4">
        <v>75.66</v>
      </c>
      <c r="BM3511" s="4">
        <v>11.35</v>
      </c>
      <c r="BN3511" s="4">
        <v>87.01</v>
      </c>
      <c r="BO3511" s="4">
        <v>87.01</v>
      </c>
      <c r="BQ3511" t="s">
        <v>109</v>
      </c>
      <c r="BR3511" t="s">
        <v>84</v>
      </c>
      <c r="BS3511" s="3">
        <v>43797</v>
      </c>
      <c r="BT3511" s="5">
        <v>0.36874999999999997</v>
      </c>
      <c r="BU3511" t="s">
        <v>402</v>
      </c>
      <c r="BV3511" t="s">
        <v>86</v>
      </c>
      <c r="BY3511">
        <v>15117.31</v>
      </c>
      <c r="CA3511" t="s">
        <v>221</v>
      </c>
      <c r="CC3511" t="s">
        <v>91</v>
      </c>
      <c r="CD3511">
        <v>7441</v>
      </c>
      <c r="CE3511" t="s">
        <v>88</v>
      </c>
      <c r="CF3511" s="3">
        <v>43798</v>
      </c>
      <c r="CI3511">
        <v>1</v>
      </c>
      <c r="CJ3511">
        <v>1</v>
      </c>
      <c r="CK3511">
        <v>21</v>
      </c>
      <c r="CL3511" t="s">
        <v>89</v>
      </c>
    </row>
    <row r="3512" spans="1:90">
      <c r="A3512" t="s">
        <v>72</v>
      </c>
      <c r="B3512" t="s">
        <v>73</v>
      </c>
      <c r="C3512" t="s">
        <v>74</v>
      </c>
      <c r="E3512" t="str">
        <f>"FES1162725315"</f>
        <v>FES1162725315</v>
      </c>
      <c r="F3512" s="3">
        <v>43796</v>
      </c>
      <c r="G3512">
        <v>202005</v>
      </c>
      <c r="H3512" t="s">
        <v>75</v>
      </c>
      <c r="I3512" t="s">
        <v>76</v>
      </c>
      <c r="J3512" t="s">
        <v>77</v>
      </c>
      <c r="K3512" t="s">
        <v>78</v>
      </c>
      <c r="L3512" t="s">
        <v>101</v>
      </c>
      <c r="M3512" t="s">
        <v>102</v>
      </c>
      <c r="N3512" t="s">
        <v>707</v>
      </c>
      <c r="O3512" t="s">
        <v>82</v>
      </c>
      <c r="P3512" t="str">
        <f>"2170719076                    "</f>
        <v xml:space="preserve">2170719076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8.58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 s="4">
        <v>50.45</v>
      </c>
      <c r="BM3512" s="4">
        <v>7.57</v>
      </c>
      <c r="BN3512" s="4">
        <v>58.02</v>
      </c>
      <c r="BO3512" s="4">
        <v>58.02</v>
      </c>
      <c r="BQ3512" t="s">
        <v>121</v>
      </c>
      <c r="BR3512" t="s">
        <v>84</v>
      </c>
      <c r="BS3512" s="3">
        <v>43797</v>
      </c>
      <c r="BT3512" s="5">
        <v>0.3756944444444445</v>
      </c>
      <c r="BU3512" t="s">
        <v>708</v>
      </c>
      <c r="BV3512" t="s">
        <v>86</v>
      </c>
      <c r="BY3512">
        <v>1200</v>
      </c>
      <c r="CA3512" t="s">
        <v>709</v>
      </c>
      <c r="CC3512" t="s">
        <v>102</v>
      </c>
      <c r="CD3512">
        <v>1</v>
      </c>
      <c r="CE3512" t="s">
        <v>147</v>
      </c>
      <c r="CF3512" s="3">
        <v>43798</v>
      </c>
      <c r="CI3512">
        <v>1</v>
      </c>
      <c r="CJ3512">
        <v>1</v>
      </c>
      <c r="CK3512">
        <v>21</v>
      </c>
      <c r="CL3512" t="s">
        <v>89</v>
      </c>
    </row>
    <row r="3513" spans="1:90">
      <c r="A3513" t="s">
        <v>72</v>
      </c>
      <c r="B3513" t="s">
        <v>73</v>
      </c>
      <c r="C3513" t="s">
        <v>74</v>
      </c>
      <c r="E3513" t="str">
        <f>"FES1162725351"</f>
        <v>FES1162725351</v>
      </c>
      <c r="F3513" s="3">
        <v>43796</v>
      </c>
      <c r="G3513">
        <v>202005</v>
      </c>
      <c r="H3513" t="s">
        <v>75</v>
      </c>
      <c r="I3513" t="s">
        <v>76</v>
      </c>
      <c r="J3513" t="s">
        <v>77</v>
      </c>
      <c r="K3513" t="s">
        <v>78</v>
      </c>
      <c r="L3513" t="s">
        <v>701</v>
      </c>
      <c r="M3513" t="s">
        <v>702</v>
      </c>
      <c r="N3513" t="s">
        <v>2810</v>
      </c>
      <c r="O3513" t="s">
        <v>82</v>
      </c>
      <c r="P3513" t="str">
        <f>"2170719111                    "</f>
        <v xml:space="preserve">2170719111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12.07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 s="4">
        <v>70.95</v>
      </c>
      <c r="BM3513" s="4">
        <v>10.64</v>
      </c>
      <c r="BN3513" s="4">
        <v>81.59</v>
      </c>
      <c r="BO3513" s="4">
        <v>81.59</v>
      </c>
      <c r="BR3513" t="s">
        <v>84</v>
      </c>
      <c r="BS3513" s="3">
        <v>43797</v>
      </c>
      <c r="BT3513" s="5">
        <v>0.39583333333333331</v>
      </c>
      <c r="BU3513" t="s">
        <v>3267</v>
      </c>
      <c r="BV3513" t="s">
        <v>86</v>
      </c>
      <c r="BY3513">
        <v>1200</v>
      </c>
      <c r="CA3513" t="s">
        <v>1546</v>
      </c>
      <c r="CC3513" t="s">
        <v>702</v>
      </c>
      <c r="CD3513">
        <v>299</v>
      </c>
      <c r="CE3513" t="s">
        <v>147</v>
      </c>
      <c r="CI3513">
        <v>1</v>
      </c>
      <c r="CJ3513">
        <v>1</v>
      </c>
      <c r="CK3513">
        <v>24</v>
      </c>
      <c r="CL3513" t="s">
        <v>89</v>
      </c>
    </row>
    <row r="3514" spans="1:90">
      <c r="A3514" t="s">
        <v>72</v>
      </c>
      <c r="B3514" t="s">
        <v>73</v>
      </c>
      <c r="C3514" t="s">
        <v>74</v>
      </c>
      <c r="E3514" t="str">
        <f>"FES1162725394"</f>
        <v>FES1162725394</v>
      </c>
      <c r="F3514" s="3">
        <v>43796</v>
      </c>
      <c r="G3514">
        <v>202005</v>
      </c>
      <c r="H3514" t="s">
        <v>75</v>
      </c>
      <c r="I3514" t="s">
        <v>76</v>
      </c>
      <c r="J3514" t="s">
        <v>77</v>
      </c>
      <c r="K3514" t="s">
        <v>78</v>
      </c>
      <c r="L3514" t="s">
        <v>118</v>
      </c>
      <c r="M3514" t="s">
        <v>119</v>
      </c>
      <c r="N3514" t="s">
        <v>120</v>
      </c>
      <c r="O3514" t="s">
        <v>82</v>
      </c>
      <c r="P3514" t="str">
        <f>"2170719147                    "</f>
        <v xml:space="preserve">2170719147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8.58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 s="4">
        <v>50.45</v>
      </c>
      <c r="BM3514" s="4">
        <v>7.57</v>
      </c>
      <c r="BN3514" s="4">
        <v>58.02</v>
      </c>
      <c r="BO3514" s="4">
        <v>58.02</v>
      </c>
      <c r="BQ3514" t="s">
        <v>121</v>
      </c>
      <c r="BR3514" t="s">
        <v>84</v>
      </c>
      <c r="BS3514" s="3">
        <v>43797</v>
      </c>
      <c r="BT3514" s="5">
        <v>0.3611111111111111</v>
      </c>
      <c r="BU3514" t="s">
        <v>623</v>
      </c>
      <c r="BV3514" t="s">
        <v>86</v>
      </c>
      <c r="BY3514">
        <v>1200</v>
      </c>
      <c r="CA3514" t="s">
        <v>435</v>
      </c>
      <c r="CC3514" t="s">
        <v>119</v>
      </c>
      <c r="CD3514">
        <v>3201</v>
      </c>
      <c r="CE3514" t="s">
        <v>147</v>
      </c>
      <c r="CF3514" s="3">
        <v>43798</v>
      </c>
      <c r="CI3514">
        <v>1</v>
      </c>
      <c r="CJ3514">
        <v>1</v>
      </c>
      <c r="CK3514">
        <v>21</v>
      </c>
      <c r="CL3514" t="s">
        <v>89</v>
      </c>
    </row>
    <row r="3515" spans="1:90">
      <c r="A3515" t="s">
        <v>72</v>
      </c>
      <c r="B3515" t="s">
        <v>73</v>
      </c>
      <c r="C3515" t="s">
        <v>74</v>
      </c>
      <c r="E3515" t="str">
        <f>"FES1162725388"</f>
        <v>FES1162725388</v>
      </c>
      <c r="F3515" s="3">
        <v>43796</v>
      </c>
      <c r="G3515">
        <v>202005</v>
      </c>
      <c r="H3515" t="s">
        <v>75</v>
      </c>
      <c r="I3515" t="s">
        <v>76</v>
      </c>
      <c r="J3515" t="s">
        <v>77</v>
      </c>
      <c r="K3515" t="s">
        <v>78</v>
      </c>
      <c r="L3515" t="s">
        <v>133</v>
      </c>
      <c r="M3515" t="s">
        <v>134</v>
      </c>
      <c r="N3515" t="s">
        <v>735</v>
      </c>
      <c r="O3515" t="s">
        <v>82</v>
      </c>
      <c r="P3515" t="str">
        <f>"2170716862                    "</f>
        <v xml:space="preserve">2170716862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27.88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6.2</v>
      </c>
      <c r="BJ3515">
        <v>1.9</v>
      </c>
      <c r="BK3515">
        <v>6.5</v>
      </c>
      <c r="BL3515" s="4">
        <v>163.89</v>
      </c>
      <c r="BM3515" s="4">
        <v>24.58</v>
      </c>
      <c r="BN3515" s="4">
        <v>188.47</v>
      </c>
      <c r="BO3515" s="4">
        <v>188.47</v>
      </c>
      <c r="BQ3515" t="s">
        <v>109</v>
      </c>
      <c r="BR3515" t="s">
        <v>84</v>
      </c>
      <c r="BS3515" s="3">
        <v>43797</v>
      </c>
      <c r="BT3515" s="5">
        <v>0.39166666666666666</v>
      </c>
      <c r="BU3515" t="s">
        <v>3145</v>
      </c>
      <c r="BV3515" t="s">
        <v>86</v>
      </c>
      <c r="BY3515">
        <v>9613.2999999999993</v>
      </c>
      <c r="CA3515" t="s">
        <v>698</v>
      </c>
      <c r="CC3515" t="s">
        <v>134</v>
      </c>
      <c r="CD3515">
        <v>5201</v>
      </c>
      <c r="CE3515" t="s">
        <v>1598</v>
      </c>
      <c r="CF3515" s="3">
        <v>43798</v>
      </c>
      <c r="CI3515">
        <v>1</v>
      </c>
      <c r="CJ3515">
        <v>1</v>
      </c>
      <c r="CK3515">
        <v>21</v>
      </c>
      <c r="CL3515" t="s">
        <v>89</v>
      </c>
    </row>
    <row r="3516" spans="1:90">
      <c r="A3516" t="s">
        <v>72</v>
      </c>
      <c r="B3516" t="s">
        <v>73</v>
      </c>
      <c r="C3516" t="s">
        <v>74</v>
      </c>
      <c r="E3516" t="str">
        <f>"FES1162725384"</f>
        <v>FES1162725384</v>
      </c>
      <c r="F3516" s="3">
        <v>43796</v>
      </c>
      <c r="G3516">
        <v>202005</v>
      </c>
      <c r="H3516" t="s">
        <v>75</v>
      </c>
      <c r="I3516" t="s">
        <v>76</v>
      </c>
      <c r="J3516" t="s">
        <v>77</v>
      </c>
      <c r="K3516" t="s">
        <v>78</v>
      </c>
      <c r="L3516" t="s">
        <v>270</v>
      </c>
      <c r="M3516" t="s">
        <v>271</v>
      </c>
      <c r="N3516" t="s">
        <v>618</v>
      </c>
      <c r="O3516" t="s">
        <v>82</v>
      </c>
      <c r="P3516" t="str">
        <f>"2170718615                    "</f>
        <v xml:space="preserve">2170718615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8.58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0.2</v>
      </c>
      <c r="BJ3516">
        <v>1.1000000000000001</v>
      </c>
      <c r="BK3516">
        <v>1.5</v>
      </c>
      <c r="BL3516" s="4">
        <v>50.45</v>
      </c>
      <c r="BM3516" s="4">
        <v>7.57</v>
      </c>
      <c r="BN3516" s="4">
        <v>58.02</v>
      </c>
      <c r="BO3516" s="4">
        <v>58.02</v>
      </c>
      <c r="BQ3516" t="s">
        <v>121</v>
      </c>
      <c r="BR3516" t="s">
        <v>84</v>
      </c>
      <c r="BS3516" s="3">
        <v>43797</v>
      </c>
      <c r="BT3516" s="5">
        <v>0.33888888888888885</v>
      </c>
      <c r="BU3516" t="s">
        <v>619</v>
      </c>
      <c r="BV3516" t="s">
        <v>86</v>
      </c>
      <c r="BY3516">
        <v>5627.7</v>
      </c>
      <c r="CA3516" t="s">
        <v>773</v>
      </c>
      <c r="CC3516" t="s">
        <v>271</v>
      </c>
      <c r="CD3516">
        <v>6220</v>
      </c>
      <c r="CE3516" t="s">
        <v>88</v>
      </c>
      <c r="CF3516" s="3">
        <v>43798</v>
      </c>
      <c r="CI3516">
        <v>1</v>
      </c>
      <c r="CJ3516">
        <v>1</v>
      </c>
      <c r="CK3516">
        <v>21</v>
      </c>
      <c r="CL3516" t="s">
        <v>89</v>
      </c>
    </row>
    <row r="3517" spans="1:90">
      <c r="A3517" t="s">
        <v>72</v>
      </c>
      <c r="B3517" t="s">
        <v>73</v>
      </c>
      <c r="C3517" t="s">
        <v>74</v>
      </c>
      <c r="E3517" t="str">
        <f>"FES1162725371"</f>
        <v>FES1162725371</v>
      </c>
      <c r="F3517" s="3">
        <v>43796</v>
      </c>
      <c r="G3517">
        <v>202005</v>
      </c>
      <c r="H3517" t="s">
        <v>75</v>
      </c>
      <c r="I3517" t="s">
        <v>76</v>
      </c>
      <c r="J3517" t="s">
        <v>77</v>
      </c>
      <c r="K3517" t="s">
        <v>78</v>
      </c>
      <c r="L3517" t="s">
        <v>339</v>
      </c>
      <c r="M3517" t="s">
        <v>340</v>
      </c>
      <c r="N3517" t="s">
        <v>341</v>
      </c>
      <c r="O3517" t="s">
        <v>82</v>
      </c>
      <c r="P3517" t="str">
        <f>"2170718845                    "</f>
        <v xml:space="preserve">2170718845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8.58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 s="4">
        <v>50.45</v>
      </c>
      <c r="BM3517" s="4">
        <v>7.57</v>
      </c>
      <c r="BN3517" s="4">
        <v>58.02</v>
      </c>
      <c r="BO3517" s="4">
        <v>58.02</v>
      </c>
      <c r="BQ3517" t="s">
        <v>109</v>
      </c>
      <c r="BR3517" t="s">
        <v>84</v>
      </c>
      <c r="BS3517" s="3">
        <v>43797</v>
      </c>
      <c r="BT3517" s="5">
        <v>0.4055555555555555</v>
      </c>
      <c r="BU3517" t="s">
        <v>342</v>
      </c>
      <c r="BV3517" t="s">
        <v>86</v>
      </c>
      <c r="BY3517">
        <v>1200</v>
      </c>
      <c r="CA3517" t="s">
        <v>343</v>
      </c>
      <c r="CC3517" t="s">
        <v>340</v>
      </c>
      <c r="CD3517">
        <v>157</v>
      </c>
      <c r="CE3517" t="s">
        <v>147</v>
      </c>
      <c r="CF3517" s="3">
        <v>43798</v>
      </c>
      <c r="CI3517">
        <v>1</v>
      </c>
      <c r="CJ3517">
        <v>1</v>
      </c>
      <c r="CK3517">
        <v>21</v>
      </c>
      <c r="CL3517" t="s">
        <v>89</v>
      </c>
    </row>
    <row r="3518" spans="1:90">
      <c r="A3518" t="s">
        <v>72</v>
      </c>
      <c r="B3518" t="s">
        <v>73</v>
      </c>
      <c r="C3518" t="s">
        <v>74</v>
      </c>
      <c r="E3518" t="str">
        <f>"FES1162725332"</f>
        <v>FES1162725332</v>
      </c>
      <c r="F3518" s="3">
        <v>43796</v>
      </c>
      <c r="G3518">
        <v>202005</v>
      </c>
      <c r="H3518" t="s">
        <v>75</v>
      </c>
      <c r="I3518" t="s">
        <v>76</v>
      </c>
      <c r="J3518" t="s">
        <v>77</v>
      </c>
      <c r="K3518" t="s">
        <v>78</v>
      </c>
      <c r="L3518" t="s">
        <v>124</v>
      </c>
      <c r="M3518" t="s">
        <v>125</v>
      </c>
      <c r="N3518" t="s">
        <v>3268</v>
      </c>
      <c r="O3518" t="s">
        <v>82</v>
      </c>
      <c r="P3518" t="str">
        <f>"2170719091                    "</f>
        <v xml:space="preserve">2170719091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9.1199999999999992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1.9</v>
      </c>
      <c r="BJ3518">
        <v>3.1</v>
      </c>
      <c r="BK3518">
        <v>3.5</v>
      </c>
      <c r="BL3518" s="4">
        <v>53.59</v>
      </c>
      <c r="BM3518" s="4">
        <v>8.0399999999999991</v>
      </c>
      <c r="BN3518" s="4">
        <v>61.63</v>
      </c>
      <c r="BO3518" s="4">
        <v>61.63</v>
      </c>
      <c r="BR3518" t="s">
        <v>84</v>
      </c>
      <c r="BS3518" s="3">
        <v>43797</v>
      </c>
      <c r="BT3518" s="5">
        <v>0.375</v>
      </c>
      <c r="BU3518" t="s">
        <v>694</v>
      </c>
      <c r="BV3518" t="s">
        <v>86</v>
      </c>
      <c r="BY3518">
        <v>15476.16</v>
      </c>
      <c r="CC3518" t="s">
        <v>125</v>
      </c>
      <c r="CD3518">
        <v>2191</v>
      </c>
      <c r="CE3518" t="s">
        <v>88</v>
      </c>
      <c r="CI3518">
        <v>1</v>
      </c>
      <c r="CJ3518">
        <v>1</v>
      </c>
      <c r="CK3518">
        <v>22</v>
      </c>
      <c r="CL3518" t="s">
        <v>89</v>
      </c>
    </row>
    <row r="3519" spans="1:90">
      <c r="A3519" t="s">
        <v>72</v>
      </c>
      <c r="B3519" t="s">
        <v>73</v>
      </c>
      <c r="C3519" t="s">
        <v>74</v>
      </c>
      <c r="E3519" t="str">
        <f>"FES1162725251"</f>
        <v>FES1162725251</v>
      </c>
      <c r="F3519" s="3">
        <v>43796</v>
      </c>
      <c r="G3519">
        <v>202005</v>
      </c>
      <c r="H3519" t="s">
        <v>75</v>
      </c>
      <c r="I3519" t="s">
        <v>76</v>
      </c>
      <c r="J3519" t="s">
        <v>77</v>
      </c>
      <c r="K3519" t="s">
        <v>78</v>
      </c>
      <c r="L3519" t="s">
        <v>578</v>
      </c>
      <c r="M3519" t="s">
        <v>579</v>
      </c>
      <c r="N3519" t="s">
        <v>1532</v>
      </c>
      <c r="O3519" t="s">
        <v>82</v>
      </c>
      <c r="P3519" t="str">
        <f>"2170718985                    "</f>
        <v xml:space="preserve">2170718985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19.3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2</v>
      </c>
      <c r="BJ3519">
        <v>4.0999999999999996</v>
      </c>
      <c r="BK3519">
        <v>4.5</v>
      </c>
      <c r="BL3519" s="4">
        <v>113.47</v>
      </c>
      <c r="BM3519" s="4">
        <v>17.02</v>
      </c>
      <c r="BN3519" s="4">
        <v>130.49</v>
      </c>
      <c r="BO3519" s="4">
        <v>130.49</v>
      </c>
      <c r="BQ3519" t="s">
        <v>121</v>
      </c>
      <c r="BR3519" t="s">
        <v>84</v>
      </c>
      <c r="BS3519" s="3">
        <v>43797</v>
      </c>
      <c r="BT3519" s="5">
        <v>0.39374999999999999</v>
      </c>
      <c r="BU3519" t="s">
        <v>1896</v>
      </c>
      <c r="BV3519" t="s">
        <v>86</v>
      </c>
      <c r="BY3519">
        <v>20358</v>
      </c>
      <c r="CA3519" t="s">
        <v>1022</v>
      </c>
      <c r="CC3519" t="s">
        <v>579</v>
      </c>
      <c r="CD3519">
        <v>7600</v>
      </c>
      <c r="CE3519" t="s">
        <v>88</v>
      </c>
      <c r="CF3519" s="3">
        <v>43798</v>
      </c>
      <c r="CI3519">
        <v>1</v>
      </c>
      <c r="CJ3519">
        <v>1</v>
      </c>
      <c r="CK3519">
        <v>21</v>
      </c>
      <c r="CL3519" t="s">
        <v>89</v>
      </c>
    </row>
    <row r="3520" spans="1:90">
      <c r="A3520" t="s">
        <v>72</v>
      </c>
      <c r="B3520" t="s">
        <v>73</v>
      </c>
      <c r="C3520" t="s">
        <v>74</v>
      </c>
      <c r="E3520" t="str">
        <f>"FES1162725331"</f>
        <v>FES1162725331</v>
      </c>
      <c r="F3520" s="3">
        <v>43796</v>
      </c>
      <c r="G3520">
        <v>202005</v>
      </c>
      <c r="H3520" t="s">
        <v>75</v>
      </c>
      <c r="I3520" t="s">
        <v>76</v>
      </c>
      <c r="J3520" t="s">
        <v>77</v>
      </c>
      <c r="K3520" t="s">
        <v>78</v>
      </c>
      <c r="L3520" t="s">
        <v>225</v>
      </c>
      <c r="M3520" t="s">
        <v>226</v>
      </c>
      <c r="N3520" t="s">
        <v>1006</v>
      </c>
      <c r="O3520" t="s">
        <v>82</v>
      </c>
      <c r="P3520" t="str">
        <f>"2170719090                    "</f>
        <v xml:space="preserve">2170719090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12.87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2.8</v>
      </c>
      <c r="BJ3520">
        <v>1</v>
      </c>
      <c r="BK3520">
        <v>3</v>
      </c>
      <c r="BL3520" s="4">
        <v>75.66</v>
      </c>
      <c r="BM3520" s="4">
        <v>11.35</v>
      </c>
      <c r="BN3520" s="4">
        <v>87.01</v>
      </c>
      <c r="BO3520" s="4">
        <v>87.01</v>
      </c>
      <c r="BQ3520" t="s">
        <v>121</v>
      </c>
      <c r="BR3520" t="s">
        <v>84</v>
      </c>
      <c r="BS3520" s="3">
        <v>43797</v>
      </c>
      <c r="BT3520" s="5">
        <v>0.4368055555555555</v>
      </c>
      <c r="BU3520" t="s">
        <v>2943</v>
      </c>
      <c r="BV3520" t="s">
        <v>86</v>
      </c>
      <c r="BY3520">
        <v>4823.38</v>
      </c>
      <c r="CA3520" t="s">
        <v>255</v>
      </c>
      <c r="CC3520" t="s">
        <v>226</v>
      </c>
      <c r="CD3520">
        <v>4026</v>
      </c>
      <c r="CE3520" t="s">
        <v>88</v>
      </c>
      <c r="CF3520" s="3">
        <v>43798</v>
      </c>
      <c r="CI3520">
        <v>1</v>
      </c>
      <c r="CJ3520">
        <v>1</v>
      </c>
      <c r="CK3520">
        <v>21</v>
      </c>
      <c r="CL3520" t="s">
        <v>89</v>
      </c>
    </row>
    <row r="3521" spans="1:90">
      <c r="A3521" t="s">
        <v>72</v>
      </c>
      <c r="B3521" t="s">
        <v>73</v>
      </c>
      <c r="C3521" t="s">
        <v>74</v>
      </c>
      <c r="E3521" t="str">
        <f>"FES1162725194"</f>
        <v>FES1162725194</v>
      </c>
      <c r="F3521" s="3">
        <v>43796</v>
      </c>
      <c r="G3521">
        <v>202005</v>
      </c>
      <c r="H3521" t="s">
        <v>75</v>
      </c>
      <c r="I3521" t="s">
        <v>76</v>
      </c>
      <c r="J3521" t="s">
        <v>77</v>
      </c>
      <c r="K3521" t="s">
        <v>78</v>
      </c>
      <c r="L3521" t="s">
        <v>578</v>
      </c>
      <c r="M3521" t="s">
        <v>579</v>
      </c>
      <c r="N3521" t="s">
        <v>1020</v>
      </c>
      <c r="O3521" t="s">
        <v>82</v>
      </c>
      <c r="P3521" t="str">
        <f>"2170716023                    "</f>
        <v xml:space="preserve">2170716023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19.3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4</v>
      </c>
      <c r="BJ3521">
        <v>4.0999999999999996</v>
      </c>
      <c r="BK3521">
        <v>4.5</v>
      </c>
      <c r="BL3521" s="4">
        <v>113.47</v>
      </c>
      <c r="BM3521" s="4">
        <v>17.02</v>
      </c>
      <c r="BN3521" s="4">
        <v>130.49</v>
      </c>
      <c r="BO3521" s="4">
        <v>130.49</v>
      </c>
      <c r="BQ3521" t="s">
        <v>121</v>
      </c>
      <c r="BR3521" t="s">
        <v>84</v>
      </c>
      <c r="BS3521" s="3">
        <v>43797</v>
      </c>
      <c r="BT3521" s="5">
        <v>0.36736111111111108</v>
      </c>
      <c r="BU3521" t="s">
        <v>1305</v>
      </c>
      <c r="BV3521" t="s">
        <v>86</v>
      </c>
      <c r="BY3521">
        <v>20358</v>
      </c>
      <c r="CA3521" t="s">
        <v>1022</v>
      </c>
      <c r="CC3521" t="s">
        <v>579</v>
      </c>
      <c r="CD3521">
        <v>7600</v>
      </c>
      <c r="CE3521" t="s">
        <v>88</v>
      </c>
      <c r="CF3521" s="3">
        <v>43798</v>
      </c>
      <c r="CI3521">
        <v>1</v>
      </c>
      <c r="CJ3521">
        <v>1</v>
      </c>
      <c r="CK3521">
        <v>21</v>
      </c>
      <c r="CL3521" t="s">
        <v>89</v>
      </c>
    </row>
    <row r="3522" spans="1:90">
      <c r="A3522" t="s">
        <v>72</v>
      </c>
      <c r="B3522" t="s">
        <v>73</v>
      </c>
      <c r="C3522" t="s">
        <v>74</v>
      </c>
      <c r="E3522" t="str">
        <f>"FES1162725320"</f>
        <v>FES1162725320</v>
      </c>
      <c r="F3522" s="3">
        <v>43796</v>
      </c>
      <c r="G3522">
        <v>202005</v>
      </c>
      <c r="H3522" t="s">
        <v>75</v>
      </c>
      <c r="I3522" t="s">
        <v>76</v>
      </c>
      <c r="J3522" t="s">
        <v>77</v>
      </c>
      <c r="K3522" t="s">
        <v>78</v>
      </c>
      <c r="L3522" t="s">
        <v>578</v>
      </c>
      <c r="M3522" t="s">
        <v>579</v>
      </c>
      <c r="N3522" t="s">
        <v>1020</v>
      </c>
      <c r="O3522" t="s">
        <v>82</v>
      </c>
      <c r="P3522" t="str">
        <f>"2170719085                    "</f>
        <v xml:space="preserve">2170719085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8.58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 s="4">
        <v>50.45</v>
      </c>
      <c r="BM3522" s="4">
        <v>7.57</v>
      </c>
      <c r="BN3522" s="4">
        <v>58.02</v>
      </c>
      <c r="BO3522" s="4">
        <v>58.02</v>
      </c>
      <c r="BQ3522" t="s">
        <v>121</v>
      </c>
      <c r="BR3522" t="s">
        <v>84</v>
      </c>
      <c r="BS3522" s="3">
        <v>43797</v>
      </c>
      <c r="BT3522" s="5">
        <v>0.36805555555555558</v>
      </c>
      <c r="BU3522" t="s">
        <v>1305</v>
      </c>
      <c r="BV3522" t="s">
        <v>86</v>
      </c>
      <c r="BY3522">
        <v>1200</v>
      </c>
      <c r="CA3522" t="s">
        <v>1022</v>
      </c>
      <c r="CC3522" t="s">
        <v>579</v>
      </c>
      <c r="CD3522">
        <v>7600</v>
      </c>
      <c r="CE3522" t="s">
        <v>147</v>
      </c>
      <c r="CF3522" s="3">
        <v>43798</v>
      </c>
      <c r="CI3522">
        <v>1</v>
      </c>
      <c r="CJ3522">
        <v>1</v>
      </c>
      <c r="CK3522">
        <v>21</v>
      </c>
      <c r="CL3522" t="s">
        <v>89</v>
      </c>
    </row>
    <row r="3523" spans="1:90">
      <c r="A3523" t="s">
        <v>72</v>
      </c>
      <c r="B3523" t="s">
        <v>73</v>
      </c>
      <c r="C3523" t="s">
        <v>74</v>
      </c>
      <c r="E3523" t="str">
        <f>"FES1162725270"</f>
        <v>FES1162725270</v>
      </c>
      <c r="F3523" s="3">
        <v>43796</v>
      </c>
      <c r="G3523">
        <v>202005</v>
      </c>
      <c r="H3523" t="s">
        <v>75</v>
      </c>
      <c r="I3523" t="s">
        <v>76</v>
      </c>
      <c r="J3523" t="s">
        <v>77</v>
      </c>
      <c r="K3523" t="s">
        <v>78</v>
      </c>
      <c r="L3523" t="s">
        <v>90</v>
      </c>
      <c r="M3523" t="s">
        <v>91</v>
      </c>
      <c r="N3523" t="s">
        <v>576</v>
      </c>
      <c r="O3523" t="s">
        <v>82</v>
      </c>
      <c r="P3523" t="str">
        <f>"2170719011                    "</f>
        <v xml:space="preserve">2170719011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10.73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2.1</v>
      </c>
      <c r="BJ3523">
        <v>0.9</v>
      </c>
      <c r="BK3523">
        <v>2.5</v>
      </c>
      <c r="BL3523" s="4">
        <v>63.06</v>
      </c>
      <c r="BM3523" s="4">
        <v>9.4600000000000009</v>
      </c>
      <c r="BN3523" s="4">
        <v>72.52</v>
      </c>
      <c r="BO3523" s="4">
        <v>72.52</v>
      </c>
      <c r="BQ3523" t="s">
        <v>109</v>
      </c>
      <c r="BR3523" t="s">
        <v>84</v>
      </c>
      <c r="BS3523" s="3">
        <v>43797</v>
      </c>
      <c r="BT3523" s="5">
        <v>0.38125000000000003</v>
      </c>
      <c r="BU3523" t="s">
        <v>2081</v>
      </c>
      <c r="BV3523" t="s">
        <v>86</v>
      </c>
      <c r="BY3523">
        <v>4267</v>
      </c>
      <c r="CA3523" t="s">
        <v>213</v>
      </c>
      <c r="CC3523" t="s">
        <v>91</v>
      </c>
      <c r="CD3523">
        <v>7441</v>
      </c>
      <c r="CE3523" t="s">
        <v>1598</v>
      </c>
      <c r="CF3523" s="3">
        <v>43798</v>
      </c>
      <c r="CI3523">
        <v>1</v>
      </c>
      <c r="CJ3523">
        <v>1</v>
      </c>
      <c r="CK3523">
        <v>21</v>
      </c>
      <c r="CL3523" t="s">
        <v>89</v>
      </c>
    </row>
    <row r="3524" spans="1:90">
      <c r="A3524" t="s">
        <v>72</v>
      </c>
      <c r="B3524" t="s">
        <v>73</v>
      </c>
      <c r="C3524" t="s">
        <v>74</v>
      </c>
      <c r="E3524" t="str">
        <f>"FES1162725360"</f>
        <v>FES1162725360</v>
      </c>
      <c r="F3524" s="3">
        <v>43796</v>
      </c>
      <c r="G3524">
        <v>202005</v>
      </c>
      <c r="H3524" t="s">
        <v>75</v>
      </c>
      <c r="I3524" t="s">
        <v>76</v>
      </c>
      <c r="J3524" t="s">
        <v>77</v>
      </c>
      <c r="K3524" t="s">
        <v>78</v>
      </c>
      <c r="L3524" t="s">
        <v>79</v>
      </c>
      <c r="M3524" t="s">
        <v>80</v>
      </c>
      <c r="N3524" t="s">
        <v>3269</v>
      </c>
      <c r="O3524" t="s">
        <v>82</v>
      </c>
      <c r="P3524" t="str">
        <f>"2170719115                    "</f>
        <v xml:space="preserve">2170719115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8.58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 s="4">
        <v>50.45</v>
      </c>
      <c r="BM3524" s="4">
        <v>7.57</v>
      </c>
      <c r="BN3524" s="4">
        <v>58.02</v>
      </c>
      <c r="BO3524" s="4">
        <v>58.02</v>
      </c>
      <c r="BQ3524" t="s">
        <v>1587</v>
      </c>
      <c r="BR3524" t="s">
        <v>84</v>
      </c>
      <c r="BS3524" s="3">
        <v>43797</v>
      </c>
      <c r="BT3524" s="5">
        <v>0.38263888888888892</v>
      </c>
      <c r="BU3524" t="s">
        <v>2119</v>
      </c>
      <c r="BV3524" t="s">
        <v>86</v>
      </c>
      <c r="BY3524">
        <v>1200</v>
      </c>
      <c r="CA3524" t="s">
        <v>87</v>
      </c>
      <c r="CC3524" t="s">
        <v>80</v>
      </c>
      <c r="CD3524">
        <v>6229</v>
      </c>
      <c r="CE3524" t="s">
        <v>147</v>
      </c>
      <c r="CF3524" s="3">
        <v>43798</v>
      </c>
      <c r="CI3524">
        <v>1</v>
      </c>
      <c r="CJ3524">
        <v>1</v>
      </c>
      <c r="CK3524">
        <v>21</v>
      </c>
      <c r="CL3524" t="s">
        <v>89</v>
      </c>
    </row>
    <row r="3525" spans="1:90">
      <c r="A3525" t="s">
        <v>72</v>
      </c>
      <c r="B3525" t="s">
        <v>73</v>
      </c>
      <c r="C3525" t="s">
        <v>74</v>
      </c>
      <c r="E3525" t="str">
        <f>"FES1162725295"</f>
        <v>FES1162725295</v>
      </c>
      <c r="F3525" s="3">
        <v>43796</v>
      </c>
      <c r="G3525">
        <v>202005</v>
      </c>
      <c r="H3525" t="s">
        <v>75</v>
      </c>
      <c r="I3525" t="s">
        <v>76</v>
      </c>
      <c r="J3525" t="s">
        <v>77</v>
      </c>
      <c r="K3525" t="s">
        <v>78</v>
      </c>
      <c r="L3525" t="s">
        <v>90</v>
      </c>
      <c r="M3525" t="s">
        <v>91</v>
      </c>
      <c r="N3525" t="s">
        <v>230</v>
      </c>
      <c r="O3525" t="s">
        <v>82</v>
      </c>
      <c r="P3525" t="str">
        <f>"2170719048                    "</f>
        <v xml:space="preserve">2170719048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8.58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1.9</v>
      </c>
      <c r="BJ3525">
        <v>0.9</v>
      </c>
      <c r="BK3525">
        <v>2</v>
      </c>
      <c r="BL3525" s="4">
        <v>50.45</v>
      </c>
      <c r="BM3525" s="4">
        <v>7.57</v>
      </c>
      <c r="BN3525" s="4">
        <v>58.02</v>
      </c>
      <c r="BO3525" s="4">
        <v>58.02</v>
      </c>
      <c r="BQ3525" t="s">
        <v>121</v>
      </c>
      <c r="BR3525" t="s">
        <v>84</v>
      </c>
      <c r="BS3525" s="3">
        <v>43797</v>
      </c>
      <c r="BT3525" s="5">
        <v>0.36944444444444446</v>
      </c>
      <c r="BU3525" t="s">
        <v>3270</v>
      </c>
      <c r="BV3525" t="s">
        <v>86</v>
      </c>
      <c r="BY3525">
        <v>4396.53</v>
      </c>
      <c r="CA3525" t="s">
        <v>680</v>
      </c>
      <c r="CC3525" t="s">
        <v>91</v>
      </c>
      <c r="CD3525">
        <v>7490</v>
      </c>
      <c r="CE3525" t="s">
        <v>88</v>
      </c>
      <c r="CF3525" s="3">
        <v>43798</v>
      </c>
      <c r="CI3525">
        <v>1</v>
      </c>
      <c r="CJ3525">
        <v>1</v>
      </c>
      <c r="CK3525">
        <v>21</v>
      </c>
      <c r="CL3525" t="s">
        <v>89</v>
      </c>
    </row>
    <row r="3526" spans="1:90">
      <c r="A3526" t="s">
        <v>72</v>
      </c>
      <c r="B3526" t="s">
        <v>73</v>
      </c>
      <c r="C3526" t="s">
        <v>74</v>
      </c>
      <c r="E3526" t="str">
        <f>"FES1162725335"</f>
        <v>FES1162725335</v>
      </c>
      <c r="F3526" s="3">
        <v>43796</v>
      </c>
      <c r="G3526">
        <v>202005</v>
      </c>
      <c r="H3526" t="s">
        <v>75</v>
      </c>
      <c r="I3526" t="s">
        <v>76</v>
      </c>
      <c r="J3526" t="s">
        <v>77</v>
      </c>
      <c r="K3526" t="s">
        <v>78</v>
      </c>
      <c r="L3526" t="s">
        <v>75</v>
      </c>
      <c r="M3526" t="s">
        <v>76</v>
      </c>
      <c r="N3526" t="s">
        <v>464</v>
      </c>
      <c r="O3526" t="s">
        <v>82</v>
      </c>
      <c r="P3526" t="str">
        <f>"2170719095                    "</f>
        <v xml:space="preserve">2170719095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6.71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 s="4">
        <v>39.42</v>
      </c>
      <c r="BM3526" s="4">
        <v>5.91</v>
      </c>
      <c r="BN3526" s="4">
        <v>45.33</v>
      </c>
      <c r="BO3526" s="4">
        <v>45.33</v>
      </c>
      <c r="BR3526" t="s">
        <v>84</v>
      </c>
      <c r="BS3526" s="3">
        <v>43797</v>
      </c>
      <c r="BT3526" s="5">
        <v>0.35347222222222219</v>
      </c>
      <c r="BU3526" t="s">
        <v>3271</v>
      </c>
      <c r="BV3526" t="s">
        <v>86</v>
      </c>
      <c r="BY3526">
        <v>1200</v>
      </c>
      <c r="CA3526" t="s">
        <v>123</v>
      </c>
      <c r="CC3526" t="s">
        <v>76</v>
      </c>
      <c r="CD3526">
        <v>1682</v>
      </c>
      <c r="CE3526" t="s">
        <v>147</v>
      </c>
      <c r="CI3526">
        <v>1</v>
      </c>
      <c r="CJ3526">
        <v>1</v>
      </c>
      <c r="CK3526">
        <v>22</v>
      </c>
      <c r="CL3526" t="s">
        <v>89</v>
      </c>
    </row>
    <row r="3527" spans="1:90">
      <c r="A3527" t="s">
        <v>72</v>
      </c>
      <c r="B3527" t="s">
        <v>73</v>
      </c>
      <c r="C3527" t="s">
        <v>74</v>
      </c>
      <c r="E3527" t="str">
        <f>"FES1162725343"</f>
        <v>FES1162725343</v>
      </c>
      <c r="F3527" s="3">
        <v>43796</v>
      </c>
      <c r="G3527">
        <v>202005</v>
      </c>
      <c r="H3527" t="s">
        <v>75</v>
      </c>
      <c r="I3527" t="s">
        <v>76</v>
      </c>
      <c r="J3527" t="s">
        <v>77</v>
      </c>
      <c r="K3527" t="s">
        <v>78</v>
      </c>
      <c r="L3527" t="s">
        <v>95</v>
      </c>
      <c r="M3527" t="s">
        <v>96</v>
      </c>
      <c r="N3527" t="s">
        <v>3272</v>
      </c>
      <c r="O3527" t="s">
        <v>82</v>
      </c>
      <c r="P3527" t="str">
        <f>"2170719103                    "</f>
        <v xml:space="preserve">2170719103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6.71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 s="4">
        <v>39.42</v>
      </c>
      <c r="BM3527" s="4">
        <v>5.91</v>
      </c>
      <c r="BN3527" s="4">
        <v>45.33</v>
      </c>
      <c r="BO3527" s="4">
        <v>45.33</v>
      </c>
      <c r="BQ3527" t="s">
        <v>3273</v>
      </c>
      <c r="BR3527" t="s">
        <v>84</v>
      </c>
      <c r="BS3527" s="3">
        <v>43797</v>
      </c>
      <c r="BT3527" s="5">
        <v>0.3125</v>
      </c>
      <c r="BU3527" t="s">
        <v>694</v>
      </c>
      <c r="BV3527" t="s">
        <v>86</v>
      </c>
      <c r="BY3527">
        <v>1200</v>
      </c>
      <c r="CC3527" t="s">
        <v>96</v>
      </c>
      <c r="CD3527">
        <v>1451</v>
      </c>
      <c r="CE3527" t="s">
        <v>147</v>
      </c>
      <c r="CI3527">
        <v>1</v>
      </c>
      <c r="CJ3527">
        <v>1</v>
      </c>
      <c r="CK3527">
        <v>22</v>
      </c>
      <c r="CL3527" t="s">
        <v>89</v>
      </c>
    </row>
    <row r="3528" spans="1:90">
      <c r="A3528" t="s">
        <v>72</v>
      </c>
      <c r="B3528" t="s">
        <v>73</v>
      </c>
      <c r="C3528" t="s">
        <v>74</v>
      </c>
      <c r="E3528" t="str">
        <f>"FES1162725347"</f>
        <v>FES1162725347</v>
      </c>
      <c r="F3528" s="3">
        <v>43796</v>
      </c>
      <c r="G3528">
        <v>202005</v>
      </c>
      <c r="H3528" t="s">
        <v>75</v>
      </c>
      <c r="I3528" t="s">
        <v>76</v>
      </c>
      <c r="J3528" t="s">
        <v>77</v>
      </c>
      <c r="K3528" t="s">
        <v>78</v>
      </c>
      <c r="L3528" t="s">
        <v>90</v>
      </c>
      <c r="M3528" t="s">
        <v>91</v>
      </c>
      <c r="N3528" t="s">
        <v>527</v>
      </c>
      <c r="O3528" t="s">
        <v>82</v>
      </c>
      <c r="P3528" t="str">
        <f>"2170719109                    "</f>
        <v xml:space="preserve">2170719109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8.58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 s="4">
        <v>50.45</v>
      </c>
      <c r="BM3528" s="4">
        <v>7.57</v>
      </c>
      <c r="BN3528" s="4">
        <v>58.02</v>
      </c>
      <c r="BO3528" s="4">
        <v>58.02</v>
      </c>
      <c r="BQ3528" t="s">
        <v>109</v>
      </c>
      <c r="BR3528" t="s">
        <v>84</v>
      </c>
      <c r="BS3528" s="3">
        <v>43797</v>
      </c>
      <c r="BT3528" s="5">
        <v>0.33888888888888885</v>
      </c>
      <c r="BU3528" t="s">
        <v>2780</v>
      </c>
      <c r="BV3528" t="s">
        <v>86</v>
      </c>
      <c r="BY3528">
        <v>1200</v>
      </c>
      <c r="CA3528" t="s">
        <v>221</v>
      </c>
      <c r="CC3528" t="s">
        <v>91</v>
      </c>
      <c r="CD3528">
        <v>7405</v>
      </c>
      <c r="CE3528" t="s">
        <v>147</v>
      </c>
      <c r="CF3528" s="3">
        <v>43798</v>
      </c>
      <c r="CI3528">
        <v>1</v>
      </c>
      <c r="CJ3528">
        <v>1</v>
      </c>
      <c r="CK3528">
        <v>21</v>
      </c>
      <c r="CL3528" t="s">
        <v>89</v>
      </c>
    </row>
    <row r="3529" spans="1:90">
      <c r="A3529" t="s">
        <v>72</v>
      </c>
      <c r="B3529" t="s">
        <v>73</v>
      </c>
      <c r="C3529" t="s">
        <v>74</v>
      </c>
      <c r="E3529" t="str">
        <f>"FES1162725342"</f>
        <v>FES1162725342</v>
      </c>
      <c r="F3529" s="3">
        <v>43796</v>
      </c>
      <c r="G3529">
        <v>202005</v>
      </c>
      <c r="H3529" t="s">
        <v>75</v>
      </c>
      <c r="I3529" t="s">
        <v>76</v>
      </c>
      <c r="J3529" t="s">
        <v>77</v>
      </c>
      <c r="K3529" t="s">
        <v>78</v>
      </c>
      <c r="L3529" t="s">
        <v>482</v>
      </c>
      <c r="M3529" t="s">
        <v>483</v>
      </c>
      <c r="N3529" t="s">
        <v>3274</v>
      </c>
      <c r="O3529" t="s">
        <v>82</v>
      </c>
      <c r="P3529" t="str">
        <f>"2170719102                    "</f>
        <v xml:space="preserve">2170719102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6.71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 s="4">
        <v>39.42</v>
      </c>
      <c r="BM3529" s="4">
        <v>5.91</v>
      </c>
      <c r="BN3529" s="4">
        <v>45.33</v>
      </c>
      <c r="BO3529" s="4">
        <v>45.33</v>
      </c>
      <c r="BR3529" t="s">
        <v>84</v>
      </c>
      <c r="BS3529" s="3">
        <v>43797</v>
      </c>
      <c r="BT3529" s="5">
        <v>0.33333333333333331</v>
      </c>
      <c r="BU3529" t="s">
        <v>978</v>
      </c>
      <c r="BV3529" t="s">
        <v>86</v>
      </c>
      <c r="BY3529">
        <v>1200</v>
      </c>
      <c r="CC3529" t="s">
        <v>483</v>
      </c>
      <c r="CD3529">
        <v>1460</v>
      </c>
      <c r="CE3529" t="s">
        <v>147</v>
      </c>
      <c r="CI3529">
        <v>1</v>
      </c>
      <c r="CJ3529">
        <v>1</v>
      </c>
      <c r="CK3529">
        <v>22</v>
      </c>
      <c r="CL3529" t="s">
        <v>89</v>
      </c>
    </row>
    <row r="3530" spans="1:90">
      <c r="A3530" t="s">
        <v>72</v>
      </c>
      <c r="B3530" t="s">
        <v>73</v>
      </c>
      <c r="C3530" t="s">
        <v>74</v>
      </c>
      <c r="E3530" t="str">
        <f>"FES1162725330"</f>
        <v>FES1162725330</v>
      </c>
      <c r="F3530" s="3">
        <v>43796</v>
      </c>
      <c r="G3530">
        <v>202005</v>
      </c>
      <c r="H3530" t="s">
        <v>75</v>
      </c>
      <c r="I3530" t="s">
        <v>76</v>
      </c>
      <c r="J3530" t="s">
        <v>77</v>
      </c>
      <c r="K3530" t="s">
        <v>78</v>
      </c>
      <c r="L3530" t="s">
        <v>106</v>
      </c>
      <c r="M3530" t="s">
        <v>107</v>
      </c>
      <c r="N3530" t="s">
        <v>108</v>
      </c>
      <c r="O3530" t="s">
        <v>82</v>
      </c>
      <c r="P3530" t="str">
        <f>"2170719089                    "</f>
        <v xml:space="preserve">2170719089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8.58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 s="4">
        <v>50.45</v>
      </c>
      <c r="BM3530" s="4">
        <v>7.57</v>
      </c>
      <c r="BN3530" s="4">
        <v>58.02</v>
      </c>
      <c r="BO3530" s="4">
        <v>58.02</v>
      </c>
      <c r="BQ3530" t="s">
        <v>109</v>
      </c>
      <c r="BR3530" t="s">
        <v>84</v>
      </c>
      <c r="BS3530" s="3">
        <v>43797</v>
      </c>
      <c r="BT3530" s="5">
        <v>0.43333333333333335</v>
      </c>
      <c r="BU3530" t="s">
        <v>110</v>
      </c>
      <c r="BV3530" t="s">
        <v>86</v>
      </c>
      <c r="BY3530">
        <v>1200</v>
      </c>
      <c r="CA3530" t="s">
        <v>111</v>
      </c>
      <c r="CC3530" t="s">
        <v>107</v>
      </c>
      <c r="CD3530">
        <v>6001</v>
      </c>
      <c r="CE3530" t="s">
        <v>147</v>
      </c>
      <c r="CF3530" s="3">
        <v>43798</v>
      </c>
      <c r="CI3530">
        <v>1</v>
      </c>
      <c r="CJ3530">
        <v>1</v>
      </c>
      <c r="CK3530">
        <v>21</v>
      </c>
      <c r="CL3530" t="s">
        <v>89</v>
      </c>
    </row>
    <row r="3531" spans="1:90">
      <c r="A3531" t="s">
        <v>72</v>
      </c>
      <c r="B3531" t="s">
        <v>73</v>
      </c>
      <c r="C3531" t="s">
        <v>74</v>
      </c>
      <c r="E3531" t="str">
        <f>"FES1162725352"</f>
        <v>FES1162725352</v>
      </c>
      <c r="F3531" s="3">
        <v>43796</v>
      </c>
      <c r="G3531">
        <v>202005</v>
      </c>
      <c r="H3531" t="s">
        <v>75</v>
      </c>
      <c r="I3531" t="s">
        <v>76</v>
      </c>
      <c r="J3531" t="s">
        <v>77</v>
      </c>
      <c r="K3531" t="s">
        <v>78</v>
      </c>
      <c r="L3531" t="s">
        <v>90</v>
      </c>
      <c r="M3531" t="s">
        <v>91</v>
      </c>
      <c r="N3531" t="s">
        <v>527</v>
      </c>
      <c r="O3531" t="s">
        <v>82</v>
      </c>
      <c r="P3531" t="str">
        <f>"2170719112                    "</f>
        <v xml:space="preserve">2170719112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8.58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 s="4">
        <v>50.45</v>
      </c>
      <c r="BM3531" s="4">
        <v>7.57</v>
      </c>
      <c r="BN3531" s="4">
        <v>58.02</v>
      </c>
      <c r="BO3531" s="4">
        <v>58.02</v>
      </c>
      <c r="BQ3531" t="s">
        <v>109</v>
      </c>
      <c r="BR3531" t="s">
        <v>84</v>
      </c>
      <c r="BS3531" s="3">
        <v>43797</v>
      </c>
      <c r="BT3531" s="5">
        <v>0.33888888888888885</v>
      </c>
      <c r="BU3531" t="s">
        <v>2780</v>
      </c>
      <c r="BV3531" t="s">
        <v>86</v>
      </c>
      <c r="BY3531">
        <v>1200</v>
      </c>
      <c r="CA3531" t="s">
        <v>221</v>
      </c>
      <c r="CC3531" t="s">
        <v>91</v>
      </c>
      <c r="CD3531">
        <v>7405</v>
      </c>
      <c r="CE3531" t="s">
        <v>147</v>
      </c>
      <c r="CF3531" s="3">
        <v>43798</v>
      </c>
      <c r="CI3531">
        <v>1</v>
      </c>
      <c r="CJ3531">
        <v>1</v>
      </c>
      <c r="CK3531">
        <v>21</v>
      </c>
      <c r="CL3531" t="s">
        <v>89</v>
      </c>
    </row>
    <row r="3532" spans="1:90">
      <c r="A3532" t="s">
        <v>72</v>
      </c>
      <c r="B3532" t="s">
        <v>73</v>
      </c>
      <c r="C3532" t="s">
        <v>74</v>
      </c>
      <c r="E3532" t="str">
        <f>"FES1162725339"</f>
        <v>FES1162725339</v>
      </c>
      <c r="F3532" s="3">
        <v>43796</v>
      </c>
      <c r="G3532">
        <v>202005</v>
      </c>
      <c r="H3532" t="s">
        <v>75</v>
      </c>
      <c r="I3532" t="s">
        <v>76</v>
      </c>
      <c r="J3532" t="s">
        <v>77</v>
      </c>
      <c r="K3532" t="s">
        <v>78</v>
      </c>
      <c r="L3532" t="s">
        <v>133</v>
      </c>
      <c r="M3532" t="s">
        <v>134</v>
      </c>
      <c r="N3532" t="s">
        <v>310</v>
      </c>
      <c r="O3532" t="s">
        <v>82</v>
      </c>
      <c r="P3532" t="str">
        <f>"2170719099                    "</f>
        <v xml:space="preserve">2170719099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8.58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 s="4">
        <v>50.45</v>
      </c>
      <c r="BM3532" s="4">
        <v>7.57</v>
      </c>
      <c r="BN3532" s="4">
        <v>58.02</v>
      </c>
      <c r="BO3532" s="4">
        <v>58.02</v>
      </c>
      <c r="BQ3532" t="s">
        <v>121</v>
      </c>
      <c r="BR3532" t="s">
        <v>84</v>
      </c>
      <c r="BS3532" s="3">
        <v>43797</v>
      </c>
      <c r="BT3532" s="5">
        <v>0.43402777777777773</v>
      </c>
      <c r="BU3532" t="s">
        <v>911</v>
      </c>
      <c r="BV3532" t="s">
        <v>86</v>
      </c>
      <c r="BY3532">
        <v>1200</v>
      </c>
      <c r="CA3532" t="s">
        <v>912</v>
      </c>
      <c r="CC3532" t="s">
        <v>134</v>
      </c>
      <c r="CD3532">
        <v>5201</v>
      </c>
      <c r="CE3532" t="s">
        <v>147</v>
      </c>
      <c r="CI3532">
        <v>1</v>
      </c>
      <c r="CJ3532">
        <v>1</v>
      </c>
      <c r="CK3532">
        <v>21</v>
      </c>
      <c r="CL3532" t="s">
        <v>89</v>
      </c>
    </row>
    <row r="3533" spans="1:90">
      <c r="A3533" t="s">
        <v>72</v>
      </c>
      <c r="B3533" t="s">
        <v>73</v>
      </c>
      <c r="C3533" t="s">
        <v>74</v>
      </c>
      <c r="E3533" t="str">
        <f>"FES1162725328"</f>
        <v>FES1162725328</v>
      </c>
      <c r="F3533" s="3">
        <v>43796</v>
      </c>
      <c r="G3533">
        <v>202005</v>
      </c>
      <c r="H3533" t="s">
        <v>75</v>
      </c>
      <c r="I3533" t="s">
        <v>76</v>
      </c>
      <c r="J3533" t="s">
        <v>77</v>
      </c>
      <c r="K3533" t="s">
        <v>78</v>
      </c>
      <c r="L3533" t="s">
        <v>90</v>
      </c>
      <c r="M3533" t="s">
        <v>91</v>
      </c>
      <c r="N3533" t="s">
        <v>1617</v>
      </c>
      <c r="O3533" t="s">
        <v>82</v>
      </c>
      <c r="P3533" t="str">
        <f>"2170718764                    "</f>
        <v xml:space="preserve">2170718764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8.58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1.7</v>
      </c>
      <c r="BJ3533">
        <v>1.9</v>
      </c>
      <c r="BK3533">
        <v>2</v>
      </c>
      <c r="BL3533" s="4">
        <v>50.45</v>
      </c>
      <c r="BM3533" s="4">
        <v>7.57</v>
      </c>
      <c r="BN3533" s="4">
        <v>58.02</v>
      </c>
      <c r="BO3533" s="4">
        <v>58.02</v>
      </c>
      <c r="BQ3533" t="s">
        <v>187</v>
      </c>
      <c r="BR3533" t="s">
        <v>84</v>
      </c>
      <c r="BS3533" s="3">
        <v>43797</v>
      </c>
      <c r="BT3533" s="5">
        <v>0.43402777777777773</v>
      </c>
      <c r="BU3533" t="s">
        <v>3097</v>
      </c>
      <c r="BV3533" t="s">
        <v>86</v>
      </c>
      <c r="BY3533">
        <v>9538.33</v>
      </c>
      <c r="CA3533" t="s">
        <v>1309</v>
      </c>
      <c r="CC3533" t="s">
        <v>91</v>
      </c>
      <c r="CD3533">
        <v>7580</v>
      </c>
      <c r="CE3533" t="s">
        <v>1598</v>
      </c>
      <c r="CF3533" s="3">
        <v>43798</v>
      </c>
      <c r="CI3533">
        <v>1</v>
      </c>
      <c r="CJ3533">
        <v>1</v>
      </c>
      <c r="CK3533">
        <v>21</v>
      </c>
      <c r="CL3533" t="s">
        <v>89</v>
      </c>
    </row>
    <row r="3534" spans="1:90">
      <c r="A3534" t="s">
        <v>72</v>
      </c>
      <c r="B3534" t="s">
        <v>73</v>
      </c>
      <c r="C3534" t="s">
        <v>74</v>
      </c>
      <c r="E3534" t="str">
        <f>"FES1162725369"</f>
        <v>FES1162725369</v>
      </c>
      <c r="F3534" s="3">
        <v>43796</v>
      </c>
      <c r="G3534">
        <v>202005</v>
      </c>
      <c r="H3534" t="s">
        <v>75</v>
      </c>
      <c r="I3534" t="s">
        <v>76</v>
      </c>
      <c r="J3534" t="s">
        <v>77</v>
      </c>
      <c r="K3534" t="s">
        <v>78</v>
      </c>
      <c r="L3534" t="s">
        <v>482</v>
      </c>
      <c r="M3534" t="s">
        <v>483</v>
      </c>
      <c r="N3534" t="s">
        <v>1054</v>
      </c>
      <c r="O3534" t="s">
        <v>82</v>
      </c>
      <c r="P3534" t="str">
        <f>"2170719126                    "</f>
        <v xml:space="preserve">2170719126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6.71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 s="4">
        <v>39.42</v>
      </c>
      <c r="BM3534" s="4">
        <v>5.91</v>
      </c>
      <c r="BN3534" s="4">
        <v>45.33</v>
      </c>
      <c r="BO3534" s="4">
        <v>45.33</v>
      </c>
      <c r="BQ3534" t="s">
        <v>109</v>
      </c>
      <c r="BR3534" t="s">
        <v>84</v>
      </c>
      <c r="BS3534" s="3">
        <v>43797</v>
      </c>
      <c r="BT3534" s="5">
        <v>0.3666666666666667</v>
      </c>
      <c r="BU3534" t="s">
        <v>1055</v>
      </c>
      <c r="BV3534" t="s">
        <v>86</v>
      </c>
      <c r="BY3534">
        <v>1200</v>
      </c>
      <c r="CA3534" t="s">
        <v>486</v>
      </c>
      <c r="CC3534" t="s">
        <v>483</v>
      </c>
      <c r="CD3534">
        <v>1459</v>
      </c>
      <c r="CE3534" t="s">
        <v>147</v>
      </c>
      <c r="CI3534">
        <v>1</v>
      </c>
      <c r="CJ3534">
        <v>1</v>
      </c>
      <c r="CK3534">
        <v>22</v>
      </c>
      <c r="CL3534" t="s">
        <v>89</v>
      </c>
    </row>
    <row r="3535" spans="1:90">
      <c r="A3535" t="s">
        <v>72</v>
      </c>
      <c r="B3535" t="s">
        <v>73</v>
      </c>
      <c r="C3535" t="s">
        <v>74</v>
      </c>
      <c r="E3535" t="str">
        <f>"FES1162725400"</f>
        <v>FES1162725400</v>
      </c>
      <c r="F3535" s="3">
        <v>43796</v>
      </c>
      <c r="G3535">
        <v>202005</v>
      </c>
      <c r="H3535" t="s">
        <v>75</v>
      </c>
      <c r="I3535" t="s">
        <v>76</v>
      </c>
      <c r="J3535" t="s">
        <v>77</v>
      </c>
      <c r="K3535" t="s">
        <v>78</v>
      </c>
      <c r="L3535" t="s">
        <v>546</v>
      </c>
      <c r="M3535" t="s">
        <v>547</v>
      </c>
      <c r="N3535" t="s">
        <v>830</v>
      </c>
      <c r="O3535" t="s">
        <v>82</v>
      </c>
      <c r="P3535" t="str">
        <f>"2170719153                    "</f>
        <v xml:space="preserve">2170719153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6.71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 s="4">
        <v>39.42</v>
      </c>
      <c r="BM3535" s="4">
        <v>5.91</v>
      </c>
      <c r="BN3535" s="4">
        <v>45.33</v>
      </c>
      <c r="BO3535" s="4">
        <v>45.33</v>
      </c>
      <c r="BQ3535" t="s">
        <v>2613</v>
      </c>
      <c r="BR3535" t="s">
        <v>84</v>
      </c>
      <c r="BS3535" s="3">
        <v>43797</v>
      </c>
      <c r="BT3535" s="5">
        <v>0.34722222222222227</v>
      </c>
      <c r="BU3535" t="s">
        <v>831</v>
      </c>
      <c r="BV3535" t="s">
        <v>86</v>
      </c>
      <c r="BY3535">
        <v>1200</v>
      </c>
      <c r="CC3535" t="s">
        <v>547</v>
      </c>
      <c r="CD3535">
        <v>1709</v>
      </c>
      <c r="CE3535" t="s">
        <v>147</v>
      </c>
      <c r="CI3535">
        <v>1</v>
      </c>
      <c r="CJ3535">
        <v>1</v>
      </c>
      <c r="CK3535">
        <v>22</v>
      </c>
      <c r="CL3535" t="s">
        <v>89</v>
      </c>
    </row>
    <row r="3536" spans="1:90">
      <c r="A3536" t="s">
        <v>72</v>
      </c>
      <c r="B3536" t="s">
        <v>73</v>
      </c>
      <c r="C3536" t="s">
        <v>74</v>
      </c>
      <c r="E3536" t="str">
        <f>"FES1162725376"</f>
        <v>FES1162725376</v>
      </c>
      <c r="F3536" s="3">
        <v>43796</v>
      </c>
      <c r="G3536">
        <v>202005</v>
      </c>
      <c r="H3536" t="s">
        <v>75</v>
      </c>
      <c r="I3536" t="s">
        <v>76</v>
      </c>
      <c r="J3536" t="s">
        <v>77</v>
      </c>
      <c r="K3536" t="s">
        <v>78</v>
      </c>
      <c r="L3536" t="s">
        <v>405</v>
      </c>
      <c r="M3536" t="s">
        <v>406</v>
      </c>
      <c r="N3536" t="s">
        <v>3275</v>
      </c>
      <c r="O3536" t="s">
        <v>82</v>
      </c>
      <c r="P3536" t="str">
        <f>"2170719132                    "</f>
        <v xml:space="preserve">2170719132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12.07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 s="4">
        <v>70.95</v>
      </c>
      <c r="BM3536" s="4">
        <v>10.64</v>
      </c>
      <c r="BN3536" s="4">
        <v>81.59</v>
      </c>
      <c r="BO3536" s="4">
        <v>81.59</v>
      </c>
      <c r="BQ3536" t="s">
        <v>109</v>
      </c>
      <c r="BR3536" t="s">
        <v>84</v>
      </c>
      <c r="BS3536" s="3">
        <v>43797</v>
      </c>
      <c r="BT3536" s="5">
        <v>0.37222222222222223</v>
      </c>
      <c r="BU3536" t="s">
        <v>3276</v>
      </c>
      <c r="BV3536" t="s">
        <v>86</v>
      </c>
      <c r="BY3536">
        <v>1200</v>
      </c>
      <c r="CA3536" t="s">
        <v>1546</v>
      </c>
      <c r="CC3536" t="s">
        <v>406</v>
      </c>
      <c r="CD3536">
        <v>250</v>
      </c>
      <c r="CE3536" t="s">
        <v>147</v>
      </c>
      <c r="CI3536">
        <v>1</v>
      </c>
      <c r="CJ3536">
        <v>1</v>
      </c>
      <c r="CK3536">
        <v>24</v>
      </c>
      <c r="CL3536" t="s">
        <v>89</v>
      </c>
    </row>
    <row r="3537" spans="1:90">
      <c r="A3537" t="s">
        <v>72</v>
      </c>
      <c r="B3537" t="s">
        <v>73</v>
      </c>
      <c r="C3537" t="s">
        <v>74</v>
      </c>
      <c r="E3537" t="str">
        <f>"FES1162725405"</f>
        <v>FES1162725405</v>
      </c>
      <c r="F3537" s="3">
        <v>43796</v>
      </c>
      <c r="G3537">
        <v>202005</v>
      </c>
      <c r="H3537" t="s">
        <v>75</v>
      </c>
      <c r="I3537" t="s">
        <v>76</v>
      </c>
      <c r="J3537" t="s">
        <v>77</v>
      </c>
      <c r="K3537" t="s">
        <v>78</v>
      </c>
      <c r="L3537" t="s">
        <v>124</v>
      </c>
      <c r="M3537" t="s">
        <v>125</v>
      </c>
      <c r="N3537" t="s">
        <v>3277</v>
      </c>
      <c r="O3537" t="s">
        <v>82</v>
      </c>
      <c r="P3537" t="str">
        <f>"2170719155                    "</f>
        <v xml:space="preserve">2170719155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6.71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 s="4">
        <v>39.42</v>
      </c>
      <c r="BM3537" s="4">
        <v>5.91</v>
      </c>
      <c r="BN3537" s="4">
        <v>45.33</v>
      </c>
      <c r="BO3537" s="4">
        <v>45.33</v>
      </c>
      <c r="BR3537" t="s">
        <v>84</v>
      </c>
      <c r="BS3537" s="3">
        <v>43797</v>
      </c>
      <c r="BT3537" s="5">
        <v>0.3263888888888889</v>
      </c>
      <c r="BU3537" t="s">
        <v>3278</v>
      </c>
      <c r="BV3537" t="s">
        <v>86</v>
      </c>
      <c r="BY3537">
        <v>1200</v>
      </c>
      <c r="CA3537" t="s">
        <v>123</v>
      </c>
      <c r="CC3537" t="s">
        <v>125</v>
      </c>
      <c r="CD3537">
        <v>2196</v>
      </c>
      <c r="CE3537" t="s">
        <v>147</v>
      </c>
      <c r="CI3537">
        <v>1</v>
      </c>
      <c r="CJ3537">
        <v>1</v>
      </c>
      <c r="CK3537">
        <v>22</v>
      </c>
      <c r="CL3537" t="s">
        <v>89</v>
      </c>
    </row>
    <row r="3538" spans="1:90">
      <c r="A3538" t="s">
        <v>72</v>
      </c>
      <c r="B3538" t="s">
        <v>73</v>
      </c>
      <c r="C3538" t="s">
        <v>74</v>
      </c>
      <c r="E3538" t="str">
        <f>"FES1162725379"</f>
        <v>FES1162725379</v>
      </c>
      <c r="F3538" s="3">
        <v>43796</v>
      </c>
      <c r="G3538">
        <v>202005</v>
      </c>
      <c r="H3538" t="s">
        <v>75</v>
      </c>
      <c r="I3538" t="s">
        <v>76</v>
      </c>
      <c r="J3538" t="s">
        <v>77</v>
      </c>
      <c r="K3538" t="s">
        <v>78</v>
      </c>
      <c r="L3538" t="s">
        <v>990</v>
      </c>
      <c r="M3538" t="s">
        <v>991</v>
      </c>
      <c r="N3538" t="s">
        <v>992</v>
      </c>
      <c r="O3538" t="s">
        <v>82</v>
      </c>
      <c r="P3538" t="str">
        <f>"2170719136                    "</f>
        <v xml:space="preserve">2170719136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16.63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 s="4">
        <v>97.75</v>
      </c>
      <c r="BM3538" s="4">
        <v>14.66</v>
      </c>
      <c r="BN3538" s="4">
        <v>112.41</v>
      </c>
      <c r="BO3538" s="4">
        <v>112.41</v>
      </c>
      <c r="BQ3538" t="s">
        <v>1580</v>
      </c>
      <c r="BR3538" t="s">
        <v>84</v>
      </c>
      <c r="BS3538" s="3">
        <v>43797</v>
      </c>
      <c r="BT3538" s="5">
        <v>0.51597222222222217</v>
      </c>
      <c r="BU3538" t="s">
        <v>3279</v>
      </c>
      <c r="BV3538" t="s">
        <v>86</v>
      </c>
      <c r="BY3538">
        <v>1200</v>
      </c>
      <c r="CA3538" t="s">
        <v>628</v>
      </c>
      <c r="CC3538" t="s">
        <v>991</v>
      </c>
      <c r="CD3538">
        <v>4252</v>
      </c>
      <c r="CE3538" t="s">
        <v>147</v>
      </c>
      <c r="CF3538" s="3">
        <v>43798</v>
      </c>
      <c r="CI3538">
        <v>1</v>
      </c>
      <c r="CJ3538">
        <v>1</v>
      </c>
      <c r="CK3538">
        <v>23</v>
      </c>
      <c r="CL3538" t="s">
        <v>89</v>
      </c>
    </row>
    <row r="3539" spans="1:90">
      <c r="A3539" t="s">
        <v>72</v>
      </c>
      <c r="B3539" t="s">
        <v>73</v>
      </c>
      <c r="C3539" t="s">
        <v>74</v>
      </c>
      <c r="E3539" t="str">
        <f>"FES1162725349"</f>
        <v>FES1162725349</v>
      </c>
      <c r="F3539" s="3">
        <v>43796</v>
      </c>
      <c r="G3539">
        <v>202005</v>
      </c>
      <c r="H3539" t="s">
        <v>75</v>
      </c>
      <c r="I3539" t="s">
        <v>76</v>
      </c>
      <c r="J3539" t="s">
        <v>77</v>
      </c>
      <c r="K3539" t="s">
        <v>78</v>
      </c>
      <c r="L3539" t="s">
        <v>124</v>
      </c>
      <c r="M3539" t="s">
        <v>125</v>
      </c>
      <c r="N3539" t="s">
        <v>3280</v>
      </c>
      <c r="O3539" t="s">
        <v>82</v>
      </c>
      <c r="P3539" t="str">
        <f>"2170719045                    "</f>
        <v xml:space="preserve">2170719045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6.71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 s="4">
        <v>39.42</v>
      </c>
      <c r="BM3539" s="4">
        <v>5.91</v>
      </c>
      <c r="BN3539" s="4">
        <v>45.33</v>
      </c>
      <c r="BO3539" s="4">
        <v>45.33</v>
      </c>
      <c r="BQ3539" t="s">
        <v>187</v>
      </c>
      <c r="BR3539" t="s">
        <v>84</v>
      </c>
      <c r="BS3539" s="3">
        <v>43797</v>
      </c>
      <c r="BT3539" s="5">
        <v>0.3979166666666667</v>
      </c>
      <c r="BU3539" t="s">
        <v>3281</v>
      </c>
      <c r="BV3539" t="s">
        <v>86</v>
      </c>
      <c r="BY3539">
        <v>1200</v>
      </c>
      <c r="CA3539" t="s">
        <v>1140</v>
      </c>
      <c r="CC3539" t="s">
        <v>125</v>
      </c>
      <c r="CD3539">
        <v>2091</v>
      </c>
      <c r="CE3539" t="s">
        <v>147</v>
      </c>
      <c r="CI3539">
        <v>1</v>
      </c>
      <c r="CJ3539">
        <v>1</v>
      </c>
      <c r="CK3539">
        <v>22</v>
      </c>
      <c r="CL3539" t="s">
        <v>89</v>
      </c>
    </row>
    <row r="3540" spans="1:90">
      <c r="A3540" t="s">
        <v>72</v>
      </c>
      <c r="B3540" t="s">
        <v>73</v>
      </c>
      <c r="C3540" t="s">
        <v>74</v>
      </c>
      <c r="E3540" t="str">
        <f>"FES1162725341"</f>
        <v>FES1162725341</v>
      </c>
      <c r="F3540" s="3">
        <v>43796</v>
      </c>
      <c r="G3540">
        <v>202005</v>
      </c>
      <c r="H3540" t="s">
        <v>75</v>
      </c>
      <c r="I3540" t="s">
        <v>76</v>
      </c>
      <c r="J3540" t="s">
        <v>77</v>
      </c>
      <c r="K3540" t="s">
        <v>78</v>
      </c>
      <c r="L3540" t="s">
        <v>546</v>
      </c>
      <c r="M3540" t="s">
        <v>547</v>
      </c>
      <c r="N3540" t="s">
        <v>830</v>
      </c>
      <c r="O3540" t="s">
        <v>82</v>
      </c>
      <c r="P3540" t="str">
        <f>"2170719101                    "</f>
        <v xml:space="preserve">2170719101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6.71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 s="4">
        <v>39.42</v>
      </c>
      <c r="BM3540" s="4">
        <v>5.91</v>
      </c>
      <c r="BN3540" s="4">
        <v>45.33</v>
      </c>
      <c r="BO3540" s="4">
        <v>45.33</v>
      </c>
      <c r="BQ3540" t="s">
        <v>2613</v>
      </c>
      <c r="BR3540" t="s">
        <v>84</v>
      </c>
      <c r="BS3540" s="3">
        <v>43797</v>
      </c>
      <c r="BT3540" s="5">
        <v>0.34722222222222227</v>
      </c>
      <c r="BU3540" t="s">
        <v>831</v>
      </c>
      <c r="BV3540" t="s">
        <v>86</v>
      </c>
      <c r="BY3540">
        <v>1200</v>
      </c>
      <c r="CC3540" t="s">
        <v>547</v>
      </c>
      <c r="CD3540">
        <v>1709</v>
      </c>
      <c r="CE3540" t="s">
        <v>147</v>
      </c>
      <c r="CI3540">
        <v>1</v>
      </c>
      <c r="CJ3540">
        <v>1</v>
      </c>
      <c r="CK3540">
        <v>22</v>
      </c>
      <c r="CL3540" t="s">
        <v>89</v>
      </c>
    </row>
    <row r="3541" spans="1:90">
      <c r="A3541" t="s">
        <v>72</v>
      </c>
      <c r="B3541" t="s">
        <v>73</v>
      </c>
      <c r="C3541" t="s">
        <v>74</v>
      </c>
      <c r="E3541" t="str">
        <f>"FES1162725370"</f>
        <v>FES1162725370</v>
      </c>
      <c r="F3541" s="3">
        <v>43796</v>
      </c>
      <c r="G3541">
        <v>202005</v>
      </c>
      <c r="H3541" t="s">
        <v>75</v>
      </c>
      <c r="I3541" t="s">
        <v>76</v>
      </c>
      <c r="J3541" t="s">
        <v>77</v>
      </c>
      <c r="K3541" t="s">
        <v>78</v>
      </c>
      <c r="L3541" t="s">
        <v>118</v>
      </c>
      <c r="M3541" t="s">
        <v>119</v>
      </c>
      <c r="N3541" t="s">
        <v>630</v>
      </c>
      <c r="O3541" t="s">
        <v>82</v>
      </c>
      <c r="P3541" t="str">
        <f>"2170719127                    "</f>
        <v xml:space="preserve">2170719127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8.58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 s="4">
        <v>50.45</v>
      </c>
      <c r="BM3541" s="4">
        <v>7.57</v>
      </c>
      <c r="BN3541" s="4">
        <v>58.02</v>
      </c>
      <c r="BO3541" s="4">
        <v>58.02</v>
      </c>
      <c r="BQ3541" t="s">
        <v>121</v>
      </c>
      <c r="BR3541" t="s">
        <v>84</v>
      </c>
      <c r="BS3541" s="3">
        <v>43797</v>
      </c>
      <c r="BT3541" s="5">
        <v>0.36805555555555558</v>
      </c>
      <c r="BU3541" t="s">
        <v>3282</v>
      </c>
      <c r="BV3541" t="s">
        <v>86</v>
      </c>
      <c r="BY3541">
        <v>1200</v>
      </c>
      <c r="CA3541" t="s">
        <v>632</v>
      </c>
      <c r="CC3541" t="s">
        <v>119</v>
      </c>
      <c r="CD3541">
        <v>3201</v>
      </c>
      <c r="CE3541" t="s">
        <v>147</v>
      </c>
      <c r="CF3541" s="3">
        <v>43798</v>
      </c>
      <c r="CI3541">
        <v>1</v>
      </c>
      <c r="CJ3541">
        <v>1</v>
      </c>
      <c r="CK3541">
        <v>21</v>
      </c>
      <c r="CL3541" t="s">
        <v>89</v>
      </c>
    </row>
    <row r="3542" spans="1:90">
      <c r="A3542" t="s">
        <v>72</v>
      </c>
      <c r="B3542" t="s">
        <v>73</v>
      </c>
      <c r="C3542" t="s">
        <v>74</v>
      </c>
      <c r="E3542" t="str">
        <f>"FES1162725361"</f>
        <v>FES1162725361</v>
      </c>
      <c r="F3542" s="3">
        <v>43796</v>
      </c>
      <c r="G3542">
        <v>202005</v>
      </c>
      <c r="H3542" t="s">
        <v>75</v>
      </c>
      <c r="I3542" t="s">
        <v>76</v>
      </c>
      <c r="J3542" t="s">
        <v>77</v>
      </c>
      <c r="K3542" t="s">
        <v>78</v>
      </c>
      <c r="L3542" t="s">
        <v>90</v>
      </c>
      <c r="M3542" t="s">
        <v>91</v>
      </c>
      <c r="N3542" t="s">
        <v>527</v>
      </c>
      <c r="O3542" t="s">
        <v>82</v>
      </c>
      <c r="P3542" t="str">
        <f>"2170719117                    "</f>
        <v xml:space="preserve">2170719117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8.58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1.1000000000000001</v>
      </c>
      <c r="BK3542">
        <v>1.5</v>
      </c>
      <c r="BL3542" s="4">
        <v>50.45</v>
      </c>
      <c r="BM3542" s="4">
        <v>7.57</v>
      </c>
      <c r="BN3542" s="4">
        <v>58.02</v>
      </c>
      <c r="BO3542" s="4">
        <v>58.02</v>
      </c>
      <c r="BQ3542" t="s">
        <v>109</v>
      </c>
      <c r="BR3542" t="s">
        <v>84</v>
      </c>
      <c r="BS3542" s="3">
        <v>43797</v>
      </c>
      <c r="BT3542" s="5">
        <v>0.33888888888888885</v>
      </c>
      <c r="BU3542" t="s">
        <v>2780</v>
      </c>
      <c r="BV3542" t="s">
        <v>86</v>
      </c>
      <c r="BY3542">
        <v>5320</v>
      </c>
      <c r="CA3542" t="s">
        <v>221</v>
      </c>
      <c r="CC3542" t="s">
        <v>91</v>
      </c>
      <c r="CD3542">
        <v>7405</v>
      </c>
      <c r="CE3542" t="s">
        <v>88</v>
      </c>
      <c r="CF3542" s="3">
        <v>43798</v>
      </c>
      <c r="CI3542">
        <v>1</v>
      </c>
      <c r="CJ3542">
        <v>1</v>
      </c>
      <c r="CK3542">
        <v>21</v>
      </c>
      <c r="CL3542" t="s">
        <v>89</v>
      </c>
    </row>
    <row r="3543" spans="1:90">
      <c r="A3543" t="s">
        <v>72</v>
      </c>
      <c r="B3543" t="s">
        <v>73</v>
      </c>
      <c r="C3543" t="s">
        <v>74</v>
      </c>
      <c r="E3543" t="str">
        <f>"FES1162725489"</f>
        <v>FES1162725489</v>
      </c>
      <c r="F3543" s="3">
        <v>43796</v>
      </c>
      <c r="G3543">
        <v>202005</v>
      </c>
      <c r="H3543" t="s">
        <v>75</v>
      </c>
      <c r="I3543" t="s">
        <v>76</v>
      </c>
      <c r="J3543" t="s">
        <v>77</v>
      </c>
      <c r="K3543" t="s">
        <v>78</v>
      </c>
      <c r="L3543" t="s">
        <v>112</v>
      </c>
      <c r="M3543" t="s">
        <v>113</v>
      </c>
      <c r="N3543" t="s">
        <v>206</v>
      </c>
      <c r="O3543" t="s">
        <v>82</v>
      </c>
      <c r="P3543" t="str">
        <f>"2170719262                    "</f>
        <v xml:space="preserve">2170719262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8.58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 s="4">
        <v>50.45</v>
      </c>
      <c r="BM3543" s="4">
        <v>7.57</v>
      </c>
      <c r="BN3543" s="4">
        <v>58.02</v>
      </c>
      <c r="BO3543" s="4">
        <v>58.02</v>
      </c>
      <c r="BQ3543" t="s">
        <v>109</v>
      </c>
      <c r="BR3543" t="s">
        <v>84</v>
      </c>
      <c r="BS3543" s="3">
        <v>43797</v>
      </c>
      <c r="BT3543" s="5">
        <v>0.37152777777777773</v>
      </c>
      <c r="BU3543" t="s">
        <v>3283</v>
      </c>
      <c r="BV3543" t="s">
        <v>86</v>
      </c>
      <c r="BY3543">
        <v>1200</v>
      </c>
      <c r="CA3543" t="s">
        <v>2212</v>
      </c>
      <c r="CC3543" t="s">
        <v>113</v>
      </c>
      <c r="CD3543">
        <v>4001</v>
      </c>
      <c r="CE3543" t="s">
        <v>147</v>
      </c>
      <c r="CF3543" s="3">
        <v>43798</v>
      </c>
      <c r="CI3543">
        <v>1</v>
      </c>
      <c r="CJ3543">
        <v>1</v>
      </c>
      <c r="CK3543">
        <v>21</v>
      </c>
      <c r="CL3543" t="s">
        <v>89</v>
      </c>
    </row>
    <row r="3544" spans="1:90">
      <c r="A3544" t="s">
        <v>72</v>
      </c>
      <c r="B3544" t="s">
        <v>73</v>
      </c>
      <c r="C3544" t="s">
        <v>74</v>
      </c>
      <c r="E3544" t="str">
        <f>"FES1162725447"</f>
        <v>FES1162725447</v>
      </c>
      <c r="F3544" s="3">
        <v>43796</v>
      </c>
      <c r="G3544">
        <v>202005</v>
      </c>
      <c r="H3544" t="s">
        <v>75</v>
      </c>
      <c r="I3544" t="s">
        <v>76</v>
      </c>
      <c r="J3544" t="s">
        <v>77</v>
      </c>
      <c r="K3544" t="s">
        <v>78</v>
      </c>
      <c r="L3544" t="s">
        <v>482</v>
      </c>
      <c r="M3544" t="s">
        <v>483</v>
      </c>
      <c r="N3544" t="s">
        <v>1734</v>
      </c>
      <c r="O3544" t="s">
        <v>82</v>
      </c>
      <c r="P3544" t="str">
        <f>"2170719222                    "</f>
        <v xml:space="preserve">2170719222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9.1199999999999992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3.2</v>
      </c>
      <c r="BJ3544">
        <v>2.9</v>
      </c>
      <c r="BK3544">
        <v>3.5</v>
      </c>
      <c r="BL3544" s="4">
        <v>53.59</v>
      </c>
      <c r="BM3544" s="4">
        <v>8.0399999999999991</v>
      </c>
      <c r="BN3544" s="4">
        <v>61.63</v>
      </c>
      <c r="BO3544" s="4">
        <v>61.63</v>
      </c>
      <c r="BQ3544" t="s">
        <v>121</v>
      </c>
      <c r="BR3544" t="s">
        <v>84</v>
      </c>
      <c r="BS3544" s="3">
        <v>43797</v>
      </c>
      <c r="BT3544" s="5">
        <v>0.34375</v>
      </c>
      <c r="BU3544" t="s">
        <v>2750</v>
      </c>
      <c r="BV3544" t="s">
        <v>86</v>
      </c>
      <c r="BY3544">
        <v>14725.76</v>
      </c>
      <c r="CA3544" t="s">
        <v>486</v>
      </c>
      <c r="CC3544" t="s">
        <v>483</v>
      </c>
      <c r="CD3544">
        <v>1459</v>
      </c>
      <c r="CE3544" t="s">
        <v>88</v>
      </c>
      <c r="CI3544">
        <v>1</v>
      </c>
      <c r="CJ3544">
        <v>1</v>
      </c>
      <c r="CK3544">
        <v>22</v>
      </c>
      <c r="CL3544" t="s">
        <v>89</v>
      </c>
    </row>
    <row r="3545" spans="1:90">
      <c r="A3545" t="s">
        <v>72</v>
      </c>
      <c r="B3545" t="s">
        <v>73</v>
      </c>
      <c r="C3545" t="s">
        <v>74</v>
      </c>
      <c r="E3545" t="str">
        <f>"FES116272716325"</f>
        <v>FES116272716325</v>
      </c>
      <c r="F3545" s="3">
        <v>43796</v>
      </c>
      <c r="G3545">
        <v>202005</v>
      </c>
      <c r="H3545" t="s">
        <v>75</v>
      </c>
      <c r="I3545" t="s">
        <v>76</v>
      </c>
      <c r="J3545" t="s">
        <v>77</v>
      </c>
      <c r="K3545" t="s">
        <v>78</v>
      </c>
      <c r="L3545" t="s">
        <v>691</v>
      </c>
      <c r="M3545" t="s">
        <v>692</v>
      </c>
      <c r="N3545" t="s">
        <v>693</v>
      </c>
      <c r="O3545" t="s">
        <v>82</v>
      </c>
      <c r="P3545" t="str">
        <f>"2170716325                    "</f>
        <v xml:space="preserve">2170716325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9.92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4</v>
      </c>
      <c r="BJ3545">
        <v>0.4</v>
      </c>
      <c r="BK3545">
        <v>4</v>
      </c>
      <c r="BL3545" s="4">
        <v>58.31</v>
      </c>
      <c r="BM3545" s="4">
        <v>8.75</v>
      </c>
      <c r="BN3545" s="4">
        <v>67.06</v>
      </c>
      <c r="BO3545" s="4">
        <v>67.06</v>
      </c>
      <c r="BQ3545" t="s">
        <v>142</v>
      </c>
      <c r="BR3545" t="s">
        <v>84</v>
      </c>
      <c r="BS3545" t="s">
        <v>201</v>
      </c>
      <c r="BY3545">
        <v>1953</v>
      </c>
      <c r="CC3545" t="s">
        <v>692</v>
      </c>
      <c r="CD3545">
        <v>1559</v>
      </c>
      <c r="CE3545" t="s">
        <v>1598</v>
      </c>
      <c r="CI3545">
        <v>1</v>
      </c>
      <c r="CJ3545" t="s">
        <v>201</v>
      </c>
      <c r="CK3545">
        <v>22</v>
      </c>
      <c r="CL3545" t="s">
        <v>89</v>
      </c>
    </row>
    <row r="3546" spans="1:90">
      <c r="A3546" t="s">
        <v>72</v>
      </c>
      <c r="B3546" t="s">
        <v>73</v>
      </c>
      <c r="C3546" t="s">
        <v>74</v>
      </c>
      <c r="E3546" t="str">
        <f>"FES1162725395"</f>
        <v>FES1162725395</v>
      </c>
      <c r="F3546" s="3">
        <v>43796</v>
      </c>
      <c r="G3546">
        <v>202005</v>
      </c>
      <c r="H3546" t="s">
        <v>75</v>
      </c>
      <c r="I3546" t="s">
        <v>76</v>
      </c>
      <c r="J3546" t="s">
        <v>77</v>
      </c>
      <c r="K3546" t="s">
        <v>78</v>
      </c>
      <c r="L3546" t="s">
        <v>106</v>
      </c>
      <c r="M3546" t="s">
        <v>107</v>
      </c>
      <c r="N3546" t="s">
        <v>1919</v>
      </c>
      <c r="O3546" t="s">
        <v>82</v>
      </c>
      <c r="P3546" t="str">
        <f>"2170719148                    "</f>
        <v xml:space="preserve">2170719148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8.58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 s="4">
        <v>50.45</v>
      </c>
      <c r="BM3546" s="4">
        <v>7.57</v>
      </c>
      <c r="BN3546" s="4">
        <v>58.02</v>
      </c>
      <c r="BO3546" s="4">
        <v>58.02</v>
      </c>
      <c r="BQ3546" t="s">
        <v>121</v>
      </c>
      <c r="BR3546" t="s">
        <v>84</v>
      </c>
      <c r="BS3546" s="3">
        <v>43797</v>
      </c>
      <c r="BT3546" s="5">
        <v>0.3979166666666667</v>
      </c>
      <c r="BU3546" t="s">
        <v>3284</v>
      </c>
      <c r="BV3546" t="s">
        <v>86</v>
      </c>
      <c r="BY3546">
        <v>1200</v>
      </c>
      <c r="CA3546" t="s">
        <v>1921</v>
      </c>
      <c r="CC3546" t="s">
        <v>107</v>
      </c>
      <c r="CD3546">
        <v>6001</v>
      </c>
      <c r="CE3546" t="s">
        <v>147</v>
      </c>
      <c r="CF3546" s="3">
        <v>43798</v>
      </c>
      <c r="CI3546">
        <v>1</v>
      </c>
      <c r="CJ3546">
        <v>1</v>
      </c>
      <c r="CK3546">
        <v>21</v>
      </c>
      <c r="CL3546" t="s">
        <v>89</v>
      </c>
    </row>
    <row r="3547" spans="1:90">
      <c r="A3547" t="s">
        <v>72</v>
      </c>
      <c r="B3547" t="s">
        <v>73</v>
      </c>
      <c r="C3547" t="s">
        <v>74</v>
      </c>
      <c r="E3547" t="str">
        <f>"FES1162725378"</f>
        <v>FES1162725378</v>
      </c>
      <c r="F3547" s="3">
        <v>43796</v>
      </c>
      <c r="G3547">
        <v>202005</v>
      </c>
      <c r="H3547" t="s">
        <v>75</v>
      </c>
      <c r="I3547" t="s">
        <v>76</v>
      </c>
      <c r="J3547" t="s">
        <v>77</v>
      </c>
      <c r="K3547" t="s">
        <v>78</v>
      </c>
      <c r="L3547" t="s">
        <v>783</v>
      </c>
      <c r="M3547" t="s">
        <v>784</v>
      </c>
      <c r="N3547" t="s">
        <v>785</v>
      </c>
      <c r="O3547" t="s">
        <v>82</v>
      </c>
      <c r="P3547" t="str">
        <f>"2170719135                    "</f>
        <v xml:space="preserve">2170719135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39.159999999999997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4.5999999999999996</v>
      </c>
      <c r="BJ3547">
        <v>1.2</v>
      </c>
      <c r="BK3547">
        <v>5</v>
      </c>
      <c r="BL3547" s="4">
        <v>230.2</v>
      </c>
      <c r="BM3547" s="4">
        <v>34.53</v>
      </c>
      <c r="BN3547" s="4">
        <v>264.73</v>
      </c>
      <c r="BO3547" s="4">
        <v>264.73</v>
      </c>
      <c r="BQ3547" t="s">
        <v>109</v>
      </c>
      <c r="BR3547" t="s">
        <v>84</v>
      </c>
      <c r="BS3547" s="3">
        <v>43797</v>
      </c>
      <c r="BT3547" s="5">
        <v>0.39583333333333331</v>
      </c>
      <c r="BU3547" t="s">
        <v>786</v>
      </c>
      <c r="BV3547" t="s">
        <v>86</v>
      </c>
      <c r="BY3547">
        <v>5892.28</v>
      </c>
      <c r="CA3547" t="s">
        <v>1801</v>
      </c>
      <c r="CC3547" t="s">
        <v>784</v>
      </c>
      <c r="CD3547">
        <v>9880</v>
      </c>
      <c r="CE3547" t="s">
        <v>1598</v>
      </c>
      <c r="CI3547">
        <v>1</v>
      </c>
      <c r="CJ3547">
        <v>1</v>
      </c>
      <c r="CK3547">
        <v>23</v>
      </c>
      <c r="CL3547" t="s">
        <v>89</v>
      </c>
    </row>
    <row r="3548" spans="1:90">
      <c r="A3548" t="s">
        <v>72</v>
      </c>
      <c r="B3548" t="s">
        <v>73</v>
      </c>
      <c r="C3548" t="s">
        <v>74</v>
      </c>
      <c r="E3548" t="str">
        <f>"FES1162725093"</f>
        <v>FES1162725093</v>
      </c>
      <c r="F3548" s="3">
        <v>43796</v>
      </c>
      <c r="G3548">
        <v>202005</v>
      </c>
      <c r="H3548" t="s">
        <v>75</v>
      </c>
      <c r="I3548" t="s">
        <v>76</v>
      </c>
      <c r="J3548" t="s">
        <v>77</v>
      </c>
      <c r="K3548" t="s">
        <v>78</v>
      </c>
      <c r="L3548" t="s">
        <v>90</v>
      </c>
      <c r="M3548" t="s">
        <v>91</v>
      </c>
      <c r="N3548" t="s">
        <v>393</v>
      </c>
      <c r="O3548" t="s">
        <v>82</v>
      </c>
      <c r="P3548" t="str">
        <f>"2170718842                    "</f>
        <v xml:space="preserve">2170718842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21.45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4.8</v>
      </c>
      <c r="BJ3548">
        <v>2</v>
      </c>
      <c r="BK3548">
        <v>5</v>
      </c>
      <c r="BL3548" s="4">
        <v>126.08</v>
      </c>
      <c r="BM3548" s="4">
        <v>18.91</v>
      </c>
      <c r="BN3548" s="4">
        <v>144.99</v>
      </c>
      <c r="BO3548" s="4">
        <v>144.99</v>
      </c>
      <c r="BQ3548" t="s">
        <v>1630</v>
      </c>
      <c r="BR3548" t="s">
        <v>84</v>
      </c>
      <c r="BS3548" s="3">
        <v>43797</v>
      </c>
      <c r="BT3548" s="5">
        <v>0.33124999999999999</v>
      </c>
      <c r="BU3548" t="s">
        <v>1308</v>
      </c>
      <c r="BV3548" t="s">
        <v>86</v>
      </c>
      <c r="BY3548">
        <v>10071.59</v>
      </c>
      <c r="CA3548" t="s">
        <v>221</v>
      </c>
      <c r="CC3548" t="s">
        <v>91</v>
      </c>
      <c r="CD3548">
        <v>7405</v>
      </c>
      <c r="CE3548" t="s">
        <v>88</v>
      </c>
      <c r="CF3548" s="3">
        <v>43798</v>
      </c>
      <c r="CI3548">
        <v>1</v>
      </c>
      <c r="CJ3548">
        <v>1</v>
      </c>
      <c r="CK3548">
        <v>21</v>
      </c>
      <c r="CL3548" t="s">
        <v>89</v>
      </c>
    </row>
    <row r="3549" spans="1:90">
      <c r="A3549" t="s">
        <v>72</v>
      </c>
      <c r="B3549" t="s">
        <v>73</v>
      </c>
      <c r="C3549" t="s">
        <v>74</v>
      </c>
      <c r="E3549" t="str">
        <f>"FES1162725340"</f>
        <v>FES1162725340</v>
      </c>
      <c r="F3549" s="3">
        <v>43796</v>
      </c>
      <c r="G3549">
        <v>202005</v>
      </c>
      <c r="H3549" t="s">
        <v>75</v>
      </c>
      <c r="I3549" t="s">
        <v>76</v>
      </c>
      <c r="J3549" t="s">
        <v>77</v>
      </c>
      <c r="K3549" t="s">
        <v>78</v>
      </c>
      <c r="L3549" t="s">
        <v>202</v>
      </c>
      <c r="M3549" t="s">
        <v>203</v>
      </c>
      <c r="N3549" t="s">
        <v>3285</v>
      </c>
      <c r="O3549" t="s">
        <v>82</v>
      </c>
      <c r="P3549" t="str">
        <f>"2170719100                    "</f>
        <v xml:space="preserve">2170719100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6.71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 s="4">
        <v>39.42</v>
      </c>
      <c r="BM3549" s="4">
        <v>5.91</v>
      </c>
      <c r="BN3549" s="4">
        <v>45.33</v>
      </c>
      <c r="BO3549" s="4">
        <v>45.33</v>
      </c>
      <c r="BQ3549" t="s">
        <v>3286</v>
      </c>
      <c r="BR3549" t="s">
        <v>84</v>
      </c>
      <c r="BS3549" s="3">
        <v>43797</v>
      </c>
      <c r="BT3549" s="5">
        <v>0.40486111111111112</v>
      </c>
      <c r="BU3549" t="s">
        <v>3287</v>
      </c>
      <c r="BV3549" t="s">
        <v>86</v>
      </c>
      <c r="BY3549">
        <v>1200</v>
      </c>
      <c r="CA3549" t="s">
        <v>123</v>
      </c>
      <c r="CC3549" t="s">
        <v>203</v>
      </c>
      <c r="CD3549">
        <v>1422</v>
      </c>
      <c r="CE3549" t="s">
        <v>147</v>
      </c>
      <c r="CI3549">
        <v>1</v>
      </c>
      <c r="CJ3549">
        <v>1</v>
      </c>
      <c r="CK3549">
        <v>22</v>
      </c>
      <c r="CL3549" t="s">
        <v>89</v>
      </c>
    </row>
    <row r="3550" spans="1:90">
      <c r="A3550" t="s">
        <v>72</v>
      </c>
      <c r="B3550" t="s">
        <v>73</v>
      </c>
      <c r="C3550" t="s">
        <v>74</v>
      </c>
      <c r="E3550" t="str">
        <f>"FES1162725385"</f>
        <v>FES1162725385</v>
      </c>
      <c r="F3550" s="3">
        <v>43796</v>
      </c>
      <c r="G3550">
        <v>202005</v>
      </c>
      <c r="H3550" t="s">
        <v>75</v>
      </c>
      <c r="I3550" t="s">
        <v>76</v>
      </c>
      <c r="J3550" t="s">
        <v>77</v>
      </c>
      <c r="K3550" t="s">
        <v>78</v>
      </c>
      <c r="L3550" t="s">
        <v>75</v>
      </c>
      <c r="M3550" t="s">
        <v>76</v>
      </c>
      <c r="N3550" t="s">
        <v>1416</v>
      </c>
      <c r="O3550" t="s">
        <v>82</v>
      </c>
      <c r="P3550" t="str">
        <f>"2170717474                    "</f>
        <v xml:space="preserve">2170717474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13.13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0.2</v>
      </c>
      <c r="BJ3550">
        <v>5.8</v>
      </c>
      <c r="BK3550">
        <v>6</v>
      </c>
      <c r="BL3550" s="4">
        <v>77.2</v>
      </c>
      <c r="BM3550" s="4">
        <v>11.58</v>
      </c>
      <c r="BN3550" s="4">
        <v>88.78</v>
      </c>
      <c r="BO3550" s="4">
        <v>88.78</v>
      </c>
      <c r="BQ3550" t="s">
        <v>1417</v>
      </c>
      <c r="BR3550" t="s">
        <v>84</v>
      </c>
      <c r="BS3550" s="3">
        <v>43797</v>
      </c>
      <c r="BT3550" s="5">
        <v>0.28819444444444448</v>
      </c>
      <c r="BU3550" t="s">
        <v>3256</v>
      </c>
      <c r="BV3550" t="s">
        <v>86</v>
      </c>
      <c r="BY3550">
        <v>29207.43</v>
      </c>
      <c r="CA3550" t="s">
        <v>2334</v>
      </c>
      <c r="CC3550" t="s">
        <v>76</v>
      </c>
      <c r="CD3550">
        <v>1601</v>
      </c>
      <c r="CE3550" t="s">
        <v>1598</v>
      </c>
      <c r="CI3550">
        <v>1</v>
      </c>
      <c r="CJ3550">
        <v>1</v>
      </c>
      <c r="CK3550">
        <v>22</v>
      </c>
      <c r="CL3550" t="s">
        <v>89</v>
      </c>
    </row>
    <row r="3551" spans="1:90">
      <c r="A3551" t="s">
        <v>72</v>
      </c>
      <c r="B3551" t="s">
        <v>73</v>
      </c>
      <c r="C3551" t="s">
        <v>74</v>
      </c>
      <c r="E3551" t="str">
        <f>"FES1162725345"</f>
        <v>FES1162725345</v>
      </c>
      <c r="F3551" s="3">
        <v>43796</v>
      </c>
      <c r="G3551">
        <v>202005</v>
      </c>
      <c r="H3551" t="s">
        <v>75</v>
      </c>
      <c r="I3551" t="s">
        <v>76</v>
      </c>
      <c r="J3551" t="s">
        <v>77</v>
      </c>
      <c r="K3551" t="s">
        <v>78</v>
      </c>
      <c r="L3551" t="s">
        <v>95</v>
      </c>
      <c r="M3551" t="s">
        <v>96</v>
      </c>
      <c r="N3551" t="s">
        <v>2561</v>
      </c>
      <c r="O3551" t="s">
        <v>82</v>
      </c>
      <c r="P3551" t="str">
        <f>"2170719106                    "</f>
        <v xml:space="preserve">2170719106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6.71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 s="4">
        <v>39.42</v>
      </c>
      <c r="BM3551" s="4">
        <v>5.91</v>
      </c>
      <c r="BN3551" s="4">
        <v>45.33</v>
      </c>
      <c r="BO3551" s="4">
        <v>45.33</v>
      </c>
      <c r="BQ3551" t="s">
        <v>2562</v>
      </c>
      <c r="BR3551" t="s">
        <v>84</v>
      </c>
      <c r="BS3551" s="3">
        <v>43797</v>
      </c>
      <c r="BT3551" s="5">
        <v>0.33333333333333331</v>
      </c>
      <c r="BU3551" t="s">
        <v>2563</v>
      </c>
      <c r="BV3551" t="s">
        <v>86</v>
      </c>
      <c r="BY3551">
        <v>1200</v>
      </c>
      <c r="CC3551" t="s">
        <v>96</v>
      </c>
      <c r="CD3551">
        <v>1451</v>
      </c>
      <c r="CE3551" t="s">
        <v>147</v>
      </c>
      <c r="CI3551">
        <v>1</v>
      </c>
      <c r="CJ3551">
        <v>1</v>
      </c>
      <c r="CK3551">
        <v>22</v>
      </c>
      <c r="CL3551" t="s">
        <v>89</v>
      </c>
    </row>
    <row r="3552" spans="1:90">
      <c r="A3552" t="s">
        <v>72</v>
      </c>
      <c r="B3552" t="s">
        <v>73</v>
      </c>
      <c r="C3552" t="s">
        <v>74</v>
      </c>
      <c r="E3552" t="str">
        <f>"FES1162725377"</f>
        <v>FES1162725377</v>
      </c>
      <c r="F3552" s="3">
        <v>43796</v>
      </c>
      <c r="G3552">
        <v>202005</v>
      </c>
      <c r="H3552" t="s">
        <v>75</v>
      </c>
      <c r="I3552" t="s">
        <v>76</v>
      </c>
      <c r="J3552" t="s">
        <v>77</v>
      </c>
      <c r="K3552" t="s">
        <v>78</v>
      </c>
      <c r="L3552" t="s">
        <v>783</v>
      </c>
      <c r="M3552" t="s">
        <v>784</v>
      </c>
      <c r="N3552" t="s">
        <v>785</v>
      </c>
      <c r="O3552" t="s">
        <v>82</v>
      </c>
      <c r="P3552" t="str">
        <f>"2170719133                    "</f>
        <v xml:space="preserve">2170719133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129.30000000000001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7</v>
      </c>
      <c r="BJ3552">
        <v>16.600000000000001</v>
      </c>
      <c r="BK3552">
        <v>17</v>
      </c>
      <c r="BL3552" s="4">
        <v>760.02</v>
      </c>
      <c r="BM3552" s="4">
        <v>114</v>
      </c>
      <c r="BN3552" s="4">
        <v>874.02</v>
      </c>
      <c r="BO3552" s="4">
        <v>874.02</v>
      </c>
      <c r="BQ3552" t="s">
        <v>109</v>
      </c>
      <c r="BR3552" t="s">
        <v>84</v>
      </c>
      <c r="BS3552" s="3">
        <v>43797</v>
      </c>
      <c r="BT3552" s="5">
        <v>0.39583333333333331</v>
      </c>
      <c r="BU3552" t="s">
        <v>786</v>
      </c>
      <c r="BV3552" t="s">
        <v>86</v>
      </c>
      <c r="BY3552">
        <v>83178.990000000005</v>
      </c>
      <c r="CC3552" t="s">
        <v>784</v>
      </c>
      <c r="CD3552">
        <v>9880</v>
      </c>
      <c r="CE3552" t="s">
        <v>88</v>
      </c>
      <c r="CI3552">
        <v>1</v>
      </c>
      <c r="CJ3552">
        <v>1</v>
      </c>
      <c r="CK3552">
        <v>23</v>
      </c>
      <c r="CL3552" t="s">
        <v>89</v>
      </c>
    </row>
    <row r="3553" spans="1:90">
      <c r="A3553" t="s">
        <v>72</v>
      </c>
      <c r="B3553" t="s">
        <v>73</v>
      </c>
      <c r="C3553" t="s">
        <v>74</v>
      </c>
      <c r="E3553" t="str">
        <f>"FES1162725327"</f>
        <v>FES1162725327</v>
      </c>
      <c r="F3553" s="3">
        <v>43796</v>
      </c>
      <c r="G3553">
        <v>202005</v>
      </c>
      <c r="H3553" t="s">
        <v>75</v>
      </c>
      <c r="I3553" t="s">
        <v>76</v>
      </c>
      <c r="J3553" t="s">
        <v>77</v>
      </c>
      <c r="K3553" t="s">
        <v>78</v>
      </c>
      <c r="L3553" t="s">
        <v>75</v>
      </c>
      <c r="M3553" t="s">
        <v>76</v>
      </c>
      <c r="N3553" t="s">
        <v>1416</v>
      </c>
      <c r="O3553" t="s">
        <v>82</v>
      </c>
      <c r="P3553" t="str">
        <f>"2170718407                    "</f>
        <v xml:space="preserve">2170718407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13.13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0.2</v>
      </c>
      <c r="BJ3553">
        <v>6</v>
      </c>
      <c r="BK3553">
        <v>6</v>
      </c>
      <c r="BL3553" s="4">
        <v>77.2</v>
      </c>
      <c r="BM3553" s="4">
        <v>11.58</v>
      </c>
      <c r="BN3553" s="4">
        <v>88.78</v>
      </c>
      <c r="BO3553" s="4">
        <v>88.78</v>
      </c>
      <c r="BQ3553" t="s">
        <v>1417</v>
      </c>
      <c r="BR3553" t="s">
        <v>84</v>
      </c>
      <c r="BS3553" s="3">
        <v>43797</v>
      </c>
      <c r="BT3553" s="5">
        <v>0.28819444444444448</v>
      </c>
      <c r="BU3553" t="s">
        <v>3256</v>
      </c>
      <c r="BV3553" t="s">
        <v>86</v>
      </c>
      <c r="BY3553">
        <v>29795.62</v>
      </c>
      <c r="CA3553" t="s">
        <v>2334</v>
      </c>
      <c r="CC3553" t="s">
        <v>76</v>
      </c>
      <c r="CD3553">
        <v>1601</v>
      </c>
      <c r="CE3553" t="s">
        <v>1598</v>
      </c>
      <c r="CI3553">
        <v>1</v>
      </c>
      <c r="CJ3553">
        <v>1</v>
      </c>
      <c r="CK3553">
        <v>22</v>
      </c>
      <c r="CL3553" t="s">
        <v>89</v>
      </c>
    </row>
    <row r="3554" spans="1:90">
      <c r="A3554" t="s">
        <v>72</v>
      </c>
      <c r="B3554" t="s">
        <v>73</v>
      </c>
      <c r="C3554" t="s">
        <v>74</v>
      </c>
      <c r="E3554" t="str">
        <f>"FES1162725391"</f>
        <v>FES1162725391</v>
      </c>
      <c r="F3554" s="3">
        <v>43796</v>
      </c>
      <c r="G3554">
        <v>202005</v>
      </c>
      <c r="H3554" t="s">
        <v>75</v>
      </c>
      <c r="I3554" t="s">
        <v>76</v>
      </c>
      <c r="J3554" t="s">
        <v>77</v>
      </c>
      <c r="K3554" t="s">
        <v>78</v>
      </c>
      <c r="L3554" t="s">
        <v>681</v>
      </c>
      <c r="M3554" t="s">
        <v>682</v>
      </c>
      <c r="N3554" t="s">
        <v>3288</v>
      </c>
      <c r="O3554" t="s">
        <v>82</v>
      </c>
      <c r="P3554" t="str">
        <f>"21707419144                   "</f>
        <v xml:space="preserve">21707419144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12.07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1.4</v>
      </c>
      <c r="BJ3554">
        <v>1.3</v>
      </c>
      <c r="BK3554">
        <v>1.5</v>
      </c>
      <c r="BL3554" s="4">
        <v>70.95</v>
      </c>
      <c r="BM3554" s="4">
        <v>10.64</v>
      </c>
      <c r="BN3554" s="4">
        <v>81.59</v>
      </c>
      <c r="BO3554" s="4">
        <v>81.59</v>
      </c>
      <c r="BR3554" t="s">
        <v>84</v>
      </c>
      <c r="BS3554" s="3">
        <v>43797</v>
      </c>
      <c r="BT3554" s="5">
        <v>0.4145833333333333</v>
      </c>
      <c r="BU3554" t="s">
        <v>3289</v>
      </c>
      <c r="BV3554" t="s">
        <v>86</v>
      </c>
      <c r="BY3554">
        <v>6298.5</v>
      </c>
      <c r="CA3554" t="s">
        <v>685</v>
      </c>
      <c r="CC3554" t="s">
        <v>682</v>
      </c>
      <c r="CD3554">
        <v>1872</v>
      </c>
      <c r="CE3554" t="s">
        <v>88</v>
      </c>
      <c r="CI3554">
        <v>1</v>
      </c>
      <c r="CJ3554">
        <v>1</v>
      </c>
      <c r="CK3554">
        <v>24</v>
      </c>
      <c r="CL3554" t="s">
        <v>89</v>
      </c>
    </row>
    <row r="3555" spans="1:90">
      <c r="A3555" t="s">
        <v>72</v>
      </c>
      <c r="B3555" t="s">
        <v>73</v>
      </c>
      <c r="C3555" t="s">
        <v>74</v>
      </c>
      <c r="E3555" t="str">
        <f>"FES1162725462"</f>
        <v>FES1162725462</v>
      </c>
      <c r="F3555" s="3">
        <v>43796</v>
      </c>
      <c r="G3555">
        <v>202005</v>
      </c>
      <c r="H3555" t="s">
        <v>75</v>
      </c>
      <c r="I3555" t="s">
        <v>76</v>
      </c>
      <c r="J3555" t="s">
        <v>77</v>
      </c>
      <c r="K3555" t="s">
        <v>78</v>
      </c>
      <c r="L3555" t="s">
        <v>106</v>
      </c>
      <c r="M3555" t="s">
        <v>107</v>
      </c>
      <c r="N3555" t="s">
        <v>108</v>
      </c>
      <c r="O3555" t="s">
        <v>82</v>
      </c>
      <c r="P3555" t="str">
        <f>"2170719237                    "</f>
        <v xml:space="preserve">2170719237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8.58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 s="4">
        <v>50.45</v>
      </c>
      <c r="BM3555" s="4">
        <v>7.57</v>
      </c>
      <c r="BN3555" s="4">
        <v>58.02</v>
      </c>
      <c r="BO3555" s="4">
        <v>58.02</v>
      </c>
      <c r="BQ3555" t="s">
        <v>109</v>
      </c>
      <c r="BR3555" t="s">
        <v>84</v>
      </c>
      <c r="BS3555" s="3">
        <v>43797</v>
      </c>
      <c r="BT3555" s="5">
        <v>0.43333333333333335</v>
      </c>
      <c r="BU3555" t="s">
        <v>110</v>
      </c>
      <c r="BV3555" t="s">
        <v>86</v>
      </c>
      <c r="BY3555">
        <v>1200</v>
      </c>
      <c r="CA3555" t="s">
        <v>111</v>
      </c>
      <c r="CC3555" t="s">
        <v>107</v>
      </c>
      <c r="CD3555">
        <v>6001</v>
      </c>
      <c r="CE3555" t="s">
        <v>147</v>
      </c>
      <c r="CF3555" s="3">
        <v>43798</v>
      </c>
      <c r="CI3555">
        <v>1</v>
      </c>
      <c r="CJ3555">
        <v>1</v>
      </c>
      <c r="CK3555">
        <v>21</v>
      </c>
      <c r="CL3555" t="s">
        <v>89</v>
      </c>
    </row>
    <row r="3556" spans="1:90">
      <c r="A3556" t="s">
        <v>72</v>
      </c>
      <c r="B3556" t="s">
        <v>73</v>
      </c>
      <c r="C3556" t="s">
        <v>74</v>
      </c>
      <c r="E3556" t="str">
        <f>"FES1162725478"</f>
        <v>FES1162725478</v>
      </c>
      <c r="F3556" s="3">
        <v>43796</v>
      </c>
      <c r="G3556">
        <v>202005</v>
      </c>
      <c r="H3556" t="s">
        <v>75</v>
      </c>
      <c r="I3556" t="s">
        <v>76</v>
      </c>
      <c r="J3556" t="s">
        <v>77</v>
      </c>
      <c r="K3556" t="s">
        <v>78</v>
      </c>
      <c r="L3556" t="s">
        <v>214</v>
      </c>
      <c r="M3556" t="s">
        <v>214</v>
      </c>
      <c r="N3556" t="s">
        <v>314</v>
      </c>
      <c r="O3556" t="s">
        <v>82</v>
      </c>
      <c r="P3556" t="str">
        <f>"2170719246                    "</f>
        <v xml:space="preserve">2170719246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16.63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 s="4">
        <v>97.75</v>
      </c>
      <c r="BM3556" s="4">
        <v>14.66</v>
      </c>
      <c r="BN3556" s="4">
        <v>112.41</v>
      </c>
      <c r="BO3556" s="4">
        <v>112.41</v>
      </c>
      <c r="BQ3556" t="s">
        <v>109</v>
      </c>
      <c r="BR3556" t="s">
        <v>84</v>
      </c>
      <c r="BS3556" s="3">
        <v>43797</v>
      </c>
      <c r="BT3556" s="5">
        <v>0.49791666666666662</v>
      </c>
      <c r="BU3556" t="s">
        <v>315</v>
      </c>
      <c r="BV3556" t="s">
        <v>86</v>
      </c>
      <c r="BY3556">
        <v>1200</v>
      </c>
      <c r="CA3556" t="s">
        <v>217</v>
      </c>
      <c r="CC3556" t="s">
        <v>214</v>
      </c>
      <c r="CD3556">
        <v>7646</v>
      </c>
      <c r="CE3556" t="s">
        <v>147</v>
      </c>
      <c r="CF3556" s="3">
        <v>43798</v>
      </c>
      <c r="CI3556">
        <v>1</v>
      </c>
      <c r="CJ3556">
        <v>1</v>
      </c>
      <c r="CK3556">
        <v>23</v>
      </c>
      <c r="CL3556" t="s">
        <v>89</v>
      </c>
    </row>
    <row r="3557" spans="1:90">
      <c r="A3557" t="s">
        <v>72</v>
      </c>
      <c r="B3557" t="s">
        <v>73</v>
      </c>
      <c r="C3557" t="s">
        <v>74</v>
      </c>
      <c r="E3557" t="str">
        <f>"FES1162725485"</f>
        <v>FES1162725485</v>
      </c>
      <c r="F3557" s="3">
        <v>43796</v>
      </c>
      <c r="G3557">
        <v>202005</v>
      </c>
      <c r="H3557" t="s">
        <v>75</v>
      </c>
      <c r="I3557" t="s">
        <v>76</v>
      </c>
      <c r="J3557" t="s">
        <v>77</v>
      </c>
      <c r="K3557" t="s">
        <v>78</v>
      </c>
      <c r="L3557" t="s">
        <v>482</v>
      </c>
      <c r="M3557" t="s">
        <v>483</v>
      </c>
      <c r="N3557" t="s">
        <v>1442</v>
      </c>
      <c r="O3557" t="s">
        <v>82</v>
      </c>
      <c r="P3557" t="str">
        <f>"2170715485                    "</f>
        <v xml:space="preserve">2170715485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6.71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 s="4">
        <v>39.42</v>
      </c>
      <c r="BM3557" s="4">
        <v>5.91</v>
      </c>
      <c r="BN3557" s="4">
        <v>45.33</v>
      </c>
      <c r="BO3557" s="4">
        <v>45.33</v>
      </c>
      <c r="BR3557" t="s">
        <v>84</v>
      </c>
      <c r="BS3557" s="3">
        <v>43797</v>
      </c>
      <c r="BT3557" s="5">
        <v>0.26944444444444443</v>
      </c>
      <c r="BU3557" t="s">
        <v>2768</v>
      </c>
      <c r="BV3557" t="s">
        <v>86</v>
      </c>
      <c r="BY3557">
        <v>1200</v>
      </c>
      <c r="CC3557" t="s">
        <v>483</v>
      </c>
      <c r="CD3557">
        <v>1460</v>
      </c>
      <c r="CE3557" t="s">
        <v>147</v>
      </c>
      <c r="CI3557">
        <v>1</v>
      </c>
      <c r="CJ3557">
        <v>1</v>
      </c>
      <c r="CK3557">
        <v>22</v>
      </c>
      <c r="CL3557" t="s">
        <v>89</v>
      </c>
    </row>
    <row r="3558" spans="1:90">
      <c r="A3558" t="s">
        <v>72</v>
      </c>
      <c r="B3558" t="s">
        <v>73</v>
      </c>
      <c r="C3558" t="s">
        <v>74</v>
      </c>
      <c r="E3558" t="str">
        <f>"FES1162725454"</f>
        <v>FES1162725454</v>
      </c>
      <c r="F3558" s="3">
        <v>43796</v>
      </c>
      <c r="G3558">
        <v>202005</v>
      </c>
      <c r="H3558" t="s">
        <v>75</v>
      </c>
      <c r="I3558" t="s">
        <v>76</v>
      </c>
      <c r="J3558" t="s">
        <v>77</v>
      </c>
      <c r="K3558" t="s">
        <v>78</v>
      </c>
      <c r="L3558" t="s">
        <v>124</v>
      </c>
      <c r="M3558" t="s">
        <v>125</v>
      </c>
      <c r="N3558" t="s">
        <v>3280</v>
      </c>
      <c r="O3558" t="s">
        <v>82</v>
      </c>
      <c r="P3558" t="str">
        <f>"2170719045                    "</f>
        <v xml:space="preserve">2170719045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6.71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 s="4">
        <v>39.42</v>
      </c>
      <c r="BM3558" s="4">
        <v>5.91</v>
      </c>
      <c r="BN3558" s="4">
        <v>45.33</v>
      </c>
      <c r="BO3558" s="4">
        <v>45.33</v>
      </c>
      <c r="BQ3558" t="s">
        <v>187</v>
      </c>
      <c r="BR3558" t="s">
        <v>84</v>
      </c>
      <c r="BS3558" s="3">
        <v>43797</v>
      </c>
      <c r="BT3558" s="5">
        <v>0.3979166666666667</v>
      </c>
      <c r="BU3558" t="s">
        <v>3281</v>
      </c>
      <c r="BV3558" t="s">
        <v>86</v>
      </c>
      <c r="BY3558">
        <v>1200</v>
      </c>
      <c r="CA3558" t="s">
        <v>1140</v>
      </c>
      <c r="CC3558" t="s">
        <v>125</v>
      </c>
      <c r="CD3558">
        <v>2091</v>
      </c>
      <c r="CE3558" t="s">
        <v>147</v>
      </c>
      <c r="CI3558">
        <v>1</v>
      </c>
      <c r="CJ3558">
        <v>1</v>
      </c>
      <c r="CK3558">
        <v>22</v>
      </c>
      <c r="CL3558" t="s">
        <v>89</v>
      </c>
    </row>
    <row r="3559" spans="1:90">
      <c r="A3559" t="s">
        <v>72</v>
      </c>
      <c r="B3559" t="s">
        <v>73</v>
      </c>
      <c r="C3559" t="s">
        <v>74</v>
      </c>
      <c r="E3559" t="str">
        <f>"FES1162725503"</f>
        <v>FES1162725503</v>
      </c>
      <c r="F3559" s="3">
        <v>43796</v>
      </c>
      <c r="G3559">
        <v>202005</v>
      </c>
      <c r="H3559" t="s">
        <v>75</v>
      </c>
      <c r="I3559" t="s">
        <v>76</v>
      </c>
      <c r="J3559" t="s">
        <v>77</v>
      </c>
      <c r="K3559" t="s">
        <v>78</v>
      </c>
      <c r="L3559" t="s">
        <v>133</v>
      </c>
      <c r="M3559" t="s">
        <v>134</v>
      </c>
      <c r="N3559" t="s">
        <v>135</v>
      </c>
      <c r="O3559" t="s">
        <v>82</v>
      </c>
      <c r="P3559" t="str">
        <f>"2170719092                    "</f>
        <v xml:space="preserve">2170719092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8.58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 s="4">
        <v>50.45</v>
      </c>
      <c r="BM3559" s="4">
        <v>7.57</v>
      </c>
      <c r="BN3559" s="4">
        <v>58.02</v>
      </c>
      <c r="BO3559" s="4">
        <v>58.02</v>
      </c>
      <c r="BQ3559" t="s">
        <v>109</v>
      </c>
      <c r="BR3559" t="s">
        <v>84</v>
      </c>
      <c r="BS3559" s="3">
        <v>43797</v>
      </c>
      <c r="BT3559" s="5">
        <v>0.43402777777777773</v>
      </c>
      <c r="BU3559" t="s">
        <v>136</v>
      </c>
      <c r="BV3559" t="s">
        <v>86</v>
      </c>
      <c r="BY3559">
        <v>1200</v>
      </c>
      <c r="CA3559" t="s">
        <v>912</v>
      </c>
      <c r="CC3559" t="s">
        <v>134</v>
      </c>
      <c r="CD3559">
        <v>5201</v>
      </c>
      <c r="CE3559" t="s">
        <v>147</v>
      </c>
      <c r="CI3559">
        <v>1</v>
      </c>
      <c r="CJ3559">
        <v>1</v>
      </c>
      <c r="CK3559">
        <v>21</v>
      </c>
      <c r="CL3559" t="s">
        <v>89</v>
      </c>
    </row>
    <row r="3560" spans="1:90">
      <c r="A3560" t="s">
        <v>72</v>
      </c>
      <c r="B3560" t="s">
        <v>73</v>
      </c>
      <c r="C3560" t="s">
        <v>74</v>
      </c>
      <c r="E3560" t="str">
        <f>"FES1162725499"</f>
        <v>FES1162725499</v>
      </c>
      <c r="F3560" s="3">
        <v>43796</v>
      </c>
      <c r="G3560">
        <v>202005</v>
      </c>
      <c r="H3560" t="s">
        <v>75</v>
      </c>
      <c r="I3560" t="s">
        <v>76</v>
      </c>
      <c r="J3560" t="s">
        <v>77</v>
      </c>
      <c r="K3560" t="s">
        <v>78</v>
      </c>
      <c r="L3560" t="s">
        <v>133</v>
      </c>
      <c r="M3560" t="s">
        <v>134</v>
      </c>
      <c r="N3560" t="s">
        <v>135</v>
      </c>
      <c r="O3560" t="s">
        <v>82</v>
      </c>
      <c r="P3560" t="str">
        <f>"2170718021                    "</f>
        <v xml:space="preserve">2170718021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8.58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 s="4">
        <v>50.45</v>
      </c>
      <c r="BM3560" s="4">
        <v>7.57</v>
      </c>
      <c r="BN3560" s="4">
        <v>58.02</v>
      </c>
      <c r="BO3560" s="4">
        <v>58.02</v>
      </c>
      <c r="BQ3560" t="s">
        <v>109</v>
      </c>
      <c r="BR3560" t="s">
        <v>84</v>
      </c>
      <c r="BS3560" s="3">
        <v>43797</v>
      </c>
      <c r="BT3560" s="5">
        <v>0.38958333333333334</v>
      </c>
      <c r="BU3560" t="s">
        <v>136</v>
      </c>
      <c r="BV3560" t="s">
        <v>86</v>
      </c>
      <c r="BY3560">
        <v>1200</v>
      </c>
      <c r="CA3560" t="s">
        <v>912</v>
      </c>
      <c r="CC3560" t="s">
        <v>134</v>
      </c>
      <c r="CD3560">
        <v>5201</v>
      </c>
      <c r="CE3560" t="s">
        <v>147</v>
      </c>
      <c r="CF3560" s="3">
        <v>43798</v>
      </c>
      <c r="CI3560">
        <v>1</v>
      </c>
      <c r="CJ3560">
        <v>1</v>
      </c>
      <c r="CK3560">
        <v>21</v>
      </c>
      <c r="CL3560" t="s">
        <v>89</v>
      </c>
    </row>
    <row r="3561" spans="1:90">
      <c r="A3561" t="s">
        <v>72</v>
      </c>
      <c r="B3561" t="s">
        <v>73</v>
      </c>
      <c r="C3561" t="s">
        <v>74</v>
      </c>
      <c r="E3561" t="str">
        <f>"FES1162725458"</f>
        <v>FES1162725458</v>
      </c>
      <c r="F3561" s="3">
        <v>43796</v>
      </c>
      <c r="G3561">
        <v>202005</v>
      </c>
      <c r="H3561" t="s">
        <v>75</v>
      </c>
      <c r="I3561" t="s">
        <v>76</v>
      </c>
      <c r="J3561" t="s">
        <v>77</v>
      </c>
      <c r="K3561" t="s">
        <v>78</v>
      </c>
      <c r="L3561" t="s">
        <v>79</v>
      </c>
      <c r="M3561" t="s">
        <v>80</v>
      </c>
      <c r="N3561" t="s">
        <v>3269</v>
      </c>
      <c r="O3561" t="s">
        <v>82</v>
      </c>
      <c r="P3561" t="str">
        <f>"2170719115                    "</f>
        <v xml:space="preserve">2170719115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8.58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 s="4">
        <v>50.45</v>
      </c>
      <c r="BM3561" s="4">
        <v>7.57</v>
      </c>
      <c r="BN3561" s="4">
        <v>58.02</v>
      </c>
      <c r="BO3561" s="4">
        <v>58.02</v>
      </c>
      <c r="BQ3561" t="s">
        <v>1587</v>
      </c>
      <c r="BR3561" t="s">
        <v>84</v>
      </c>
      <c r="BS3561" s="3">
        <v>43797</v>
      </c>
      <c r="BT3561" s="5">
        <v>0.38263888888888892</v>
      </c>
      <c r="BU3561" t="s">
        <v>2119</v>
      </c>
      <c r="BV3561" t="s">
        <v>86</v>
      </c>
      <c r="BY3561">
        <v>1200</v>
      </c>
      <c r="CA3561" t="s">
        <v>87</v>
      </c>
      <c r="CC3561" t="s">
        <v>80</v>
      </c>
      <c r="CD3561">
        <v>6229</v>
      </c>
      <c r="CE3561" t="s">
        <v>147</v>
      </c>
      <c r="CF3561" s="3">
        <v>43798</v>
      </c>
      <c r="CI3561">
        <v>1</v>
      </c>
      <c r="CJ3561">
        <v>1</v>
      </c>
      <c r="CK3561">
        <v>21</v>
      </c>
      <c r="CL3561" t="s">
        <v>89</v>
      </c>
    </row>
    <row r="3562" spans="1:90">
      <c r="A3562" t="s">
        <v>72</v>
      </c>
      <c r="B3562" t="s">
        <v>73</v>
      </c>
      <c r="C3562" t="s">
        <v>74</v>
      </c>
      <c r="E3562" t="str">
        <f>"FES1162725480"</f>
        <v>FES1162725480</v>
      </c>
      <c r="F3562" s="3">
        <v>43796</v>
      </c>
      <c r="G3562">
        <v>202005</v>
      </c>
      <c r="H3562" t="s">
        <v>75</v>
      </c>
      <c r="I3562" t="s">
        <v>76</v>
      </c>
      <c r="J3562" t="s">
        <v>77</v>
      </c>
      <c r="K3562" t="s">
        <v>78</v>
      </c>
      <c r="L3562" t="s">
        <v>133</v>
      </c>
      <c r="M3562" t="s">
        <v>134</v>
      </c>
      <c r="N3562" t="s">
        <v>310</v>
      </c>
      <c r="O3562" t="s">
        <v>82</v>
      </c>
      <c r="P3562" t="str">
        <f>"2170719248                    "</f>
        <v xml:space="preserve">2170719248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19.3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4.2</v>
      </c>
      <c r="BJ3562">
        <v>3</v>
      </c>
      <c r="BK3562">
        <v>4.5</v>
      </c>
      <c r="BL3562" s="4">
        <v>113.47</v>
      </c>
      <c r="BM3562" s="4">
        <v>17.02</v>
      </c>
      <c r="BN3562" s="4">
        <v>130.49</v>
      </c>
      <c r="BO3562" s="4">
        <v>130.49</v>
      </c>
      <c r="BR3562" t="s">
        <v>84</v>
      </c>
      <c r="BS3562" s="3">
        <v>43797</v>
      </c>
      <c r="BT3562" s="5">
        <v>0.39305555555555555</v>
      </c>
      <c r="BU3562" t="s">
        <v>1108</v>
      </c>
      <c r="BV3562" t="s">
        <v>86</v>
      </c>
      <c r="BY3562">
        <v>15201.37</v>
      </c>
      <c r="CA3562" t="s">
        <v>912</v>
      </c>
      <c r="CC3562" t="s">
        <v>134</v>
      </c>
      <c r="CD3562">
        <v>5201</v>
      </c>
      <c r="CE3562" t="s">
        <v>88</v>
      </c>
      <c r="CF3562" s="3">
        <v>43798</v>
      </c>
      <c r="CI3562">
        <v>1</v>
      </c>
      <c r="CJ3562">
        <v>1</v>
      </c>
      <c r="CK3562">
        <v>21</v>
      </c>
      <c r="CL3562" t="s">
        <v>89</v>
      </c>
    </row>
    <row r="3563" spans="1:90">
      <c r="A3563" t="s">
        <v>72</v>
      </c>
      <c r="B3563" t="s">
        <v>73</v>
      </c>
      <c r="C3563" t="s">
        <v>74</v>
      </c>
      <c r="E3563" t="str">
        <f>"FES1162725463"</f>
        <v>FES1162725463</v>
      </c>
      <c r="F3563" s="3">
        <v>43796</v>
      </c>
      <c r="G3563">
        <v>202005</v>
      </c>
      <c r="H3563" t="s">
        <v>75</v>
      </c>
      <c r="I3563" t="s">
        <v>76</v>
      </c>
      <c r="J3563" t="s">
        <v>77</v>
      </c>
      <c r="K3563" t="s">
        <v>78</v>
      </c>
      <c r="L3563" t="s">
        <v>90</v>
      </c>
      <c r="M3563" t="s">
        <v>91</v>
      </c>
      <c r="N3563" t="s">
        <v>401</v>
      </c>
      <c r="O3563" t="s">
        <v>82</v>
      </c>
      <c r="P3563" t="str">
        <f>"2170719243                    "</f>
        <v xml:space="preserve">2170719243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23.59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5.4</v>
      </c>
      <c r="BJ3563">
        <v>3.2</v>
      </c>
      <c r="BK3563">
        <v>5.5</v>
      </c>
      <c r="BL3563" s="4">
        <v>138.68</v>
      </c>
      <c r="BM3563" s="4">
        <v>20.8</v>
      </c>
      <c r="BN3563" s="4">
        <v>159.47999999999999</v>
      </c>
      <c r="BO3563" s="4">
        <v>159.47999999999999</v>
      </c>
      <c r="BQ3563" t="s">
        <v>109</v>
      </c>
      <c r="BR3563" t="s">
        <v>84</v>
      </c>
      <c r="BS3563" s="3">
        <v>43797</v>
      </c>
      <c r="BT3563" s="5">
        <v>0.36805555555555558</v>
      </c>
      <c r="BU3563" t="s">
        <v>402</v>
      </c>
      <c r="BV3563" t="s">
        <v>86</v>
      </c>
      <c r="BY3563">
        <v>15877.62</v>
      </c>
      <c r="CA3563" t="s">
        <v>221</v>
      </c>
      <c r="CC3563" t="s">
        <v>91</v>
      </c>
      <c r="CD3563">
        <v>7441</v>
      </c>
      <c r="CE3563" t="s">
        <v>88</v>
      </c>
      <c r="CF3563" s="3">
        <v>43798</v>
      </c>
      <c r="CI3563">
        <v>1</v>
      </c>
      <c r="CJ3563">
        <v>1</v>
      </c>
      <c r="CK3563">
        <v>21</v>
      </c>
      <c r="CL3563" t="s">
        <v>89</v>
      </c>
    </row>
    <row r="3564" spans="1:90">
      <c r="A3564" t="s">
        <v>72</v>
      </c>
      <c r="B3564" t="s">
        <v>73</v>
      </c>
      <c r="C3564" t="s">
        <v>74</v>
      </c>
      <c r="E3564" t="str">
        <f>"FES1162725473"</f>
        <v>FES1162725473</v>
      </c>
      <c r="F3564" s="3">
        <v>43796</v>
      </c>
      <c r="G3564">
        <v>202005</v>
      </c>
      <c r="H3564" t="s">
        <v>75</v>
      </c>
      <c r="I3564" t="s">
        <v>76</v>
      </c>
      <c r="J3564" t="s">
        <v>77</v>
      </c>
      <c r="K3564" t="s">
        <v>78</v>
      </c>
      <c r="L3564" t="s">
        <v>90</v>
      </c>
      <c r="M3564" t="s">
        <v>91</v>
      </c>
      <c r="N3564" t="s">
        <v>763</v>
      </c>
      <c r="O3564" t="s">
        <v>82</v>
      </c>
      <c r="P3564" t="str">
        <f>"217071616                     "</f>
        <v xml:space="preserve">217071616 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27.88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4</v>
      </c>
      <c r="BJ3564">
        <v>6.1</v>
      </c>
      <c r="BK3564">
        <v>6.5</v>
      </c>
      <c r="BL3564" s="4">
        <v>163.89</v>
      </c>
      <c r="BM3564" s="4">
        <v>24.58</v>
      </c>
      <c r="BN3564" s="4">
        <v>188.47</v>
      </c>
      <c r="BO3564" s="4">
        <v>188.47</v>
      </c>
      <c r="BQ3564" t="s">
        <v>109</v>
      </c>
      <c r="BR3564" t="s">
        <v>84</v>
      </c>
      <c r="BS3564" s="3">
        <v>43797</v>
      </c>
      <c r="BT3564" s="5">
        <v>0.375</v>
      </c>
      <c r="BU3564" t="s">
        <v>764</v>
      </c>
      <c r="BV3564" t="s">
        <v>86</v>
      </c>
      <c r="BY3564">
        <v>30360.22</v>
      </c>
      <c r="CA3564" t="s">
        <v>140</v>
      </c>
      <c r="CC3564" t="s">
        <v>91</v>
      </c>
      <c r="CD3564">
        <v>7560</v>
      </c>
      <c r="CE3564" t="s">
        <v>1598</v>
      </c>
      <c r="CF3564" s="3">
        <v>43798</v>
      </c>
      <c r="CI3564">
        <v>1</v>
      </c>
      <c r="CJ3564">
        <v>1</v>
      </c>
      <c r="CK3564">
        <v>21</v>
      </c>
      <c r="CL3564" t="s">
        <v>89</v>
      </c>
    </row>
    <row r="3565" spans="1:90">
      <c r="A3565" t="s">
        <v>72</v>
      </c>
      <c r="B3565" t="s">
        <v>73</v>
      </c>
      <c r="C3565" t="s">
        <v>74</v>
      </c>
      <c r="E3565" t="str">
        <f>"FES1162725457"</f>
        <v>FES1162725457</v>
      </c>
      <c r="F3565" s="3">
        <v>43796</v>
      </c>
      <c r="G3565">
        <v>202005</v>
      </c>
      <c r="H3565" t="s">
        <v>75</v>
      </c>
      <c r="I3565" t="s">
        <v>76</v>
      </c>
      <c r="J3565" t="s">
        <v>77</v>
      </c>
      <c r="K3565" t="s">
        <v>78</v>
      </c>
      <c r="L3565" t="s">
        <v>124</v>
      </c>
      <c r="M3565" t="s">
        <v>125</v>
      </c>
      <c r="N3565" t="s">
        <v>218</v>
      </c>
      <c r="O3565" t="s">
        <v>82</v>
      </c>
      <c r="P3565" t="str">
        <f>"2170719078                    "</f>
        <v xml:space="preserve">2170719078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6.71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 s="4">
        <v>39.42</v>
      </c>
      <c r="BM3565" s="4">
        <v>5.91</v>
      </c>
      <c r="BN3565" s="4">
        <v>45.33</v>
      </c>
      <c r="BO3565" s="4">
        <v>45.33</v>
      </c>
      <c r="BQ3565" t="s">
        <v>121</v>
      </c>
      <c r="BR3565" t="s">
        <v>84</v>
      </c>
      <c r="BS3565" s="3">
        <v>43797</v>
      </c>
      <c r="BT3565" s="5">
        <v>0.36388888888888887</v>
      </c>
      <c r="BU3565" t="s">
        <v>2247</v>
      </c>
      <c r="BV3565" t="s">
        <v>86</v>
      </c>
      <c r="BY3565">
        <v>1200</v>
      </c>
      <c r="CA3565" t="s">
        <v>837</v>
      </c>
      <c r="CC3565" t="s">
        <v>125</v>
      </c>
      <c r="CD3565">
        <v>2094</v>
      </c>
      <c r="CE3565" t="s">
        <v>147</v>
      </c>
      <c r="CI3565">
        <v>1</v>
      </c>
      <c r="CJ3565">
        <v>1</v>
      </c>
      <c r="CK3565">
        <v>22</v>
      </c>
      <c r="CL3565" t="s">
        <v>89</v>
      </c>
    </row>
    <row r="3566" spans="1:90">
      <c r="A3566" t="s">
        <v>72</v>
      </c>
      <c r="B3566" t="s">
        <v>73</v>
      </c>
      <c r="C3566" t="s">
        <v>74</v>
      </c>
      <c r="E3566" t="str">
        <f>"FES1162725507"</f>
        <v>FES1162725507</v>
      </c>
      <c r="F3566" s="3">
        <v>43796</v>
      </c>
      <c r="G3566">
        <v>202005</v>
      </c>
      <c r="H3566" t="s">
        <v>75</v>
      </c>
      <c r="I3566" t="s">
        <v>76</v>
      </c>
      <c r="J3566" t="s">
        <v>77</v>
      </c>
      <c r="K3566" t="s">
        <v>78</v>
      </c>
      <c r="L3566" t="s">
        <v>176</v>
      </c>
      <c r="M3566" t="s">
        <v>177</v>
      </c>
      <c r="N3566" t="s">
        <v>240</v>
      </c>
      <c r="O3566" t="s">
        <v>82</v>
      </c>
      <c r="P3566" t="str">
        <f>"2170719276                    "</f>
        <v xml:space="preserve">2170719276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8.58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 s="4">
        <v>50.45</v>
      </c>
      <c r="BM3566" s="4">
        <v>7.57</v>
      </c>
      <c r="BN3566" s="4">
        <v>58.02</v>
      </c>
      <c r="BO3566" s="4">
        <v>58.02</v>
      </c>
      <c r="BQ3566" t="s">
        <v>2188</v>
      </c>
      <c r="BR3566" t="s">
        <v>84</v>
      </c>
      <c r="BS3566" s="3">
        <v>43797</v>
      </c>
      <c r="BT3566" s="5">
        <v>0.35625000000000001</v>
      </c>
      <c r="BU3566" t="s">
        <v>3290</v>
      </c>
      <c r="BV3566" t="s">
        <v>86</v>
      </c>
      <c r="BY3566">
        <v>1200</v>
      </c>
      <c r="CA3566" t="s">
        <v>180</v>
      </c>
      <c r="CC3566" t="s">
        <v>177</v>
      </c>
      <c r="CD3566">
        <v>3610</v>
      </c>
      <c r="CE3566" t="s">
        <v>147</v>
      </c>
      <c r="CF3566" s="3">
        <v>43798</v>
      </c>
      <c r="CI3566">
        <v>1</v>
      </c>
      <c r="CJ3566">
        <v>1</v>
      </c>
      <c r="CK3566">
        <v>21</v>
      </c>
      <c r="CL3566" t="s">
        <v>89</v>
      </c>
    </row>
    <row r="3567" spans="1:90">
      <c r="A3567" t="s">
        <v>72</v>
      </c>
      <c r="B3567" t="s">
        <v>73</v>
      </c>
      <c r="C3567" t="s">
        <v>74</v>
      </c>
      <c r="E3567" t="str">
        <f>"FES1162725456"</f>
        <v>FES1162725456</v>
      </c>
      <c r="F3567" s="3">
        <v>43796</v>
      </c>
      <c r="G3567">
        <v>202005</v>
      </c>
      <c r="H3567" t="s">
        <v>75</v>
      </c>
      <c r="I3567" t="s">
        <v>76</v>
      </c>
      <c r="J3567" t="s">
        <v>77</v>
      </c>
      <c r="K3567" t="s">
        <v>78</v>
      </c>
      <c r="L3567" t="s">
        <v>202</v>
      </c>
      <c r="M3567" t="s">
        <v>203</v>
      </c>
      <c r="N3567" t="s">
        <v>2336</v>
      </c>
      <c r="O3567" t="s">
        <v>82</v>
      </c>
      <c r="P3567" t="str">
        <f>"2170719069                    "</f>
        <v xml:space="preserve">2170719069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6.71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 s="4">
        <v>39.42</v>
      </c>
      <c r="BM3567" s="4">
        <v>5.91</v>
      </c>
      <c r="BN3567" s="4">
        <v>45.33</v>
      </c>
      <c r="BO3567" s="4">
        <v>45.33</v>
      </c>
      <c r="BR3567" t="s">
        <v>84</v>
      </c>
      <c r="BS3567" s="3">
        <v>43797</v>
      </c>
      <c r="BT3567" s="5">
        <v>0.38541666666666669</v>
      </c>
      <c r="BU3567" t="s">
        <v>3291</v>
      </c>
      <c r="BV3567" t="s">
        <v>86</v>
      </c>
      <c r="BY3567">
        <v>1200</v>
      </c>
      <c r="CA3567" t="s">
        <v>123</v>
      </c>
      <c r="CC3567" t="s">
        <v>203</v>
      </c>
      <c r="CD3567">
        <v>1428</v>
      </c>
      <c r="CE3567" t="s">
        <v>147</v>
      </c>
      <c r="CI3567">
        <v>1</v>
      </c>
      <c r="CJ3567">
        <v>1</v>
      </c>
      <c r="CK3567">
        <v>22</v>
      </c>
      <c r="CL3567" t="s">
        <v>89</v>
      </c>
    </row>
    <row r="3568" spans="1:90">
      <c r="A3568" t="s">
        <v>72</v>
      </c>
      <c r="B3568" t="s">
        <v>73</v>
      </c>
      <c r="C3568" t="s">
        <v>74</v>
      </c>
      <c r="E3568" t="str">
        <f>"FES1162725474"</f>
        <v>FES1162725474</v>
      </c>
      <c r="F3568" s="3">
        <v>43796</v>
      </c>
      <c r="G3568">
        <v>202005</v>
      </c>
      <c r="H3568" t="s">
        <v>75</v>
      </c>
      <c r="I3568" t="s">
        <v>76</v>
      </c>
      <c r="J3568" t="s">
        <v>77</v>
      </c>
      <c r="K3568" t="s">
        <v>78</v>
      </c>
      <c r="L3568" t="s">
        <v>482</v>
      </c>
      <c r="M3568" t="s">
        <v>483</v>
      </c>
      <c r="N3568" t="s">
        <v>1547</v>
      </c>
      <c r="O3568" t="s">
        <v>82</v>
      </c>
      <c r="P3568" t="str">
        <f>"2170719235                    "</f>
        <v xml:space="preserve">2170719235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21.97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8.8000000000000007</v>
      </c>
      <c r="BJ3568">
        <v>11.3</v>
      </c>
      <c r="BK3568">
        <v>11.5</v>
      </c>
      <c r="BL3568" s="4">
        <v>129.16</v>
      </c>
      <c r="BM3568" s="4">
        <v>19.37</v>
      </c>
      <c r="BN3568" s="4">
        <v>148.53</v>
      </c>
      <c r="BO3568" s="4">
        <v>148.53</v>
      </c>
      <c r="BQ3568" t="s">
        <v>109</v>
      </c>
      <c r="BR3568" t="s">
        <v>84</v>
      </c>
      <c r="BS3568" s="3">
        <v>43797</v>
      </c>
      <c r="BT3568" s="5">
        <v>0.36388888888888887</v>
      </c>
      <c r="BU3568" t="s">
        <v>1518</v>
      </c>
      <c r="BV3568" t="s">
        <v>86</v>
      </c>
      <c r="BY3568">
        <v>56498.9</v>
      </c>
      <c r="CC3568" t="s">
        <v>483</v>
      </c>
      <c r="CD3568">
        <v>1460</v>
      </c>
      <c r="CE3568" t="s">
        <v>3292</v>
      </c>
      <c r="CI3568">
        <v>1</v>
      </c>
      <c r="CJ3568">
        <v>1</v>
      </c>
      <c r="CK3568">
        <v>22</v>
      </c>
      <c r="CL3568" t="s">
        <v>89</v>
      </c>
    </row>
    <row r="3569" spans="1:90">
      <c r="A3569" t="s">
        <v>72</v>
      </c>
      <c r="B3569" t="s">
        <v>73</v>
      </c>
      <c r="C3569" t="s">
        <v>74</v>
      </c>
      <c r="E3569" t="str">
        <f>"FES1162725492"</f>
        <v>FES1162725492</v>
      </c>
      <c r="F3569" s="3">
        <v>43796</v>
      </c>
      <c r="G3569">
        <v>202005</v>
      </c>
      <c r="H3569" t="s">
        <v>75</v>
      </c>
      <c r="I3569" t="s">
        <v>76</v>
      </c>
      <c r="J3569" t="s">
        <v>77</v>
      </c>
      <c r="K3569" t="s">
        <v>78</v>
      </c>
      <c r="L3569" t="s">
        <v>90</v>
      </c>
      <c r="M3569" t="s">
        <v>91</v>
      </c>
      <c r="N3569" t="s">
        <v>2052</v>
      </c>
      <c r="O3569" t="s">
        <v>82</v>
      </c>
      <c r="P3569" t="str">
        <f>"2170719266                    "</f>
        <v xml:space="preserve">2170719266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8.58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 s="4">
        <v>50.45</v>
      </c>
      <c r="BM3569" s="4">
        <v>7.57</v>
      </c>
      <c r="BN3569" s="4">
        <v>58.02</v>
      </c>
      <c r="BO3569" s="4">
        <v>58.02</v>
      </c>
      <c r="BQ3569" t="s">
        <v>109</v>
      </c>
      <c r="BR3569" t="s">
        <v>84</v>
      </c>
      <c r="BS3569" s="3">
        <v>43797</v>
      </c>
      <c r="BT3569" s="5">
        <v>0.4236111111111111</v>
      </c>
      <c r="BU3569" t="s">
        <v>694</v>
      </c>
      <c r="BV3569" t="s">
        <v>86</v>
      </c>
      <c r="BY3569">
        <v>1200</v>
      </c>
      <c r="CA3569" t="s">
        <v>717</v>
      </c>
      <c r="CC3569" t="s">
        <v>91</v>
      </c>
      <c r="CD3569">
        <v>7925</v>
      </c>
      <c r="CE3569" t="s">
        <v>147</v>
      </c>
      <c r="CF3569" s="3">
        <v>43798</v>
      </c>
      <c r="CI3569">
        <v>1</v>
      </c>
      <c r="CJ3569">
        <v>1</v>
      </c>
      <c r="CK3569">
        <v>21</v>
      </c>
      <c r="CL3569" t="s">
        <v>89</v>
      </c>
    </row>
    <row r="3570" spans="1:90">
      <c r="A3570" t="s">
        <v>72</v>
      </c>
      <c r="B3570" t="s">
        <v>73</v>
      </c>
      <c r="C3570" t="s">
        <v>74</v>
      </c>
      <c r="E3570" t="str">
        <f>"FES1162725505"</f>
        <v>FES1162725505</v>
      </c>
      <c r="F3570" s="3">
        <v>43796</v>
      </c>
      <c r="G3570">
        <v>202005</v>
      </c>
      <c r="H3570" t="s">
        <v>75</v>
      </c>
      <c r="I3570" t="s">
        <v>76</v>
      </c>
      <c r="J3570" t="s">
        <v>77</v>
      </c>
      <c r="K3570" t="s">
        <v>78</v>
      </c>
      <c r="L3570" t="s">
        <v>124</v>
      </c>
      <c r="M3570" t="s">
        <v>125</v>
      </c>
      <c r="N3570" t="s">
        <v>218</v>
      </c>
      <c r="O3570" t="s">
        <v>82</v>
      </c>
      <c r="P3570" t="str">
        <f>"2170719271                    "</f>
        <v xml:space="preserve">2170719271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8.31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2.6</v>
      </c>
      <c r="BJ3570">
        <v>1</v>
      </c>
      <c r="BK3570">
        <v>3</v>
      </c>
      <c r="BL3570" s="4">
        <v>48.86</v>
      </c>
      <c r="BM3570" s="4">
        <v>7.33</v>
      </c>
      <c r="BN3570" s="4">
        <v>56.19</v>
      </c>
      <c r="BO3570" s="4">
        <v>56.19</v>
      </c>
      <c r="BQ3570" t="s">
        <v>121</v>
      </c>
      <c r="BR3570" t="s">
        <v>84</v>
      </c>
      <c r="BS3570" s="3">
        <v>43797</v>
      </c>
      <c r="BT3570" s="5">
        <v>0.36388888888888887</v>
      </c>
      <c r="BU3570" t="s">
        <v>2247</v>
      </c>
      <c r="BV3570" t="s">
        <v>86</v>
      </c>
      <c r="BY3570">
        <v>4926.92</v>
      </c>
      <c r="CA3570" t="s">
        <v>837</v>
      </c>
      <c r="CC3570" t="s">
        <v>125</v>
      </c>
      <c r="CD3570">
        <v>2094</v>
      </c>
      <c r="CE3570" t="s">
        <v>88</v>
      </c>
      <c r="CI3570">
        <v>1</v>
      </c>
      <c r="CJ3570">
        <v>1</v>
      </c>
      <c r="CK3570">
        <v>22</v>
      </c>
      <c r="CL3570" t="s">
        <v>89</v>
      </c>
    </row>
    <row r="3571" spans="1:90">
      <c r="A3571" t="s">
        <v>72</v>
      </c>
      <c r="B3571" t="s">
        <v>73</v>
      </c>
      <c r="C3571" t="s">
        <v>74</v>
      </c>
      <c r="E3571" t="str">
        <f>"FES1162725510"</f>
        <v>FES1162725510</v>
      </c>
      <c r="F3571" s="3">
        <v>43796</v>
      </c>
      <c r="G3571">
        <v>202005</v>
      </c>
      <c r="H3571" t="s">
        <v>75</v>
      </c>
      <c r="I3571" t="s">
        <v>76</v>
      </c>
      <c r="J3571" t="s">
        <v>77</v>
      </c>
      <c r="K3571" t="s">
        <v>78</v>
      </c>
      <c r="L3571" t="s">
        <v>202</v>
      </c>
      <c r="M3571" t="s">
        <v>203</v>
      </c>
      <c r="N3571" t="s">
        <v>1455</v>
      </c>
      <c r="O3571" t="s">
        <v>82</v>
      </c>
      <c r="P3571" t="str">
        <f>"2170719277                    "</f>
        <v xml:space="preserve">2170719277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7.51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2.4</v>
      </c>
      <c r="BJ3571">
        <v>1.8</v>
      </c>
      <c r="BK3571">
        <v>2.5</v>
      </c>
      <c r="BL3571" s="4">
        <v>44.14</v>
      </c>
      <c r="BM3571" s="4">
        <v>6.62</v>
      </c>
      <c r="BN3571" s="4">
        <v>50.76</v>
      </c>
      <c r="BO3571" s="4">
        <v>50.76</v>
      </c>
      <c r="BQ3571" t="s">
        <v>1456</v>
      </c>
      <c r="BR3571" t="s">
        <v>84</v>
      </c>
      <c r="BS3571" s="3">
        <v>43797</v>
      </c>
      <c r="BT3571" s="5">
        <v>0.41319444444444442</v>
      </c>
      <c r="BU3571" t="s">
        <v>3293</v>
      </c>
      <c r="BV3571" t="s">
        <v>86</v>
      </c>
      <c r="BY3571">
        <v>8758.65</v>
      </c>
      <c r="CA3571" t="s">
        <v>123</v>
      </c>
      <c r="CC3571" t="s">
        <v>203</v>
      </c>
      <c r="CD3571">
        <v>1422</v>
      </c>
      <c r="CE3571" t="s">
        <v>1598</v>
      </c>
      <c r="CI3571">
        <v>1</v>
      </c>
      <c r="CJ3571">
        <v>1</v>
      </c>
      <c r="CK3571">
        <v>22</v>
      </c>
      <c r="CL3571" t="s">
        <v>89</v>
      </c>
    </row>
    <row r="3572" spans="1:90">
      <c r="A3572" t="s">
        <v>72</v>
      </c>
      <c r="B3572" t="s">
        <v>73</v>
      </c>
      <c r="C3572" t="s">
        <v>74</v>
      </c>
      <c r="E3572" t="str">
        <f>"FES1162725993"</f>
        <v>FES1162725993</v>
      </c>
      <c r="F3572" s="3">
        <v>43798</v>
      </c>
      <c r="G3572">
        <v>202005</v>
      </c>
      <c r="H3572" t="s">
        <v>75</v>
      </c>
      <c r="I3572" t="s">
        <v>76</v>
      </c>
      <c r="J3572" t="s">
        <v>77</v>
      </c>
      <c r="K3572" t="s">
        <v>78</v>
      </c>
      <c r="L3572" t="s">
        <v>825</v>
      </c>
      <c r="M3572" t="s">
        <v>826</v>
      </c>
      <c r="N3572" t="s">
        <v>939</v>
      </c>
      <c r="O3572" t="s">
        <v>82</v>
      </c>
      <c r="P3572" t="str">
        <f>"2170717491                    "</f>
        <v xml:space="preserve">2170717491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12.07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 s="4">
        <v>70.95</v>
      </c>
      <c r="BM3572" s="4">
        <v>10.64</v>
      </c>
      <c r="BN3572" s="4">
        <v>81.59</v>
      </c>
      <c r="BO3572" s="4">
        <v>81.59</v>
      </c>
      <c r="BQ3572" t="s">
        <v>109</v>
      </c>
      <c r="BR3572" t="s">
        <v>84</v>
      </c>
      <c r="BS3572" t="s">
        <v>201</v>
      </c>
      <c r="BY3572">
        <v>1200</v>
      </c>
      <c r="CC3572" t="s">
        <v>826</v>
      </c>
      <c r="CD3572">
        <v>1759</v>
      </c>
      <c r="CE3572" t="s">
        <v>147</v>
      </c>
      <c r="CI3572">
        <v>1</v>
      </c>
      <c r="CJ3572" t="s">
        <v>201</v>
      </c>
      <c r="CK3572">
        <v>24</v>
      </c>
      <c r="CL3572" t="s">
        <v>89</v>
      </c>
    </row>
    <row r="3573" spans="1:90">
      <c r="A3573" t="s">
        <v>72</v>
      </c>
      <c r="B3573" t="s">
        <v>73</v>
      </c>
      <c r="C3573" t="s">
        <v>74</v>
      </c>
      <c r="E3573" t="str">
        <f>"FES1162725978"</f>
        <v>FES1162725978</v>
      </c>
      <c r="F3573" s="3">
        <v>43798</v>
      </c>
      <c r="G3573">
        <v>202005</v>
      </c>
      <c r="H3573" t="s">
        <v>75</v>
      </c>
      <c r="I3573" t="s">
        <v>76</v>
      </c>
      <c r="J3573" t="s">
        <v>77</v>
      </c>
      <c r="K3573" t="s">
        <v>78</v>
      </c>
      <c r="L3573" t="s">
        <v>90</v>
      </c>
      <c r="M3573" t="s">
        <v>91</v>
      </c>
      <c r="N3573" t="s">
        <v>290</v>
      </c>
      <c r="O3573" t="s">
        <v>82</v>
      </c>
      <c r="P3573" t="str">
        <f>"2170916046                    "</f>
        <v xml:space="preserve">2170916046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8.58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 s="4">
        <v>50.45</v>
      </c>
      <c r="BM3573" s="4">
        <v>7.57</v>
      </c>
      <c r="BN3573" s="4">
        <v>58.02</v>
      </c>
      <c r="BO3573" s="4">
        <v>58.02</v>
      </c>
      <c r="BQ3573" t="s">
        <v>109</v>
      </c>
      <c r="BR3573" t="s">
        <v>84</v>
      </c>
      <c r="BS3573" t="s">
        <v>201</v>
      </c>
      <c r="BY3573">
        <v>1200</v>
      </c>
      <c r="CC3573" t="s">
        <v>91</v>
      </c>
      <c r="CD3573">
        <v>7530</v>
      </c>
      <c r="CE3573" t="s">
        <v>147</v>
      </c>
      <c r="CI3573">
        <v>1</v>
      </c>
      <c r="CJ3573" t="s">
        <v>201</v>
      </c>
      <c r="CK3573">
        <v>21</v>
      </c>
      <c r="CL3573" t="s">
        <v>89</v>
      </c>
    </row>
    <row r="3574" spans="1:90">
      <c r="A3574" t="s">
        <v>72</v>
      </c>
      <c r="B3574" t="s">
        <v>73</v>
      </c>
      <c r="C3574" t="s">
        <v>74</v>
      </c>
      <c r="E3574" t="str">
        <f>"FES1162726013"</f>
        <v>FES1162726013</v>
      </c>
      <c r="F3574" s="3">
        <v>43798</v>
      </c>
      <c r="G3574">
        <v>202005</v>
      </c>
      <c r="H3574" t="s">
        <v>75</v>
      </c>
      <c r="I3574" t="s">
        <v>76</v>
      </c>
      <c r="J3574" t="s">
        <v>77</v>
      </c>
      <c r="K3574" t="s">
        <v>78</v>
      </c>
      <c r="L3574" t="s">
        <v>214</v>
      </c>
      <c r="M3574" t="s">
        <v>214</v>
      </c>
      <c r="N3574" t="s">
        <v>314</v>
      </c>
      <c r="O3574" t="s">
        <v>82</v>
      </c>
      <c r="P3574" t="str">
        <f>"2170717213                    "</f>
        <v xml:space="preserve">2170717213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16.63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 s="4">
        <v>97.75</v>
      </c>
      <c r="BM3574" s="4">
        <v>14.66</v>
      </c>
      <c r="BN3574" s="4">
        <v>112.41</v>
      </c>
      <c r="BO3574" s="4">
        <v>112.41</v>
      </c>
      <c r="BQ3574" t="s">
        <v>109</v>
      </c>
      <c r="BR3574" t="s">
        <v>84</v>
      </c>
      <c r="BS3574" t="s">
        <v>201</v>
      </c>
      <c r="BY3574">
        <v>1200</v>
      </c>
      <c r="CC3574" t="s">
        <v>214</v>
      </c>
      <c r="CD3574">
        <v>7646</v>
      </c>
      <c r="CE3574" t="s">
        <v>147</v>
      </c>
      <c r="CI3574">
        <v>1</v>
      </c>
      <c r="CJ3574" t="s">
        <v>201</v>
      </c>
      <c r="CK3574">
        <v>23</v>
      </c>
      <c r="CL3574" t="s">
        <v>89</v>
      </c>
    </row>
    <row r="3575" spans="1:90">
      <c r="A3575" t="s">
        <v>72</v>
      </c>
      <c r="B3575" t="s">
        <v>73</v>
      </c>
      <c r="C3575" t="s">
        <v>74</v>
      </c>
      <c r="E3575" t="str">
        <f>"FES1162725433"</f>
        <v>FES1162725433</v>
      </c>
      <c r="F3575" s="3">
        <v>43796</v>
      </c>
      <c r="G3575">
        <v>202005</v>
      </c>
      <c r="H3575" t="s">
        <v>75</v>
      </c>
      <c r="I3575" t="s">
        <v>76</v>
      </c>
      <c r="J3575" t="s">
        <v>77</v>
      </c>
      <c r="K3575" t="s">
        <v>78</v>
      </c>
      <c r="L3575" t="s">
        <v>999</v>
      </c>
      <c r="M3575" t="s">
        <v>91</v>
      </c>
      <c r="N3575" t="s">
        <v>393</v>
      </c>
      <c r="O3575" t="s">
        <v>282</v>
      </c>
      <c r="P3575" t="str">
        <f>"2170719201                    "</f>
        <v xml:space="preserve">2170719201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28.1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20.6</v>
      </c>
      <c r="BJ3575">
        <v>29.1</v>
      </c>
      <c r="BK3575">
        <v>29</v>
      </c>
      <c r="BL3575" s="4">
        <v>170.19</v>
      </c>
      <c r="BM3575" s="4">
        <v>25.53</v>
      </c>
      <c r="BN3575" s="4">
        <v>195.72</v>
      </c>
      <c r="BO3575" s="4">
        <v>195.72</v>
      </c>
      <c r="BQ3575" t="s">
        <v>1630</v>
      </c>
      <c r="BR3575" t="s">
        <v>84</v>
      </c>
      <c r="BS3575" s="3">
        <v>43798</v>
      </c>
      <c r="BT3575" s="5">
        <v>0.38472222222222219</v>
      </c>
      <c r="BU3575" t="s">
        <v>590</v>
      </c>
      <c r="BV3575" t="s">
        <v>86</v>
      </c>
      <c r="BY3575">
        <v>145421.56</v>
      </c>
      <c r="CA3575" t="s">
        <v>1476</v>
      </c>
      <c r="CC3575" t="s">
        <v>91</v>
      </c>
      <c r="CD3575">
        <v>7405</v>
      </c>
      <c r="CE3575" t="s">
        <v>88</v>
      </c>
      <c r="CI3575">
        <v>2</v>
      </c>
      <c r="CJ3575">
        <v>2</v>
      </c>
      <c r="CK3575" t="s">
        <v>1002</v>
      </c>
      <c r="CL3575" t="s">
        <v>89</v>
      </c>
    </row>
    <row r="3576" spans="1:90">
      <c r="A3576" t="s">
        <v>72</v>
      </c>
      <c r="B3576" t="s">
        <v>73</v>
      </c>
      <c r="C3576" t="s">
        <v>74</v>
      </c>
      <c r="E3576" t="str">
        <f>"FES1162725337"</f>
        <v>FES1162725337</v>
      </c>
      <c r="F3576" s="3">
        <v>43796</v>
      </c>
      <c r="G3576">
        <v>202005</v>
      </c>
      <c r="H3576" t="s">
        <v>75</v>
      </c>
      <c r="I3576" t="s">
        <v>76</v>
      </c>
      <c r="J3576" t="s">
        <v>77</v>
      </c>
      <c r="K3576" t="s">
        <v>78</v>
      </c>
      <c r="L3576" t="s">
        <v>1651</v>
      </c>
      <c r="M3576" t="s">
        <v>1651</v>
      </c>
      <c r="N3576" t="s">
        <v>3054</v>
      </c>
      <c r="O3576" t="s">
        <v>282</v>
      </c>
      <c r="P3576" t="str">
        <f>"21707198087                   "</f>
        <v xml:space="preserve">21707198087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16.09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9.4</v>
      </c>
      <c r="BJ3576">
        <v>4.7</v>
      </c>
      <c r="BK3576">
        <v>10</v>
      </c>
      <c r="BL3576" s="4">
        <v>99.59</v>
      </c>
      <c r="BM3576" s="4">
        <v>14.94</v>
      </c>
      <c r="BN3576" s="4">
        <v>114.53</v>
      </c>
      <c r="BO3576" s="4">
        <v>114.53</v>
      </c>
      <c r="BP3576" t="s">
        <v>3223</v>
      </c>
      <c r="BQ3576" t="s">
        <v>3055</v>
      </c>
      <c r="BR3576" t="s">
        <v>84</v>
      </c>
      <c r="BS3576" s="3">
        <v>43797</v>
      </c>
      <c r="BT3576" s="5">
        <v>0.33333333333333331</v>
      </c>
      <c r="BU3576" t="s">
        <v>3294</v>
      </c>
      <c r="BV3576" t="s">
        <v>86</v>
      </c>
      <c r="BY3576">
        <v>23593.35</v>
      </c>
      <c r="CA3576" t="s">
        <v>362</v>
      </c>
      <c r="CC3576" t="s">
        <v>1651</v>
      </c>
      <c r="CD3576">
        <v>1490</v>
      </c>
      <c r="CE3576" t="s">
        <v>88</v>
      </c>
      <c r="CI3576">
        <v>1</v>
      </c>
      <c r="CJ3576">
        <v>1</v>
      </c>
      <c r="CK3576" t="s">
        <v>289</v>
      </c>
      <c r="CL3576" t="s">
        <v>89</v>
      </c>
    </row>
    <row r="3577" spans="1:90">
      <c r="A3577" t="s">
        <v>72</v>
      </c>
      <c r="B3577" t="s">
        <v>73</v>
      </c>
      <c r="C3577" t="s">
        <v>74</v>
      </c>
      <c r="E3577" t="str">
        <f>"FES1162725450"</f>
        <v>FES1162725450</v>
      </c>
      <c r="F3577" s="3">
        <v>43796</v>
      </c>
      <c r="G3577">
        <v>202005</v>
      </c>
      <c r="H3577" t="s">
        <v>75</v>
      </c>
      <c r="I3577" t="s">
        <v>76</v>
      </c>
      <c r="J3577" t="s">
        <v>77</v>
      </c>
      <c r="K3577" t="s">
        <v>78</v>
      </c>
      <c r="L3577" t="s">
        <v>75</v>
      </c>
      <c r="M3577" t="s">
        <v>76</v>
      </c>
      <c r="N3577" t="s">
        <v>199</v>
      </c>
      <c r="O3577" t="s">
        <v>282</v>
      </c>
      <c r="P3577" t="str">
        <f>"2170719226                    "</f>
        <v xml:space="preserve">2170719226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15.3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22.5</v>
      </c>
      <c r="BJ3577">
        <v>16.3</v>
      </c>
      <c r="BK3577">
        <v>23</v>
      </c>
      <c r="BL3577" s="4">
        <v>94.94</v>
      </c>
      <c r="BM3577" s="4">
        <v>14.24</v>
      </c>
      <c r="BN3577" s="4">
        <v>109.18</v>
      </c>
      <c r="BO3577" s="4">
        <v>109.18</v>
      </c>
      <c r="BQ3577" t="s">
        <v>200</v>
      </c>
      <c r="BR3577" t="s">
        <v>84</v>
      </c>
      <c r="BS3577" s="3">
        <v>43797</v>
      </c>
      <c r="BT3577" s="5">
        <v>0.33333333333333331</v>
      </c>
      <c r="BU3577" t="s">
        <v>1072</v>
      </c>
      <c r="BV3577" t="s">
        <v>86</v>
      </c>
      <c r="BY3577">
        <v>81310.19</v>
      </c>
      <c r="CA3577" t="s">
        <v>368</v>
      </c>
      <c r="CC3577" t="s">
        <v>76</v>
      </c>
      <c r="CD3577">
        <v>1600</v>
      </c>
      <c r="CE3577" t="s">
        <v>88</v>
      </c>
      <c r="CI3577">
        <v>1</v>
      </c>
      <c r="CJ3577">
        <v>1</v>
      </c>
      <c r="CK3577" t="s">
        <v>379</v>
      </c>
      <c r="CL3577" t="s">
        <v>89</v>
      </c>
    </row>
    <row r="3578" spans="1:90">
      <c r="A3578" t="s">
        <v>72</v>
      </c>
      <c r="B3578" t="s">
        <v>73</v>
      </c>
      <c r="C3578" t="s">
        <v>74</v>
      </c>
      <c r="E3578" t="str">
        <f>"FES1162725322"</f>
        <v>FES1162725322</v>
      </c>
      <c r="F3578" s="3">
        <v>43796</v>
      </c>
      <c r="G3578">
        <v>202005</v>
      </c>
      <c r="H3578" t="s">
        <v>75</v>
      </c>
      <c r="I3578" t="s">
        <v>76</v>
      </c>
      <c r="J3578" t="s">
        <v>77</v>
      </c>
      <c r="K3578" t="s">
        <v>78</v>
      </c>
      <c r="L3578" t="s">
        <v>133</v>
      </c>
      <c r="M3578" t="s">
        <v>134</v>
      </c>
      <c r="N3578" t="s">
        <v>735</v>
      </c>
      <c r="O3578" t="s">
        <v>282</v>
      </c>
      <c r="P3578" t="str">
        <f>"2170716324                    "</f>
        <v xml:space="preserve">2170716324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17.57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2</v>
      </c>
      <c r="BI3578">
        <v>3.4</v>
      </c>
      <c r="BJ3578">
        <v>11.7</v>
      </c>
      <c r="BK3578">
        <v>12</v>
      </c>
      <c r="BL3578" s="4">
        <v>108.28</v>
      </c>
      <c r="BM3578" s="4">
        <v>16.239999999999998</v>
      </c>
      <c r="BN3578" s="4">
        <v>124.52</v>
      </c>
      <c r="BO3578" s="4">
        <v>124.52</v>
      </c>
      <c r="BQ3578" t="s">
        <v>109</v>
      </c>
      <c r="BR3578" t="s">
        <v>84</v>
      </c>
      <c r="BS3578" s="3">
        <v>43798</v>
      </c>
      <c r="BT3578" s="5">
        <v>0.38194444444444442</v>
      </c>
      <c r="BU3578" t="s">
        <v>3145</v>
      </c>
      <c r="BV3578" t="s">
        <v>86</v>
      </c>
      <c r="BY3578">
        <v>58310.18</v>
      </c>
      <c r="CA3578" t="s">
        <v>698</v>
      </c>
      <c r="CC3578" t="s">
        <v>134</v>
      </c>
      <c r="CD3578">
        <v>5201</v>
      </c>
      <c r="CE3578" t="s">
        <v>1892</v>
      </c>
      <c r="CI3578">
        <v>2</v>
      </c>
      <c r="CJ3578">
        <v>2</v>
      </c>
      <c r="CK3578" t="s">
        <v>994</v>
      </c>
      <c r="CL3578" t="s">
        <v>89</v>
      </c>
    </row>
    <row r="3579" spans="1:90">
      <c r="A3579" t="s">
        <v>72</v>
      </c>
      <c r="B3579" t="s">
        <v>73</v>
      </c>
      <c r="C3579" t="s">
        <v>74</v>
      </c>
      <c r="E3579" t="str">
        <f>"FES1162725393"</f>
        <v>FES1162725393</v>
      </c>
      <c r="F3579" s="3">
        <v>43796</v>
      </c>
      <c r="G3579">
        <v>202005</v>
      </c>
      <c r="H3579" t="s">
        <v>75</v>
      </c>
      <c r="I3579" t="s">
        <v>76</v>
      </c>
      <c r="J3579" t="s">
        <v>77</v>
      </c>
      <c r="K3579" t="s">
        <v>78</v>
      </c>
      <c r="L3579" t="s">
        <v>75</v>
      </c>
      <c r="M3579" t="s">
        <v>76</v>
      </c>
      <c r="N3579" t="s">
        <v>391</v>
      </c>
      <c r="O3579" t="s">
        <v>282</v>
      </c>
      <c r="P3579" t="str">
        <f>"2170719146                    "</f>
        <v xml:space="preserve">2170719146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12.07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9.4</v>
      </c>
      <c r="BJ3579">
        <v>4.9000000000000004</v>
      </c>
      <c r="BK3579">
        <v>10</v>
      </c>
      <c r="BL3579" s="4">
        <v>75.95</v>
      </c>
      <c r="BM3579" s="4">
        <v>11.39</v>
      </c>
      <c r="BN3579" s="4">
        <v>87.34</v>
      </c>
      <c r="BO3579" s="4">
        <v>87.34</v>
      </c>
      <c r="BP3579" t="s">
        <v>3223</v>
      </c>
      <c r="BQ3579" t="s">
        <v>109</v>
      </c>
      <c r="BR3579" t="s">
        <v>84</v>
      </c>
      <c r="BS3579" s="3">
        <v>43797</v>
      </c>
      <c r="BT3579" s="5">
        <v>0.2951388888888889</v>
      </c>
      <c r="BU3579" t="s">
        <v>3295</v>
      </c>
      <c r="BV3579" t="s">
        <v>86</v>
      </c>
      <c r="BY3579">
        <v>24702.98</v>
      </c>
      <c r="CA3579" t="s">
        <v>368</v>
      </c>
      <c r="CC3579" t="s">
        <v>76</v>
      </c>
      <c r="CD3579">
        <v>1600</v>
      </c>
      <c r="CE3579" t="s">
        <v>88</v>
      </c>
      <c r="CI3579">
        <v>1</v>
      </c>
      <c r="CJ3579">
        <v>1</v>
      </c>
      <c r="CK3579" t="s">
        <v>379</v>
      </c>
      <c r="CL3579" t="s">
        <v>89</v>
      </c>
    </row>
    <row r="3580" spans="1:90">
      <c r="A3580" t="s">
        <v>72</v>
      </c>
      <c r="B3580" t="s">
        <v>73</v>
      </c>
      <c r="C3580" t="s">
        <v>74</v>
      </c>
      <c r="E3580" t="str">
        <f>"FES1162725288"</f>
        <v>FES1162725288</v>
      </c>
      <c r="F3580" s="3">
        <v>43796</v>
      </c>
      <c r="G3580">
        <v>202005</v>
      </c>
      <c r="H3580" t="s">
        <v>75</v>
      </c>
      <c r="I3580" t="s">
        <v>76</v>
      </c>
      <c r="J3580" t="s">
        <v>77</v>
      </c>
      <c r="K3580" t="s">
        <v>78</v>
      </c>
      <c r="L3580" t="s">
        <v>500</v>
      </c>
      <c r="M3580" t="s">
        <v>501</v>
      </c>
      <c r="N3580" t="s">
        <v>502</v>
      </c>
      <c r="O3580" t="s">
        <v>282</v>
      </c>
      <c r="P3580" t="str">
        <f>"2170717674                    "</f>
        <v xml:space="preserve">2170717674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28.1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23.4</v>
      </c>
      <c r="BJ3580">
        <v>28.6</v>
      </c>
      <c r="BK3580">
        <v>29</v>
      </c>
      <c r="BL3580" s="4">
        <v>170.19</v>
      </c>
      <c r="BM3580" s="4">
        <v>25.53</v>
      </c>
      <c r="BN3580" s="4">
        <v>195.72</v>
      </c>
      <c r="BO3580" s="4">
        <v>195.72</v>
      </c>
      <c r="BR3580" t="s">
        <v>84</v>
      </c>
      <c r="BS3580" s="3">
        <v>43797</v>
      </c>
      <c r="BT3580" s="5">
        <v>0.49305555555555558</v>
      </c>
      <c r="BU3580" t="s">
        <v>3296</v>
      </c>
      <c r="BV3580" t="s">
        <v>86</v>
      </c>
      <c r="BY3580">
        <v>142960.54999999999</v>
      </c>
      <c r="CA3580" t="s">
        <v>504</v>
      </c>
      <c r="CC3580" t="s">
        <v>501</v>
      </c>
      <c r="CD3580">
        <v>7349</v>
      </c>
      <c r="CE3580" t="s">
        <v>88</v>
      </c>
      <c r="CF3580" s="3">
        <v>43798</v>
      </c>
      <c r="CI3580">
        <v>2</v>
      </c>
      <c r="CJ3580">
        <v>1</v>
      </c>
      <c r="CK3580" t="s">
        <v>1002</v>
      </c>
      <c r="CL3580" t="s">
        <v>89</v>
      </c>
    </row>
    <row r="3581" spans="1:90">
      <c r="A3581" t="s">
        <v>72</v>
      </c>
      <c r="B3581" t="s">
        <v>73</v>
      </c>
      <c r="C3581" t="s">
        <v>74</v>
      </c>
      <c r="E3581" t="str">
        <f>"FES1162725213"</f>
        <v>FES1162725213</v>
      </c>
      <c r="F3581" s="3">
        <v>43796</v>
      </c>
      <c r="G3581">
        <v>202005</v>
      </c>
      <c r="H3581" t="s">
        <v>75</v>
      </c>
      <c r="I3581" t="s">
        <v>76</v>
      </c>
      <c r="J3581" t="s">
        <v>77</v>
      </c>
      <c r="K3581" t="s">
        <v>78</v>
      </c>
      <c r="L3581" t="s">
        <v>999</v>
      </c>
      <c r="M3581" t="s">
        <v>91</v>
      </c>
      <c r="N3581" t="s">
        <v>1194</v>
      </c>
      <c r="O3581" t="s">
        <v>282</v>
      </c>
      <c r="P3581" t="str">
        <f>"2170716488                    "</f>
        <v xml:space="preserve">2170716488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25.09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24.5</v>
      </c>
      <c r="BJ3581">
        <v>24.6</v>
      </c>
      <c r="BK3581">
        <v>25</v>
      </c>
      <c r="BL3581" s="4">
        <v>152.5</v>
      </c>
      <c r="BM3581" s="4">
        <v>22.88</v>
      </c>
      <c r="BN3581" s="4">
        <v>175.38</v>
      </c>
      <c r="BO3581" s="4">
        <v>175.38</v>
      </c>
      <c r="BR3581" t="s">
        <v>84</v>
      </c>
      <c r="BS3581" s="3">
        <v>43798</v>
      </c>
      <c r="BT3581" s="5">
        <v>0.41666666666666669</v>
      </c>
      <c r="BU3581" t="s">
        <v>3097</v>
      </c>
      <c r="BV3581" t="s">
        <v>86</v>
      </c>
      <c r="BY3581">
        <v>122937.60000000001</v>
      </c>
      <c r="CC3581" t="s">
        <v>91</v>
      </c>
      <c r="CD3581">
        <v>7580</v>
      </c>
      <c r="CE3581" t="s">
        <v>88</v>
      </c>
      <c r="CI3581">
        <v>2</v>
      </c>
      <c r="CJ3581">
        <v>2</v>
      </c>
      <c r="CK3581" t="s">
        <v>1002</v>
      </c>
      <c r="CL3581" t="s">
        <v>89</v>
      </c>
    </row>
    <row r="3582" spans="1:90">
      <c r="A3582" t="s">
        <v>72</v>
      </c>
      <c r="B3582" t="s">
        <v>73</v>
      </c>
      <c r="C3582" t="s">
        <v>74</v>
      </c>
      <c r="E3582" t="str">
        <f>"009939463092"</f>
        <v>009939463092</v>
      </c>
      <c r="F3582" s="3">
        <v>43790</v>
      </c>
      <c r="G3582">
        <v>202005</v>
      </c>
      <c r="H3582" t="s">
        <v>124</v>
      </c>
      <c r="I3582" t="s">
        <v>125</v>
      </c>
      <c r="J3582" t="s">
        <v>3297</v>
      </c>
      <c r="K3582" t="s">
        <v>78</v>
      </c>
      <c r="L3582" t="s">
        <v>75</v>
      </c>
      <c r="M3582" t="s">
        <v>76</v>
      </c>
      <c r="N3582" t="s">
        <v>211</v>
      </c>
      <c r="O3582" t="s">
        <v>82</v>
      </c>
      <c r="P3582" t="str">
        <f>"NA                            "</f>
        <v xml:space="preserve">NA        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6.71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 s="4">
        <v>39.42</v>
      </c>
      <c r="BM3582" s="4">
        <v>5.91</v>
      </c>
      <c r="BN3582" s="4">
        <v>45.33</v>
      </c>
      <c r="BO3582" s="4">
        <v>45.33</v>
      </c>
      <c r="BQ3582" t="s">
        <v>3298</v>
      </c>
      <c r="BR3582" t="s">
        <v>3299</v>
      </c>
      <c r="BS3582" s="3">
        <v>43791</v>
      </c>
      <c r="BT3582" s="5">
        <v>0.33055555555555555</v>
      </c>
      <c r="BU3582" t="s">
        <v>2396</v>
      </c>
      <c r="BV3582" t="s">
        <v>86</v>
      </c>
      <c r="BY3582">
        <v>1200</v>
      </c>
      <c r="BZ3582" t="s">
        <v>27</v>
      </c>
      <c r="CA3582" t="s">
        <v>198</v>
      </c>
      <c r="CC3582" t="s">
        <v>76</v>
      </c>
      <c r="CD3582">
        <v>1600</v>
      </c>
      <c r="CE3582" t="s">
        <v>88</v>
      </c>
      <c r="CF3582" s="3">
        <v>43794</v>
      </c>
      <c r="CI3582">
        <v>1</v>
      </c>
      <c r="CJ3582">
        <v>1</v>
      </c>
      <c r="CK3582">
        <v>22</v>
      </c>
      <c r="CL3582" t="s">
        <v>89</v>
      </c>
    </row>
    <row r="3583" spans="1:90">
      <c r="A3583" t="s">
        <v>72</v>
      </c>
      <c r="B3583" t="s">
        <v>73</v>
      </c>
      <c r="C3583" t="s">
        <v>74</v>
      </c>
      <c r="E3583" t="str">
        <f>"FES1162724180"</f>
        <v>FES1162724180</v>
      </c>
      <c r="F3583" s="3">
        <v>43790</v>
      </c>
      <c r="G3583">
        <v>202005</v>
      </c>
      <c r="H3583" t="s">
        <v>75</v>
      </c>
      <c r="I3583" t="s">
        <v>76</v>
      </c>
      <c r="J3583" t="s">
        <v>211</v>
      </c>
      <c r="K3583" t="s">
        <v>78</v>
      </c>
      <c r="L3583" t="s">
        <v>681</v>
      </c>
      <c r="M3583" t="s">
        <v>682</v>
      </c>
      <c r="N3583" t="s">
        <v>3050</v>
      </c>
      <c r="O3583" t="s">
        <v>756</v>
      </c>
      <c r="P3583" t="str">
        <f>"2170718126                    "</f>
        <v xml:space="preserve">2170718126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22.94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6.5</v>
      </c>
      <c r="BJ3583">
        <v>3.3</v>
      </c>
      <c r="BK3583">
        <v>7</v>
      </c>
      <c r="BL3583" s="4">
        <v>134.83000000000001</v>
      </c>
      <c r="BM3583" s="4">
        <v>20.22</v>
      </c>
      <c r="BN3583" s="4">
        <v>155.05000000000001</v>
      </c>
      <c r="BO3583" s="4">
        <v>155.05000000000001</v>
      </c>
      <c r="BQ3583" t="s">
        <v>121</v>
      </c>
      <c r="BR3583" t="s">
        <v>212</v>
      </c>
      <c r="BS3583" s="3">
        <v>43791</v>
      </c>
      <c r="BT3583" s="5">
        <v>0.41666666666666669</v>
      </c>
      <c r="BU3583" t="s">
        <v>3300</v>
      </c>
      <c r="BV3583" t="s">
        <v>86</v>
      </c>
      <c r="BY3583">
        <v>16272.9</v>
      </c>
      <c r="BZ3583" t="s">
        <v>27</v>
      </c>
      <c r="CA3583" t="s">
        <v>1224</v>
      </c>
      <c r="CC3583" t="s">
        <v>682</v>
      </c>
      <c r="CD3583">
        <v>1930</v>
      </c>
      <c r="CE3583" t="s">
        <v>88</v>
      </c>
      <c r="CF3583" s="3">
        <v>43794</v>
      </c>
      <c r="CI3583">
        <v>1</v>
      </c>
      <c r="CJ3583">
        <v>1</v>
      </c>
      <c r="CK3583">
        <v>34</v>
      </c>
      <c r="CL3583" t="s">
        <v>89</v>
      </c>
    </row>
    <row r="3584" spans="1:90">
      <c r="A3584" t="s">
        <v>72</v>
      </c>
      <c r="B3584" t="s">
        <v>73</v>
      </c>
      <c r="C3584" t="s">
        <v>74</v>
      </c>
      <c r="E3584" t="str">
        <f>"FES1162725641"</f>
        <v>FES1162725641</v>
      </c>
      <c r="F3584" s="3">
        <v>43798</v>
      </c>
      <c r="G3584">
        <v>202005</v>
      </c>
      <c r="H3584" t="s">
        <v>75</v>
      </c>
      <c r="I3584" t="s">
        <v>76</v>
      </c>
      <c r="J3584" t="s">
        <v>77</v>
      </c>
      <c r="K3584" t="s">
        <v>78</v>
      </c>
      <c r="L3584" t="s">
        <v>106</v>
      </c>
      <c r="M3584" t="s">
        <v>107</v>
      </c>
      <c r="N3584" t="s">
        <v>700</v>
      </c>
      <c r="O3584" t="s">
        <v>82</v>
      </c>
      <c r="P3584" t="str">
        <f>"2170713697                    "</f>
        <v xml:space="preserve">2170713697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70.77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8.5</v>
      </c>
      <c r="BJ3584">
        <v>16.399999999999999</v>
      </c>
      <c r="BK3584">
        <v>16.5</v>
      </c>
      <c r="BL3584" s="4">
        <v>415.98</v>
      </c>
      <c r="BM3584" s="4">
        <v>62.4</v>
      </c>
      <c r="BN3584" s="4">
        <v>478.38</v>
      </c>
      <c r="BO3584" s="4">
        <v>478.38</v>
      </c>
      <c r="BQ3584" t="s">
        <v>109</v>
      </c>
      <c r="BR3584" t="s">
        <v>84</v>
      </c>
      <c r="BS3584" t="s">
        <v>201</v>
      </c>
      <c r="BY3584">
        <v>82014.22</v>
      </c>
      <c r="CC3584" t="s">
        <v>107</v>
      </c>
      <c r="CD3584">
        <v>6001</v>
      </c>
      <c r="CE3584" t="s">
        <v>88</v>
      </c>
      <c r="CI3584">
        <v>1</v>
      </c>
      <c r="CJ3584" t="s">
        <v>201</v>
      </c>
      <c r="CK3584">
        <v>21</v>
      </c>
      <c r="CL3584" t="s">
        <v>89</v>
      </c>
    </row>
    <row r="3585" spans="1:90">
      <c r="A3585" t="s">
        <v>72</v>
      </c>
      <c r="B3585" t="s">
        <v>73</v>
      </c>
      <c r="C3585" t="s">
        <v>74</v>
      </c>
      <c r="E3585" t="str">
        <f>"009935712108"</f>
        <v>009935712108</v>
      </c>
      <c r="F3585" s="3">
        <v>43798</v>
      </c>
      <c r="G3585">
        <v>202005</v>
      </c>
      <c r="H3585" t="s">
        <v>75</v>
      </c>
      <c r="I3585" t="s">
        <v>76</v>
      </c>
      <c r="J3585" t="s">
        <v>77</v>
      </c>
      <c r="K3585" t="s">
        <v>78</v>
      </c>
      <c r="L3585" t="s">
        <v>339</v>
      </c>
      <c r="M3585" t="s">
        <v>340</v>
      </c>
      <c r="N3585" t="s">
        <v>718</v>
      </c>
      <c r="O3585" t="s">
        <v>82</v>
      </c>
      <c r="P3585" t="str">
        <f>"1162719740                    "</f>
        <v xml:space="preserve">1162719740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8.58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 s="4">
        <v>50.45</v>
      </c>
      <c r="BM3585" s="4">
        <v>7.57</v>
      </c>
      <c r="BN3585" s="4">
        <v>58.02</v>
      </c>
      <c r="BO3585" s="4">
        <v>58.02</v>
      </c>
      <c r="BP3585" t="s">
        <v>1040</v>
      </c>
      <c r="BQ3585" t="s">
        <v>109</v>
      </c>
      <c r="BR3585" t="s">
        <v>84</v>
      </c>
      <c r="BS3585" t="s">
        <v>201</v>
      </c>
      <c r="BY3585">
        <v>1200</v>
      </c>
      <c r="CC3585" t="s">
        <v>340</v>
      </c>
      <c r="CD3585">
        <v>157</v>
      </c>
      <c r="CE3585" t="s">
        <v>147</v>
      </c>
      <c r="CI3585">
        <v>1</v>
      </c>
      <c r="CJ3585" t="s">
        <v>201</v>
      </c>
      <c r="CK3585">
        <v>21</v>
      </c>
      <c r="CL3585" t="s">
        <v>89</v>
      </c>
    </row>
    <row r="3586" spans="1:90">
      <c r="A3586" t="s">
        <v>72</v>
      </c>
      <c r="B3586" t="s">
        <v>73</v>
      </c>
      <c r="C3586" t="s">
        <v>74</v>
      </c>
      <c r="E3586" t="str">
        <f>"FES1162725953"</f>
        <v>FES1162725953</v>
      </c>
      <c r="F3586" s="3">
        <v>43798</v>
      </c>
      <c r="G3586">
        <v>202005</v>
      </c>
      <c r="H3586" t="s">
        <v>75</v>
      </c>
      <c r="I3586" t="s">
        <v>76</v>
      </c>
      <c r="J3586" t="s">
        <v>77</v>
      </c>
      <c r="K3586" t="s">
        <v>78</v>
      </c>
      <c r="L3586" t="s">
        <v>124</v>
      </c>
      <c r="M3586" t="s">
        <v>125</v>
      </c>
      <c r="N3586" t="s">
        <v>218</v>
      </c>
      <c r="O3586" t="s">
        <v>82</v>
      </c>
      <c r="P3586" t="str">
        <f>"2170718527                    "</f>
        <v xml:space="preserve">2170718527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9.92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4</v>
      </c>
      <c r="BJ3586">
        <v>1.1000000000000001</v>
      </c>
      <c r="BK3586">
        <v>4</v>
      </c>
      <c r="BL3586" s="4">
        <v>58.31</v>
      </c>
      <c r="BM3586" s="4">
        <v>8.75</v>
      </c>
      <c r="BN3586" s="4">
        <v>67.06</v>
      </c>
      <c r="BO3586" s="4">
        <v>67.06</v>
      </c>
      <c r="BQ3586" t="s">
        <v>121</v>
      </c>
      <c r="BR3586" t="s">
        <v>84</v>
      </c>
      <c r="BS3586" t="s">
        <v>201</v>
      </c>
      <c r="BY3586">
        <v>5320</v>
      </c>
      <c r="CC3586" t="s">
        <v>125</v>
      </c>
      <c r="CD3586">
        <v>2094</v>
      </c>
      <c r="CE3586" t="s">
        <v>88</v>
      </c>
      <c r="CI3586">
        <v>1</v>
      </c>
      <c r="CJ3586" t="s">
        <v>201</v>
      </c>
      <c r="CK3586">
        <v>22</v>
      </c>
      <c r="CL3586" t="s">
        <v>89</v>
      </c>
    </row>
    <row r="3587" spans="1:90">
      <c r="A3587" t="s">
        <v>72</v>
      </c>
      <c r="B3587" t="s">
        <v>73</v>
      </c>
      <c r="C3587" t="s">
        <v>74</v>
      </c>
      <c r="E3587" t="str">
        <f>"FES1162725243"</f>
        <v>FES1162725243</v>
      </c>
      <c r="F3587" s="3">
        <v>43795</v>
      </c>
      <c r="G3587">
        <v>202005</v>
      </c>
      <c r="H3587" t="s">
        <v>75</v>
      </c>
      <c r="I3587" t="s">
        <v>76</v>
      </c>
      <c r="J3587" t="s">
        <v>211</v>
      </c>
      <c r="K3587" t="s">
        <v>78</v>
      </c>
      <c r="L3587" t="s">
        <v>280</v>
      </c>
      <c r="M3587" t="s">
        <v>102</v>
      </c>
      <c r="N3587" t="s">
        <v>2454</v>
      </c>
      <c r="O3587" t="s">
        <v>282</v>
      </c>
      <c r="P3587" t="str">
        <f>"1162725243                    "</f>
        <v xml:space="preserve">1162725243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14.75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2</v>
      </c>
      <c r="BI3587">
        <v>4.9000000000000004</v>
      </c>
      <c r="BJ3587">
        <v>2.1</v>
      </c>
      <c r="BK3587">
        <v>5</v>
      </c>
      <c r="BL3587" s="4">
        <v>91.71</v>
      </c>
      <c r="BM3587" s="4">
        <v>13.76</v>
      </c>
      <c r="BN3587" s="4">
        <v>105.47</v>
      </c>
      <c r="BO3587" s="4">
        <v>105.47</v>
      </c>
      <c r="BQ3587" t="s">
        <v>142</v>
      </c>
      <c r="BR3587" t="s">
        <v>212</v>
      </c>
      <c r="BS3587" s="3">
        <v>43796</v>
      </c>
      <c r="BT3587" s="5">
        <v>0.41666666666666669</v>
      </c>
      <c r="BU3587" t="s">
        <v>512</v>
      </c>
      <c r="BV3587" t="s">
        <v>86</v>
      </c>
      <c r="BY3587">
        <v>10707.96</v>
      </c>
      <c r="CA3587" t="s">
        <v>922</v>
      </c>
      <c r="CC3587" t="s">
        <v>102</v>
      </c>
      <c r="CD3587">
        <v>186</v>
      </c>
      <c r="CE3587" t="s">
        <v>2536</v>
      </c>
      <c r="CF3587" s="3">
        <v>43797</v>
      </c>
      <c r="CI3587">
        <v>0</v>
      </c>
      <c r="CJ3587">
        <v>0</v>
      </c>
      <c r="CK3587" t="s">
        <v>285</v>
      </c>
      <c r="CL3587" t="s">
        <v>89</v>
      </c>
    </row>
    <row r="3588" spans="1:90">
      <c r="A3588" t="s">
        <v>72</v>
      </c>
      <c r="B3588" t="s">
        <v>73</v>
      </c>
      <c r="C3588" t="s">
        <v>74</v>
      </c>
      <c r="E3588" t="str">
        <f>"FES1162725183"</f>
        <v>FES1162725183</v>
      </c>
      <c r="F3588" s="3">
        <v>43795</v>
      </c>
      <c r="G3588">
        <v>202005</v>
      </c>
      <c r="H3588" t="s">
        <v>75</v>
      </c>
      <c r="I3588" t="s">
        <v>76</v>
      </c>
      <c r="J3588" t="s">
        <v>211</v>
      </c>
      <c r="K3588" t="s">
        <v>78</v>
      </c>
      <c r="L3588" t="s">
        <v>405</v>
      </c>
      <c r="M3588" t="s">
        <v>406</v>
      </c>
      <c r="N3588" t="s">
        <v>871</v>
      </c>
      <c r="O3588" t="s">
        <v>282</v>
      </c>
      <c r="P3588" t="str">
        <f>"1162725183                    "</f>
        <v xml:space="preserve">1162725183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16.09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14.6</v>
      </c>
      <c r="BJ3588">
        <v>8.4</v>
      </c>
      <c r="BK3588">
        <v>15</v>
      </c>
      <c r="BL3588" s="4">
        <v>99.59</v>
      </c>
      <c r="BM3588" s="4">
        <v>14.94</v>
      </c>
      <c r="BN3588" s="4">
        <v>114.53</v>
      </c>
      <c r="BO3588" s="4">
        <v>114.53</v>
      </c>
      <c r="BQ3588" t="s">
        <v>121</v>
      </c>
      <c r="BR3588" t="s">
        <v>212</v>
      </c>
      <c r="BS3588" s="3">
        <v>43796</v>
      </c>
      <c r="BT3588" s="5">
        <v>0.39930555555555558</v>
      </c>
      <c r="BU3588" t="s">
        <v>3301</v>
      </c>
      <c r="BV3588" t="s">
        <v>86</v>
      </c>
      <c r="BY3588">
        <v>42243.16</v>
      </c>
      <c r="CA3588" t="s">
        <v>1501</v>
      </c>
      <c r="CC3588" t="s">
        <v>406</v>
      </c>
      <c r="CD3588">
        <v>250</v>
      </c>
      <c r="CE3588" t="s">
        <v>88</v>
      </c>
      <c r="CF3588" s="3">
        <v>43798</v>
      </c>
      <c r="CI3588">
        <v>0</v>
      </c>
      <c r="CJ3588">
        <v>0</v>
      </c>
      <c r="CK3588" t="s">
        <v>289</v>
      </c>
      <c r="CL3588" t="s">
        <v>89</v>
      </c>
    </row>
    <row r="3589" spans="1:90">
      <c r="A3589" t="s">
        <v>72</v>
      </c>
      <c r="B3589" t="s">
        <v>73</v>
      </c>
      <c r="C3589" t="s">
        <v>74</v>
      </c>
      <c r="E3589" t="str">
        <f>"FES1162725041"</f>
        <v>FES1162725041</v>
      </c>
      <c r="F3589" s="3">
        <v>43795</v>
      </c>
      <c r="G3589">
        <v>202005</v>
      </c>
      <c r="H3589" t="s">
        <v>75</v>
      </c>
      <c r="I3589" t="s">
        <v>76</v>
      </c>
      <c r="J3589" t="s">
        <v>211</v>
      </c>
      <c r="K3589" t="s">
        <v>78</v>
      </c>
      <c r="L3589" t="s">
        <v>133</v>
      </c>
      <c r="M3589" t="s">
        <v>134</v>
      </c>
      <c r="N3589" t="s">
        <v>276</v>
      </c>
      <c r="O3589" t="s">
        <v>282</v>
      </c>
      <c r="P3589" t="str">
        <f>"2170718780                    "</f>
        <v xml:space="preserve">2170718780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21.33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19.899999999999999</v>
      </c>
      <c r="BJ3589">
        <v>15.8</v>
      </c>
      <c r="BK3589">
        <v>20</v>
      </c>
      <c r="BL3589" s="4">
        <v>130.38999999999999</v>
      </c>
      <c r="BM3589" s="4">
        <v>19.559999999999999</v>
      </c>
      <c r="BN3589" s="4">
        <v>149.94999999999999</v>
      </c>
      <c r="BO3589" s="4">
        <v>149.94999999999999</v>
      </c>
      <c r="BQ3589" t="s">
        <v>121</v>
      </c>
      <c r="BR3589" t="s">
        <v>212</v>
      </c>
      <c r="BS3589" s="3">
        <v>43796</v>
      </c>
      <c r="BT3589" s="5">
        <v>0.37083333333333335</v>
      </c>
      <c r="BU3589" t="s">
        <v>1560</v>
      </c>
      <c r="BV3589" t="s">
        <v>86</v>
      </c>
      <c r="BY3589">
        <v>79204.63</v>
      </c>
      <c r="CA3589" t="s">
        <v>912</v>
      </c>
      <c r="CC3589" t="s">
        <v>134</v>
      </c>
      <c r="CD3589">
        <v>5200</v>
      </c>
      <c r="CE3589" t="s">
        <v>88</v>
      </c>
      <c r="CF3589" s="3">
        <v>43797</v>
      </c>
      <c r="CI3589">
        <v>2</v>
      </c>
      <c r="CJ3589">
        <v>1</v>
      </c>
      <c r="CK3589" t="s">
        <v>994</v>
      </c>
      <c r="CL3589" t="s">
        <v>89</v>
      </c>
    </row>
    <row r="3590" spans="1:90">
      <c r="A3590" t="s">
        <v>72</v>
      </c>
      <c r="B3590" t="s">
        <v>73</v>
      </c>
      <c r="C3590" t="s">
        <v>74</v>
      </c>
      <c r="E3590" t="str">
        <f>"FES1162725050"</f>
        <v>FES1162725050</v>
      </c>
      <c r="F3590" s="3">
        <v>43795</v>
      </c>
      <c r="G3590">
        <v>202005</v>
      </c>
      <c r="H3590" t="s">
        <v>75</v>
      </c>
      <c r="I3590" t="s">
        <v>76</v>
      </c>
      <c r="J3590" t="s">
        <v>211</v>
      </c>
      <c r="K3590" t="s">
        <v>78</v>
      </c>
      <c r="L3590" t="s">
        <v>522</v>
      </c>
      <c r="M3590" t="s">
        <v>523</v>
      </c>
      <c r="N3590" t="s">
        <v>1080</v>
      </c>
      <c r="O3590" t="s">
        <v>282</v>
      </c>
      <c r="P3590" t="str">
        <f>"2170717884                    "</f>
        <v xml:space="preserve">2170717884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14.75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9</v>
      </c>
      <c r="BJ3590">
        <v>3</v>
      </c>
      <c r="BK3590">
        <v>9</v>
      </c>
      <c r="BL3590" s="4">
        <v>91.71</v>
      </c>
      <c r="BM3590" s="4">
        <v>13.76</v>
      </c>
      <c r="BN3590" s="4">
        <v>105.47</v>
      </c>
      <c r="BO3590" s="4">
        <v>105.47</v>
      </c>
      <c r="BQ3590" t="s">
        <v>121</v>
      </c>
      <c r="BR3590" t="s">
        <v>212</v>
      </c>
      <c r="BS3590" s="3">
        <v>43796</v>
      </c>
      <c r="BT3590" s="5">
        <v>0.33333333333333331</v>
      </c>
      <c r="BU3590" t="s">
        <v>3125</v>
      </c>
      <c r="BV3590" t="s">
        <v>86</v>
      </c>
      <c r="BY3590">
        <v>15000</v>
      </c>
      <c r="CA3590" t="s">
        <v>526</v>
      </c>
      <c r="CC3590" t="s">
        <v>523</v>
      </c>
      <c r="CD3590">
        <v>1911</v>
      </c>
      <c r="CE3590" t="s">
        <v>88</v>
      </c>
      <c r="CF3590" s="3">
        <v>43797</v>
      </c>
      <c r="CI3590">
        <v>1</v>
      </c>
      <c r="CJ3590">
        <v>1</v>
      </c>
      <c r="CK3590" t="s">
        <v>285</v>
      </c>
      <c r="CL3590" t="s">
        <v>89</v>
      </c>
    </row>
    <row r="3591" spans="1:90">
      <c r="A3591" t="s">
        <v>72</v>
      </c>
      <c r="B3591" t="s">
        <v>73</v>
      </c>
      <c r="C3591" t="s">
        <v>74</v>
      </c>
      <c r="E3591" t="str">
        <f>"FES1162725035"</f>
        <v>FES1162725035</v>
      </c>
      <c r="F3591" s="3">
        <v>43795</v>
      </c>
      <c r="G3591">
        <v>202005</v>
      </c>
      <c r="H3591" t="s">
        <v>75</v>
      </c>
      <c r="I3591" t="s">
        <v>76</v>
      </c>
      <c r="J3591" t="s">
        <v>211</v>
      </c>
      <c r="K3591" t="s">
        <v>78</v>
      </c>
      <c r="L3591" t="s">
        <v>280</v>
      </c>
      <c r="M3591" t="s">
        <v>102</v>
      </c>
      <c r="N3591" t="s">
        <v>3302</v>
      </c>
      <c r="O3591" t="s">
        <v>282</v>
      </c>
      <c r="P3591" t="str">
        <f>"2170718162                    "</f>
        <v xml:space="preserve">2170718162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36.24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2</v>
      </c>
      <c r="BI3591">
        <v>29.2</v>
      </c>
      <c r="BJ3591">
        <v>61.7</v>
      </c>
      <c r="BK3591">
        <v>62</v>
      </c>
      <c r="BL3591" s="4">
        <v>218.01</v>
      </c>
      <c r="BM3591" s="4">
        <v>32.700000000000003</v>
      </c>
      <c r="BN3591" s="4">
        <v>250.71</v>
      </c>
      <c r="BO3591" s="4">
        <v>250.71</v>
      </c>
      <c r="BQ3591" t="s">
        <v>121</v>
      </c>
      <c r="BR3591" t="s">
        <v>212</v>
      </c>
      <c r="BS3591" s="3">
        <v>43796</v>
      </c>
      <c r="BT3591" s="5">
        <v>0.5756944444444444</v>
      </c>
      <c r="BU3591" t="s">
        <v>3014</v>
      </c>
      <c r="BV3591" t="s">
        <v>86</v>
      </c>
      <c r="BY3591">
        <v>308465.59999999998</v>
      </c>
      <c r="CA3591" t="s">
        <v>1285</v>
      </c>
      <c r="CC3591" t="s">
        <v>102</v>
      </c>
      <c r="CD3591">
        <v>200</v>
      </c>
      <c r="CE3591" t="s">
        <v>1892</v>
      </c>
      <c r="CF3591" s="3">
        <v>43797</v>
      </c>
      <c r="CI3591">
        <v>0</v>
      </c>
      <c r="CJ3591">
        <v>0</v>
      </c>
      <c r="CK3591" t="s">
        <v>285</v>
      </c>
      <c r="CL3591" t="s">
        <v>89</v>
      </c>
    </row>
    <row r="3592" spans="1:90">
      <c r="A3592" t="s">
        <v>72</v>
      </c>
      <c r="B3592" t="s">
        <v>73</v>
      </c>
      <c r="C3592" t="s">
        <v>74</v>
      </c>
      <c r="E3592" t="str">
        <f>"FES1162724998"</f>
        <v>FES1162724998</v>
      </c>
      <c r="F3592" s="3">
        <v>43795</v>
      </c>
      <c r="G3592">
        <v>202005</v>
      </c>
      <c r="H3592" t="s">
        <v>75</v>
      </c>
      <c r="I3592" t="s">
        <v>76</v>
      </c>
      <c r="J3592" t="s">
        <v>211</v>
      </c>
      <c r="K3592" t="s">
        <v>78</v>
      </c>
      <c r="L3592" t="s">
        <v>280</v>
      </c>
      <c r="M3592" t="s">
        <v>102</v>
      </c>
      <c r="N3592" t="s">
        <v>707</v>
      </c>
      <c r="O3592" t="s">
        <v>282</v>
      </c>
      <c r="P3592" t="str">
        <f>"2170718722                    "</f>
        <v xml:space="preserve">2170718722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14.75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7.7</v>
      </c>
      <c r="BJ3592">
        <v>3</v>
      </c>
      <c r="BK3592">
        <v>8</v>
      </c>
      <c r="BL3592" s="4">
        <v>91.71</v>
      </c>
      <c r="BM3592" s="4">
        <v>13.76</v>
      </c>
      <c r="BN3592" s="4">
        <v>105.47</v>
      </c>
      <c r="BO3592" s="4">
        <v>105.47</v>
      </c>
      <c r="BQ3592" t="s">
        <v>121</v>
      </c>
      <c r="BR3592" t="s">
        <v>212</v>
      </c>
      <c r="BS3592" s="3">
        <v>43796</v>
      </c>
      <c r="BT3592" s="5">
        <v>0.38194444444444442</v>
      </c>
      <c r="BU3592" t="s">
        <v>3303</v>
      </c>
      <c r="BV3592" t="s">
        <v>86</v>
      </c>
      <c r="BY3592">
        <v>15084.78</v>
      </c>
      <c r="CC3592" t="s">
        <v>102</v>
      </c>
      <c r="CD3592">
        <v>1</v>
      </c>
      <c r="CE3592" t="s">
        <v>88</v>
      </c>
      <c r="CF3592" s="3">
        <v>43797</v>
      </c>
      <c r="CI3592">
        <v>0</v>
      </c>
      <c r="CJ3592">
        <v>0</v>
      </c>
      <c r="CK3592" t="s">
        <v>285</v>
      </c>
      <c r="CL3592" t="s">
        <v>89</v>
      </c>
    </row>
    <row r="3593" spans="1:90">
      <c r="A3593" t="s">
        <v>72</v>
      </c>
      <c r="B3593" t="s">
        <v>73</v>
      </c>
      <c r="C3593" t="s">
        <v>74</v>
      </c>
      <c r="E3593" t="str">
        <f>"FES1162724639"</f>
        <v>FES1162724639</v>
      </c>
      <c r="F3593" s="3">
        <v>43794</v>
      </c>
      <c r="G3593">
        <v>202005</v>
      </c>
      <c r="H3593" t="s">
        <v>75</v>
      </c>
      <c r="I3593" t="s">
        <v>76</v>
      </c>
      <c r="J3593" t="s">
        <v>211</v>
      </c>
      <c r="K3593" t="s">
        <v>78</v>
      </c>
      <c r="L3593" t="s">
        <v>1589</v>
      </c>
      <c r="M3593" t="s">
        <v>1590</v>
      </c>
      <c r="N3593" t="s">
        <v>3304</v>
      </c>
      <c r="O3593" t="s">
        <v>282</v>
      </c>
      <c r="P3593" t="str">
        <f>"2170718331                    "</f>
        <v xml:space="preserve">2170718331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16.09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2</v>
      </c>
      <c r="BI3593">
        <v>10.6</v>
      </c>
      <c r="BJ3593">
        <v>14</v>
      </c>
      <c r="BK3593">
        <v>14</v>
      </c>
      <c r="BL3593" s="4">
        <v>99.59</v>
      </c>
      <c r="BM3593" s="4">
        <v>14.94</v>
      </c>
      <c r="BN3593" s="4">
        <v>114.53</v>
      </c>
      <c r="BO3593" s="4">
        <v>114.53</v>
      </c>
      <c r="BR3593" t="s">
        <v>212</v>
      </c>
      <c r="BS3593" s="3">
        <v>43795</v>
      </c>
      <c r="BT3593" s="5">
        <v>0.36874999999999997</v>
      </c>
      <c r="BU3593" t="s">
        <v>733</v>
      </c>
      <c r="BV3593" t="s">
        <v>86</v>
      </c>
      <c r="BY3593">
        <v>69787.199999999997</v>
      </c>
      <c r="CA3593" t="s">
        <v>1660</v>
      </c>
      <c r="CC3593" t="s">
        <v>1590</v>
      </c>
      <c r="CD3593">
        <v>1050</v>
      </c>
      <c r="CE3593" t="s">
        <v>2197</v>
      </c>
      <c r="CF3593" s="3">
        <v>43796</v>
      </c>
      <c r="CI3593">
        <v>1</v>
      </c>
      <c r="CJ3593">
        <v>1</v>
      </c>
      <c r="CK3593" t="s">
        <v>289</v>
      </c>
      <c r="CL3593" t="s">
        <v>89</v>
      </c>
    </row>
    <row r="3594" spans="1:90">
      <c r="A3594" t="s">
        <v>72</v>
      </c>
      <c r="B3594" t="s">
        <v>73</v>
      </c>
      <c r="C3594" t="s">
        <v>74</v>
      </c>
      <c r="E3594" t="str">
        <f>"FES1162724548"</f>
        <v>FES1162724548</v>
      </c>
      <c r="F3594" s="3">
        <v>43794</v>
      </c>
      <c r="G3594">
        <v>202005</v>
      </c>
      <c r="H3594" t="s">
        <v>75</v>
      </c>
      <c r="I3594" t="s">
        <v>76</v>
      </c>
      <c r="J3594" t="s">
        <v>211</v>
      </c>
      <c r="K3594" t="s">
        <v>78</v>
      </c>
      <c r="L3594" t="s">
        <v>280</v>
      </c>
      <c r="M3594" t="s">
        <v>102</v>
      </c>
      <c r="N3594" t="s">
        <v>1390</v>
      </c>
      <c r="O3594" t="s">
        <v>282</v>
      </c>
      <c r="P3594" t="str">
        <f>"2170718337                    "</f>
        <v xml:space="preserve">2170718337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14.75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4.8</v>
      </c>
      <c r="BJ3594">
        <v>3.2</v>
      </c>
      <c r="BK3594">
        <v>5</v>
      </c>
      <c r="BL3594" s="4">
        <v>91.71</v>
      </c>
      <c r="BM3594" s="4">
        <v>13.76</v>
      </c>
      <c r="BN3594" s="4">
        <v>105.47</v>
      </c>
      <c r="BO3594" s="4">
        <v>105.47</v>
      </c>
      <c r="BQ3594" t="s">
        <v>121</v>
      </c>
      <c r="BR3594" t="s">
        <v>212</v>
      </c>
      <c r="BS3594" s="3">
        <v>43795</v>
      </c>
      <c r="BT3594" s="5">
        <v>0.4375</v>
      </c>
      <c r="BU3594" t="s">
        <v>295</v>
      </c>
      <c r="BV3594" t="s">
        <v>86</v>
      </c>
      <c r="BY3594">
        <v>15775.78</v>
      </c>
      <c r="CC3594" t="s">
        <v>102</v>
      </c>
      <c r="CD3594">
        <v>200</v>
      </c>
      <c r="CE3594" t="s">
        <v>88</v>
      </c>
      <c r="CF3594" s="3">
        <v>43796</v>
      </c>
      <c r="CI3594">
        <v>0</v>
      </c>
      <c r="CJ3594">
        <v>0</v>
      </c>
      <c r="CK3594" t="s">
        <v>285</v>
      </c>
      <c r="CL3594" t="s">
        <v>89</v>
      </c>
    </row>
    <row r="3595" spans="1:90">
      <c r="A3595" t="s">
        <v>72</v>
      </c>
      <c r="B3595" t="s">
        <v>73</v>
      </c>
      <c r="C3595" t="s">
        <v>74</v>
      </c>
      <c r="E3595" t="str">
        <f>"FES1162724802"</f>
        <v>FES1162724802</v>
      </c>
      <c r="F3595" s="3">
        <v>43794</v>
      </c>
      <c r="G3595">
        <v>202005</v>
      </c>
      <c r="H3595" t="s">
        <v>75</v>
      </c>
      <c r="I3595" t="s">
        <v>76</v>
      </c>
      <c r="J3595" t="s">
        <v>211</v>
      </c>
      <c r="K3595" t="s">
        <v>78</v>
      </c>
      <c r="L3595" t="s">
        <v>280</v>
      </c>
      <c r="M3595" t="s">
        <v>102</v>
      </c>
      <c r="N3595" t="s">
        <v>707</v>
      </c>
      <c r="O3595" t="s">
        <v>282</v>
      </c>
      <c r="P3595" t="str">
        <f>"2170716539                    "</f>
        <v xml:space="preserve">2170716539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14.75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4.7</v>
      </c>
      <c r="BJ3595">
        <v>1.7</v>
      </c>
      <c r="BK3595">
        <v>5</v>
      </c>
      <c r="BL3595" s="4">
        <v>91.71</v>
      </c>
      <c r="BM3595" s="4">
        <v>13.76</v>
      </c>
      <c r="BN3595" s="4">
        <v>105.47</v>
      </c>
      <c r="BO3595" s="4">
        <v>105.47</v>
      </c>
      <c r="BQ3595" t="s">
        <v>121</v>
      </c>
      <c r="BR3595" t="s">
        <v>212</v>
      </c>
      <c r="BS3595" s="3">
        <v>43795</v>
      </c>
      <c r="BT3595" s="5">
        <v>0.37083333333333335</v>
      </c>
      <c r="BU3595" t="s">
        <v>708</v>
      </c>
      <c r="BV3595" t="s">
        <v>86</v>
      </c>
      <c r="BY3595">
        <v>8471.7199999999993</v>
      </c>
      <c r="CA3595" t="s">
        <v>709</v>
      </c>
      <c r="CC3595" t="s">
        <v>102</v>
      </c>
      <c r="CD3595">
        <v>1</v>
      </c>
      <c r="CE3595" t="s">
        <v>88</v>
      </c>
      <c r="CF3595" s="3">
        <v>43796</v>
      </c>
      <c r="CI3595">
        <v>0</v>
      </c>
      <c r="CJ3595">
        <v>0</v>
      </c>
      <c r="CK3595" t="s">
        <v>285</v>
      </c>
      <c r="CL3595" t="s">
        <v>89</v>
      </c>
    </row>
    <row r="3596" spans="1:90">
      <c r="A3596" t="s">
        <v>72</v>
      </c>
      <c r="B3596" t="s">
        <v>73</v>
      </c>
      <c r="C3596" t="s">
        <v>74</v>
      </c>
      <c r="E3596" t="str">
        <f>"FES1162724893"</f>
        <v>FES1162724893</v>
      </c>
      <c r="F3596" s="3">
        <v>43794</v>
      </c>
      <c r="G3596">
        <v>202005</v>
      </c>
      <c r="H3596" t="s">
        <v>75</v>
      </c>
      <c r="I3596" t="s">
        <v>76</v>
      </c>
      <c r="J3596" t="s">
        <v>211</v>
      </c>
      <c r="K3596" t="s">
        <v>78</v>
      </c>
      <c r="L3596" t="s">
        <v>825</v>
      </c>
      <c r="M3596" t="s">
        <v>826</v>
      </c>
      <c r="N3596" t="s">
        <v>939</v>
      </c>
      <c r="O3596" t="s">
        <v>282</v>
      </c>
      <c r="P3596" t="str">
        <f>"2170718558                    "</f>
        <v xml:space="preserve">2170718558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18.940000000000001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21.4</v>
      </c>
      <c r="BJ3596">
        <v>31.3</v>
      </c>
      <c r="BK3596">
        <v>32</v>
      </c>
      <c r="BL3596" s="4">
        <v>116.31</v>
      </c>
      <c r="BM3596" s="4">
        <v>17.45</v>
      </c>
      <c r="BN3596" s="4">
        <v>133.76</v>
      </c>
      <c r="BO3596" s="4">
        <v>133.76</v>
      </c>
      <c r="BQ3596" t="s">
        <v>121</v>
      </c>
      <c r="BR3596" t="s">
        <v>212</v>
      </c>
      <c r="BS3596" s="3">
        <v>43795</v>
      </c>
      <c r="BT3596" s="5">
        <v>0.60763888888888895</v>
      </c>
      <c r="BU3596" t="s">
        <v>3305</v>
      </c>
      <c r="BV3596" t="s">
        <v>86</v>
      </c>
      <c r="BY3596">
        <v>156440.28</v>
      </c>
      <c r="CC3596" t="s">
        <v>826</v>
      </c>
      <c r="CD3596">
        <v>1759</v>
      </c>
      <c r="CE3596" t="s">
        <v>88</v>
      </c>
      <c r="CF3596" s="3">
        <v>43796</v>
      </c>
      <c r="CI3596">
        <v>1</v>
      </c>
      <c r="CJ3596">
        <v>1</v>
      </c>
      <c r="CK3596" t="s">
        <v>379</v>
      </c>
      <c r="CL3596" t="s">
        <v>89</v>
      </c>
    </row>
    <row r="3597" spans="1:90">
      <c r="A3597" t="s">
        <v>72</v>
      </c>
      <c r="B3597" t="s">
        <v>73</v>
      </c>
      <c r="C3597" t="s">
        <v>74</v>
      </c>
      <c r="E3597" t="str">
        <f>"FES1162725835"</f>
        <v>FES1162725835</v>
      </c>
      <c r="F3597" s="3">
        <v>43798</v>
      </c>
      <c r="G3597">
        <v>202005</v>
      </c>
      <c r="H3597" t="s">
        <v>75</v>
      </c>
      <c r="I3597" t="s">
        <v>76</v>
      </c>
      <c r="J3597" t="s">
        <v>77</v>
      </c>
      <c r="K3597" t="s">
        <v>78</v>
      </c>
      <c r="L3597" t="s">
        <v>75</v>
      </c>
      <c r="M3597" t="s">
        <v>76</v>
      </c>
      <c r="N3597" t="s">
        <v>360</v>
      </c>
      <c r="O3597" t="s">
        <v>82</v>
      </c>
      <c r="P3597" t="str">
        <f>"2170719413                    "</f>
        <v xml:space="preserve">2170719413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6.71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 s="4">
        <v>39.42</v>
      </c>
      <c r="BM3597" s="4">
        <v>5.91</v>
      </c>
      <c r="BN3597" s="4">
        <v>45.33</v>
      </c>
      <c r="BO3597" s="4">
        <v>45.33</v>
      </c>
      <c r="BQ3597" t="s">
        <v>109</v>
      </c>
      <c r="BR3597" t="s">
        <v>84</v>
      </c>
      <c r="BS3597" t="s">
        <v>201</v>
      </c>
      <c r="BY3597">
        <v>1200</v>
      </c>
      <c r="CC3597" t="s">
        <v>76</v>
      </c>
      <c r="CD3597">
        <v>1645</v>
      </c>
      <c r="CE3597" t="s">
        <v>147</v>
      </c>
      <c r="CI3597">
        <v>1</v>
      </c>
      <c r="CJ3597" t="s">
        <v>201</v>
      </c>
      <c r="CK3597">
        <v>22</v>
      </c>
      <c r="CL3597" t="s">
        <v>89</v>
      </c>
    </row>
    <row r="3598" spans="1:90">
      <c r="A3598" t="s">
        <v>72</v>
      </c>
      <c r="B3598" t="s">
        <v>73</v>
      </c>
      <c r="C3598" t="s">
        <v>74</v>
      </c>
      <c r="E3598" t="str">
        <f>"FES1162725348"</f>
        <v>FES1162725348</v>
      </c>
      <c r="F3598" s="3">
        <v>43796</v>
      </c>
      <c r="G3598">
        <v>202005</v>
      </c>
      <c r="H3598" t="s">
        <v>75</v>
      </c>
      <c r="I3598" t="s">
        <v>76</v>
      </c>
      <c r="J3598" t="s">
        <v>211</v>
      </c>
      <c r="K3598" t="s">
        <v>78</v>
      </c>
      <c r="L3598" t="s">
        <v>681</v>
      </c>
      <c r="M3598" t="s">
        <v>682</v>
      </c>
      <c r="N3598" t="s">
        <v>2585</v>
      </c>
      <c r="O3598" t="s">
        <v>756</v>
      </c>
      <c r="P3598" t="str">
        <f>"217071998                     "</f>
        <v xml:space="preserve">217071998 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12.07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2.2999999999999998</v>
      </c>
      <c r="BJ3598">
        <v>1.3</v>
      </c>
      <c r="BK3598">
        <v>3</v>
      </c>
      <c r="BL3598" s="4">
        <v>70.95</v>
      </c>
      <c r="BM3598" s="4">
        <v>10.64</v>
      </c>
      <c r="BN3598" s="4">
        <v>81.59</v>
      </c>
      <c r="BO3598" s="4">
        <v>81.59</v>
      </c>
      <c r="BQ3598" t="s">
        <v>121</v>
      </c>
      <c r="BR3598" t="s">
        <v>212</v>
      </c>
      <c r="BS3598" s="3">
        <v>43797</v>
      </c>
      <c r="BT3598" s="5">
        <v>0.34583333333333338</v>
      </c>
      <c r="BU3598" t="s">
        <v>3306</v>
      </c>
      <c r="BV3598" t="s">
        <v>86</v>
      </c>
      <c r="BY3598">
        <v>6424.47</v>
      </c>
      <c r="BZ3598" t="s">
        <v>27</v>
      </c>
      <c r="CA3598" t="s">
        <v>1224</v>
      </c>
      <c r="CC3598" t="s">
        <v>682</v>
      </c>
      <c r="CD3598">
        <v>1939</v>
      </c>
      <c r="CE3598" t="s">
        <v>88</v>
      </c>
      <c r="CI3598">
        <v>1</v>
      </c>
      <c r="CJ3598">
        <v>1</v>
      </c>
      <c r="CK3598">
        <v>34</v>
      </c>
      <c r="CL3598" t="s">
        <v>89</v>
      </c>
    </row>
    <row r="3599" spans="1:90">
      <c r="A3599" t="s">
        <v>72</v>
      </c>
      <c r="B3599" t="s">
        <v>73</v>
      </c>
      <c r="C3599" t="s">
        <v>74</v>
      </c>
      <c r="E3599" t="str">
        <f>"FES1162726062"</f>
        <v>FES1162726062</v>
      </c>
      <c r="F3599" s="3">
        <v>43798</v>
      </c>
      <c r="G3599">
        <v>202005</v>
      </c>
      <c r="H3599" t="s">
        <v>75</v>
      </c>
      <c r="I3599" t="s">
        <v>76</v>
      </c>
      <c r="J3599" t="s">
        <v>77</v>
      </c>
      <c r="K3599" t="s">
        <v>78</v>
      </c>
      <c r="L3599" t="s">
        <v>75</v>
      </c>
      <c r="M3599" t="s">
        <v>76</v>
      </c>
      <c r="N3599" t="s">
        <v>2000</v>
      </c>
      <c r="O3599" t="s">
        <v>82</v>
      </c>
      <c r="P3599" t="str">
        <f>"2170719538                    "</f>
        <v xml:space="preserve">2170719538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54.92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13</v>
      </c>
      <c r="BJ3599">
        <v>31.6</v>
      </c>
      <c r="BK3599">
        <v>32</v>
      </c>
      <c r="BL3599" s="4">
        <v>322.83</v>
      </c>
      <c r="BM3599" s="4">
        <v>48.42</v>
      </c>
      <c r="BN3599" s="4">
        <v>371.25</v>
      </c>
      <c r="BO3599" s="4">
        <v>371.25</v>
      </c>
      <c r="BQ3599" t="s">
        <v>142</v>
      </c>
      <c r="BR3599" t="s">
        <v>84</v>
      </c>
      <c r="BS3599" t="s">
        <v>201</v>
      </c>
      <c r="BY3599">
        <v>157920</v>
      </c>
      <c r="CC3599" t="s">
        <v>76</v>
      </c>
      <c r="CD3599">
        <v>1610</v>
      </c>
      <c r="CE3599" t="s">
        <v>88</v>
      </c>
      <c r="CI3599">
        <v>1</v>
      </c>
      <c r="CJ3599" t="s">
        <v>201</v>
      </c>
      <c r="CK3599">
        <v>22</v>
      </c>
      <c r="CL3599" t="s">
        <v>89</v>
      </c>
    </row>
    <row r="3600" spans="1:90">
      <c r="A3600" t="s">
        <v>72</v>
      </c>
      <c r="B3600" t="s">
        <v>73</v>
      </c>
      <c r="C3600" t="s">
        <v>74</v>
      </c>
      <c r="E3600" t="str">
        <f>"FES1162725949"</f>
        <v>FES1162725949</v>
      </c>
      <c r="F3600" s="3">
        <v>43798</v>
      </c>
      <c r="G3600">
        <v>202005</v>
      </c>
      <c r="H3600" t="s">
        <v>75</v>
      </c>
      <c r="I3600" t="s">
        <v>76</v>
      </c>
      <c r="J3600" t="s">
        <v>77</v>
      </c>
      <c r="K3600" t="s">
        <v>78</v>
      </c>
      <c r="L3600" t="s">
        <v>552</v>
      </c>
      <c r="M3600" t="s">
        <v>553</v>
      </c>
      <c r="N3600" t="s">
        <v>1697</v>
      </c>
      <c r="O3600" t="s">
        <v>82</v>
      </c>
      <c r="P3600" t="str">
        <f>"2170719464                    "</f>
        <v xml:space="preserve">2170719464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6.71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 s="4">
        <v>39.42</v>
      </c>
      <c r="BM3600" s="4">
        <v>5.91</v>
      </c>
      <c r="BN3600" s="4">
        <v>45.33</v>
      </c>
      <c r="BO3600" s="4">
        <v>45.33</v>
      </c>
      <c r="BQ3600" t="s">
        <v>109</v>
      </c>
      <c r="BR3600" t="s">
        <v>84</v>
      </c>
      <c r="BS3600" t="s">
        <v>201</v>
      </c>
      <c r="BY3600">
        <v>1200</v>
      </c>
      <c r="CC3600" t="s">
        <v>553</v>
      </c>
      <c r="CD3600">
        <v>1540</v>
      </c>
      <c r="CE3600" t="s">
        <v>147</v>
      </c>
      <c r="CI3600">
        <v>1</v>
      </c>
      <c r="CJ3600" t="s">
        <v>201</v>
      </c>
      <c r="CK3600">
        <v>22</v>
      </c>
      <c r="CL3600" t="s">
        <v>89</v>
      </c>
    </row>
    <row r="3601" spans="1:90">
      <c r="A3601" t="s">
        <v>72</v>
      </c>
      <c r="B3601" t="s">
        <v>73</v>
      </c>
      <c r="C3601" t="s">
        <v>74</v>
      </c>
      <c r="E3601" t="str">
        <f>"FES1162726109"</f>
        <v>FES1162726109</v>
      </c>
      <c r="F3601" s="3">
        <v>43798</v>
      </c>
      <c r="G3601">
        <v>202005</v>
      </c>
      <c r="H3601" t="s">
        <v>75</v>
      </c>
      <c r="I3601" t="s">
        <v>76</v>
      </c>
      <c r="J3601" t="s">
        <v>77</v>
      </c>
      <c r="K3601" t="s">
        <v>78</v>
      </c>
      <c r="L3601" t="s">
        <v>118</v>
      </c>
      <c r="M3601" t="s">
        <v>119</v>
      </c>
      <c r="N3601" t="s">
        <v>1434</v>
      </c>
      <c r="O3601" t="s">
        <v>82</v>
      </c>
      <c r="P3601" t="str">
        <f>"2170719596                    "</f>
        <v xml:space="preserve">2170719596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8.58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 s="4">
        <v>50.45</v>
      </c>
      <c r="BM3601" s="4">
        <v>7.57</v>
      </c>
      <c r="BN3601" s="4">
        <v>58.02</v>
      </c>
      <c r="BO3601" s="4">
        <v>58.02</v>
      </c>
      <c r="BQ3601" t="s">
        <v>109</v>
      </c>
      <c r="BR3601" t="s">
        <v>84</v>
      </c>
      <c r="BS3601" t="s">
        <v>201</v>
      </c>
      <c r="BY3601">
        <v>1200</v>
      </c>
      <c r="CC3601" t="s">
        <v>119</v>
      </c>
      <c r="CD3601">
        <v>3201</v>
      </c>
      <c r="CE3601" t="s">
        <v>147</v>
      </c>
      <c r="CI3601">
        <v>1</v>
      </c>
      <c r="CJ3601" t="s">
        <v>201</v>
      </c>
      <c r="CK3601">
        <v>21</v>
      </c>
      <c r="CL3601" t="s">
        <v>89</v>
      </c>
    </row>
    <row r="3602" spans="1:90">
      <c r="A3602" t="s">
        <v>72</v>
      </c>
      <c r="B3602" t="s">
        <v>73</v>
      </c>
      <c r="C3602" t="s">
        <v>74</v>
      </c>
      <c r="E3602" t="str">
        <f>"FES1162725994"</f>
        <v>FES1162725994</v>
      </c>
      <c r="F3602" s="3">
        <v>43798</v>
      </c>
      <c r="G3602">
        <v>202005</v>
      </c>
      <c r="H3602" t="s">
        <v>75</v>
      </c>
      <c r="I3602" t="s">
        <v>76</v>
      </c>
      <c r="J3602" t="s">
        <v>77</v>
      </c>
      <c r="K3602" t="s">
        <v>78</v>
      </c>
      <c r="L3602" t="s">
        <v>405</v>
      </c>
      <c r="M3602" t="s">
        <v>406</v>
      </c>
      <c r="N3602" t="s">
        <v>871</v>
      </c>
      <c r="O3602" t="s">
        <v>82</v>
      </c>
      <c r="P3602" t="str">
        <f>"2170717655                    "</f>
        <v xml:space="preserve">2170717655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12.07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 s="4">
        <v>70.95</v>
      </c>
      <c r="BM3602" s="4">
        <v>10.64</v>
      </c>
      <c r="BN3602" s="4">
        <v>81.59</v>
      </c>
      <c r="BO3602" s="4">
        <v>81.59</v>
      </c>
      <c r="BQ3602" t="s">
        <v>121</v>
      </c>
      <c r="BR3602" t="s">
        <v>84</v>
      </c>
      <c r="BS3602" t="s">
        <v>201</v>
      </c>
      <c r="BY3602">
        <v>1200</v>
      </c>
      <c r="CC3602" t="s">
        <v>406</v>
      </c>
      <c r="CD3602">
        <v>250</v>
      </c>
      <c r="CE3602" t="s">
        <v>147</v>
      </c>
      <c r="CI3602">
        <v>1</v>
      </c>
      <c r="CJ3602" t="s">
        <v>201</v>
      </c>
      <c r="CK3602">
        <v>24</v>
      </c>
      <c r="CL3602" t="s">
        <v>89</v>
      </c>
    </row>
    <row r="3603" spans="1:90">
      <c r="A3603" t="s">
        <v>72</v>
      </c>
      <c r="B3603" t="s">
        <v>73</v>
      </c>
      <c r="C3603" t="s">
        <v>74</v>
      </c>
      <c r="E3603" t="str">
        <f>"FES1162725925"</f>
        <v>FES1162725925</v>
      </c>
      <c r="F3603" s="3">
        <v>43798</v>
      </c>
      <c r="G3603">
        <v>202005</v>
      </c>
      <c r="H3603" t="s">
        <v>75</v>
      </c>
      <c r="I3603" t="s">
        <v>76</v>
      </c>
      <c r="J3603" t="s">
        <v>77</v>
      </c>
      <c r="K3603" t="s">
        <v>78</v>
      </c>
      <c r="L3603" t="s">
        <v>681</v>
      </c>
      <c r="M3603" t="s">
        <v>682</v>
      </c>
      <c r="N3603" t="s">
        <v>1222</v>
      </c>
      <c r="O3603" t="s">
        <v>82</v>
      </c>
      <c r="P3603" t="str">
        <f>"2170719463                    "</f>
        <v xml:space="preserve">2170719463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12.07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 s="4">
        <v>70.95</v>
      </c>
      <c r="BM3603" s="4">
        <v>10.64</v>
      </c>
      <c r="BN3603" s="4">
        <v>81.59</v>
      </c>
      <c r="BO3603" s="4">
        <v>81.59</v>
      </c>
      <c r="BQ3603" t="s">
        <v>121</v>
      </c>
      <c r="BR3603" t="s">
        <v>84</v>
      </c>
      <c r="BS3603" t="s">
        <v>201</v>
      </c>
      <c r="BY3603">
        <v>1200</v>
      </c>
      <c r="CC3603" t="s">
        <v>682</v>
      </c>
      <c r="CD3603">
        <v>1930</v>
      </c>
      <c r="CE3603" t="s">
        <v>147</v>
      </c>
      <c r="CI3603">
        <v>1</v>
      </c>
      <c r="CJ3603" t="s">
        <v>201</v>
      </c>
      <c r="CK3603">
        <v>24</v>
      </c>
      <c r="CL3603" t="s">
        <v>89</v>
      </c>
    </row>
    <row r="3604" spans="1:90">
      <c r="A3604" t="s">
        <v>72</v>
      </c>
      <c r="B3604" t="s">
        <v>73</v>
      </c>
      <c r="C3604" t="s">
        <v>74</v>
      </c>
      <c r="E3604" t="str">
        <f>"FES1162725838"</f>
        <v>FES1162725838</v>
      </c>
      <c r="F3604" s="3">
        <v>43798</v>
      </c>
      <c r="G3604">
        <v>202005</v>
      </c>
      <c r="H3604" t="s">
        <v>75</v>
      </c>
      <c r="I3604" t="s">
        <v>76</v>
      </c>
      <c r="J3604" t="s">
        <v>77</v>
      </c>
      <c r="K3604" t="s">
        <v>78</v>
      </c>
      <c r="L3604" t="s">
        <v>75</v>
      </c>
      <c r="M3604" t="s">
        <v>76</v>
      </c>
      <c r="N3604" t="s">
        <v>360</v>
      </c>
      <c r="O3604" t="s">
        <v>82</v>
      </c>
      <c r="P3604" t="str">
        <f>"2170719418                    "</f>
        <v xml:space="preserve">2170719418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6.71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 s="4">
        <v>39.42</v>
      </c>
      <c r="BM3604" s="4">
        <v>5.91</v>
      </c>
      <c r="BN3604" s="4">
        <v>45.33</v>
      </c>
      <c r="BO3604" s="4">
        <v>45.33</v>
      </c>
      <c r="BQ3604" t="s">
        <v>109</v>
      </c>
      <c r="BR3604" t="s">
        <v>84</v>
      </c>
      <c r="BS3604" t="s">
        <v>201</v>
      </c>
      <c r="BY3604">
        <v>1200</v>
      </c>
      <c r="CC3604" t="s">
        <v>76</v>
      </c>
      <c r="CD3604">
        <v>1645</v>
      </c>
      <c r="CE3604" t="s">
        <v>147</v>
      </c>
      <c r="CI3604">
        <v>1</v>
      </c>
      <c r="CJ3604" t="s">
        <v>201</v>
      </c>
      <c r="CK3604">
        <v>22</v>
      </c>
      <c r="CL3604" t="s">
        <v>89</v>
      </c>
    </row>
    <row r="3605" spans="1:90">
      <c r="A3605" t="s">
        <v>72</v>
      </c>
      <c r="B3605" t="s">
        <v>73</v>
      </c>
      <c r="C3605" t="s">
        <v>74</v>
      </c>
      <c r="E3605" t="str">
        <f>"RFES1162724701"</f>
        <v>RFES1162724701</v>
      </c>
      <c r="F3605" s="3">
        <v>43797</v>
      </c>
      <c r="G3605">
        <v>202005</v>
      </c>
      <c r="H3605" t="s">
        <v>691</v>
      </c>
      <c r="I3605" t="s">
        <v>692</v>
      </c>
      <c r="J3605" t="s">
        <v>1217</v>
      </c>
      <c r="K3605" t="s">
        <v>78</v>
      </c>
      <c r="L3605" t="s">
        <v>75</v>
      </c>
      <c r="M3605" t="s">
        <v>76</v>
      </c>
      <c r="N3605" t="s">
        <v>77</v>
      </c>
      <c r="O3605" t="s">
        <v>82</v>
      </c>
      <c r="P3605" t="str">
        <f>"2170718492                    "</f>
        <v xml:space="preserve">2170718492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21.17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11</v>
      </c>
      <c r="BJ3605">
        <v>4.4000000000000004</v>
      </c>
      <c r="BK3605">
        <v>11</v>
      </c>
      <c r="BL3605" s="4">
        <v>124.44</v>
      </c>
      <c r="BM3605" s="4">
        <v>18.670000000000002</v>
      </c>
      <c r="BN3605" s="4">
        <v>143.11000000000001</v>
      </c>
      <c r="BO3605" s="4">
        <v>143.11000000000001</v>
      </c>
      <c r="BQ3605" t="s">
        <v>84</v>
      </c>
      <c r="BR3605" t="s">
        <v>109</v>
      </c>
      <c r="BS3605" s="3">
        <v>43798</v>
      </c>
      <c r="BT3605" s="5">
        <v>0.57638888888888895</v>
      </c>
      <c r="BU3605" t="s">
        <v>3307</v>
      </c>
      <c r="BV3605" t="s">
        <v>89</v>
      </c>
      <c r="BW3605" t="s">
        <v>596</v>
      </c>
      <c r="BX3605" t="s">
        <v>597</v>
      </c>
      <c r="BY3605">
        <v>21857.38</v>
      </c>
      <c r="CA3605" t="s">
        <v>123</v>
      </c>
      <c r="CC3605" t="s">
        <v>76</v>
      </c>
      <c r="CD3605">
        <v>1601</v>
      </c>
      <c r="CE3605" t="s">
        <v>88</v>
      </c>
      <c r="CI3605">
        <v>1</v>
      </c>
      <c r="CJ3605">
        <v>1</v>
      </c>
      <c r="CK3605">
        <v>22</v>
      </c>
      <c r="CL3605" t="s">
        <v>89</v>
      </c>
    </row>
    <row r="3606" spans="1:90">
      <c r="A3606" t="s">
        <v>72</v>
      </c>
      <c r="B3606" t="s">
        <v>73</v>
      </c>
      <c r="C3606" t="s">
        <v>74</v>
      </c>
      <c r="E3606" t="str">
        <f>"FES1162726003"</f>
        <v>FES1162726003</v>
      </c>
      <c r="F3606" s="3">
        <v>43798</v>
      </c>
      <c r="G3606">
        <v>202005</v>
      </c>
      <c r="H3606" t="s">
        <v>75</v>
      </c>
      <c r="I3606" t="s">
        <v>76</v>
      </c>
      <c r="J3606" t="s">
        <v>77</v>
      </c>
      <c r="K3606" t="s">
        <v>78</v>
      </c>
      <c r="L3606" t="s">
        <v>225</v>
      </c>
      <c r="M3606" t="s">
        <v>226</v>
      </c>
      <c r="N3606" t="s">
        <v>1977</v>
      </c>
      <c r="O3606" t="s">
        <v>82</v>
      </c>
      <c r="P3606" t="str">
        <f>"2170719083                    "</f>
        <v xml:space="preserve">2170719083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8.58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 s="4">
        <v>50.45</v>
      </c>
      <c r="BM3606" s="4">
        <v>7.57</v>
      </c>
      <c r="BN3606" s="4">
        <v>58.02</v>
      </c>
      <c r="BO3606" s="4">
        <v>58.02</v>
      </c>
      <c r="BQ3606" t="s">
        <v>337</v>
      </c>
      <c r="BR3606" t="s">
        <v>84</v>
      </c>
      <c r="BS3606" t="s">
        <v>201</v>
      </c>
      <c r="BY3606">
        <v>1200</v>
      </c>
      <c r="CC3606" t="s">
        <v>226</v>
      </c>
      <c r="CD3606">
        <v>4026</v>
      </c>
      <c r="CE3606" t="s">
        <v>147</v>
      </c>
      <c r="CI3606">
        <v>1</v>
      </c>
      <c r="CJ3606" t="s">
        <v>201</v>
      </c>
      <c r="CK3606">
        <v>21</v>
      </c>
      <c r="CL3606" t="s">
        <v>89</v>
      </c>
    </row>
    <row r="3607" spans="1:90">
      <c r="A3607" t="s">
        <v>72</v>
      </c>
      <c r="B3607" t="s">
        <v>73</v>
      </c>
      <c r="C3607" t="s">
        <v>74</v>
      </c>
      <c r="E3607" t="str">
        <f>"FES1162726059"</f>
        <v>FES1162726059</v>
      </c>
      <c r="F3607" s="3">
        <v>43798</v>
      </c>
      <c r="G3607">
        <v>202005</v>
      </c>
      <c r="H3607" t="s">
        <v>75</v>
      </c>
      <c r="I3607" t="s">
        <v>76</v>
      </c>
      <c r="J3607" t="s">
        <v>77</v>
      </c>
      <c r="K3607" t="s">
        <v>78</v>
      </c>
      <c r="L3607" t="s">
        <v>90</v>
      </c>
      <c r="M3607" t="s">
        <v>91</v>
      </c>
      <c r="N3607" t="s">
        <v>3308</v>
      </c>
      <c r="O3607" t="s">
        <v>82</v>
      </c>
      <c r="P3607" t="str">
        <f>"2170719535                    "</f>
        <v xml:space="preserve">2170719535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8.58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 s="4">
        <v>50.45</v>
      </c>
      <c r="BM3607" s="4">
        <v>7.57</v>
      </c>
      <c r="BN3607" s="4">
        <v>58.02</v>
      </c>
      <c r="BO3607" s="4">
        <v>58.02</v>
      </c>
      <c r="BQ3607" t="s">
        <v>121</v>
      </c>
      <c r="BR3607" t="s">
        <v>84</v>
      </c>
      <c r="BS3607" t="s">
        <v>201</v>
      </c>
      <c r="BY3607">
        <v>1200</v>
      </c>
      <c r="CC3607" t="s">
        <v>91</v>
      </c>
      <c r="CD3607">
        <v>7925</v>
      </c>
      <c r="CE3607" t="s">
        <v>147</v>
      </c>
      <c r="CI3607">
        <v>1</v>
      </c>
      <c r="CJ3607" t="s">
        <v>201</v>
      </c>
      <c r="CK3607">
        <v>21</v>
      </c>
      <c r="CL3607" t="s">
        <v>89</v>
      </c>
    </row>
    <row r="3608" spans="1:90">
      <c r="A3608" t="s">
        <v>72</v>
      </c>
      <c r="B3608" t="s">
        <v>73</v>
      </c>
      <c r="C3608" t="s">
        <v>74</v>
      </c>
      <c r="E3608" t="str">
        <f>"FES1162726118"</f>
        <v>FES1162726118</v>
      </c>
      <c r="F3608" s="3">
        <v>43798</v>
      </c>
      <c r="G3608">
        <v>202005</v>
      </c>
      <c r="H3608" t="s">
        <v>75</v>
      </c>
      <c r="I3608" t="s">
        <v>76</v>
      </c>
      <c r="J3608" t="s">
        <v>77</v>
      </c>
      <c r="K3608" t="s">
        <v>78</v>
      </c>
      <c r="L3608" t="s">
        <v>106</v>
      </c>
      <c r="M3608" t="s">
        <v>107</v>
      </c>
      <c r="N3608" t="s">
        <v>2968</v>
      </c>
      <c r="O3608" t="s">
        <v>82</v>
      </c>
      <c r="P3608" t="str">
        <f>"2170719611                    "</f>
        <v xml:space="preserve">2170719611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8.58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 s="4">
        <v>50.45</v>
      </c>
      <c r="BM3608" s="4">
        <v>7.57</v>
      </c>
      <c r="BN3608" s="4">
        <v>58.02</v>
      </c>
      <c r="BO3608" s="4">
        <v>58.02</v>
      </c>
      <c r="BQ3608" t="s">
        <v>109</v>
      </c>
      <c r="BR3608" t="s">
        <v>84</v>
      </c>
      <c r="BS3608" t="s">
        <v>201</v>
      </c>
      <c r="BY3608">
        <v>1200</v>
      </c>
      <c r="CC3608" t="s">
        <v>107</v>
      </c>
      <c r="CD3608">
        <v>6012</v>
      </c>
      <c r="CE3608" t="s">
        <v>147</v>
      </c>
      <c r="CI3608">
        <v>1</v>
      </c>
      <c r="CJ3608" t="s">
        <v>201</v>
      </c>
      <c r="CK3608">
        <v>21</v>
      </c>
      <c r="CL3608" t="s">
        <v>89</v>
      </c>
    </row>
    <row r="3609" spans="1:90">
      <c r="A3609" t="s">
        <v>72</v>
      </c>
      <c r="B3609" t="s">
        <v>73</v>
      </c>
      <c r="C3609" t="s">
        <v>74</v>
      </c>
      <c r="E3609" t="str">
        <f>"FES1162725853"</f>
        <v>FES1162725853</v>
      </c>
      <c r="F3609" s="3">
        <v>43798</v>
      </c>
      <c r="G3609">
        <v>202005</v>
      </c>
      <c r="H3609" t="s">
        <v>75</v>
      </c>
      <c r="I3609" t="s">
        <v>76</v>
      </c>
      <c r="J3609" t="s">
        <v>77</v>
      </c>
      <c r="K3609" t="s">
        <v>78</v>
      </c>
      <c r="L3609" t="s">
        <v>304</v>
      </c>
      <c r="M3609" t="s">
        <v>305</v>
      </c>
      <c r="N3609" t="s">
        <v>3309</v>
      </c>
      <c r="O3609" t="s">
        <v>82</v>
      </c>
      <c r="P3609" t="str">
        <f>"2170719440                    "</f>
        <v xml:space="preserve">2170719440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140.56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7</v>
      </c>
      <c r="BJ3609">
        <v>18.3</v>
      </c>
      <c r="BK3609">
        <v>18.5</v>
      </c>
      <c r="BL3609" s="4">
        <v>826.24</v>
      </c>
      <c r="BM3609" s="4">
        <v>123.94</v>
      </c>
      <c r="BN3609" s="4">
        <v>950.18</v>
      </c>
      <c r="BO3609" s="4">
        <v>950.18</v>
      </c>
      <c r="BQ3609" t="s">
        <v>109</v>
      </c>
      <c r="BR3609" t="s">
        <v>84</v>
      </c>
      <c r="BS3609" t="s">
        <v>201</v>
      </c>
      <c r="BY3609">
        <v>91264</v>
      </c>
      <c r="CC3609" t="s">
        <v>305</v>
      </c>
      <c r="CD3609">
        <v>5660</v>
      </c>
      <c r="CE3609" t="s">
        <v>88</v>
      </c>
      <c r="CI3609">
        <v>3</v>
      </c>
      <c r="CJ3609" t="s">
        <v>201</v>
      </c>
      <c r="CK3609">
        <v>23</v>
      </c>
      <c r="CL3609" t="s">
        <v>89</v>
      </c>
    </row>
    <row r="3610" spans="1:90">
      <c r="A3610" t="s">
        <v>72</v>
      </c>
      <c r="B3610" t="s">
        <v>73</v>
      </c>
      <c r="C3610" t="s">
        <v>74</v>
      </c>
      <c r="E3610" t="str">
        <f>"FES1162725826"</f>
        <v>FES1162725826</v>
      </c>
      <c r="F3610" s="3">
        <v>43798</v>
      </c>
      <c r="G3610">
        <v>202005</v>
      </c>
      <c r="H3610" t="s">
        <v>75</v>
      </c>
      <c r="I3610" t="s">
        <v>76</v>
      </c>
      <c r="J3610" t="s">
        <v>77</v>
      </c>
      <c r="K3610" t="s">
        <v>78</v>
      </c>
      <c r="L3610" t="s">
        <v>75</v>
      </c>
      <c r="M3610" t="s">
        <v>76</v>
      </c>
      <c r="N3610" t="s">
        <v>360</v>
      </c>
      <c r="O3610" t="s">
        <v>82</v>
      </c>
      <c r="P3610" t="str">
        <f>"2170719402                    "</f>
        <v xml:space="preserve">2170719402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6.71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 s="4">
        <v>39.42</v>
      </c>
      <c r="BM3610" s="4">
        <v>5.91</v>
      </c>
      <c r="BN3610" s="4">
        <v>45.33</v>
      </c>
      <c r="BO3610" s="4">
        <v>45.33</v>
      </c>
      <c r="BQ3610" t="s">
        <v>109</v>
      </c>
      <c r="BR3610" t="s">
        <v>84</v>
      </c>
      <c r="BS3610" t="s">
        <v>201</v>
      </c>
      <c r="BY3610">
        <v>1200</v>
      </c>
      <c r="CC3610" t="s">
        <v>76</v>
      </c>
      <c r="CD3610">
        <v>1645</v>
      </c>
      <c r="CE3610" t="s">
        <v>147</v>
      </c>
      <c r="CI3610">
        <v>1</v>
      </c>
      <c r="CJ3610" t="s">
        <v>201</v>
      </c>
      <c r="CK3610">
        <v>22</v>
      </c>
      <c r="CL3610" t="s">
        <v>89</v>
      </c>
    </row>
    <row r="3611" spans="1:90">
      <c r="A3611" t="s">
        <v>72</v>
      </c>
      <c r="B3611" t="s">
        <v>73</v>
      </c>
      <c r="C3611" t="s">
        <v>74</v>
      </c>
      <c r="E3611" t="str">
        <f>"FES1162725824"</f>
        <v>FES1162725824</v>
      </c>
      <c r="F3611" s="3">
        <v>43798</v>
      </c>
      <c r="G3611">
        <v>202005</v>
      </c>
      <c r="H3611" t="s">
        <v>75</v>
      </c>
      <c r="I3611" t="s">
        <v>76</v>
      </c>
      <c r="J3611" t="s">
        <v>77</v>
      </c>
      <c r="K3611" t="s">
        <v>78</v>
      </c>
      <c r="L3611" t="s">
        <v>95</v>
      </c>
      <c r="M3611" t="s">
        <v>96</v>
      </c>
      <c r="N3611" t="s">
        <v>330</v>
      </c>
      <c r="O3611" t="s">
        <v>82</v>
      </c>
      <c r="P3611" t="str">
        <f>"2170719397                    "</f>
        <v xml:space="preserve">2170719397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6.71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 s="4">
        <v>39.42</v>
      </c>
      <c r="BM3611" s="4">
        <v>5.91</v>
      </c>
      <c r="BN3611" s="4">
        <v>45.33</v>
      </c>
      <c r="BO3611" s="4">
        <v>45.33</v>
      </c>
      <c r="BQ3611" t="s">
        <v>109</v>
      </c>
      <c r="BR3611" t="s">
        <v>84</v>
      </c>
      <c r="BS3611" t="s">
        <v>201</v>
      </c>
      <c r="BY3611">
        <v>1200</v>
      </c>
      <c r="CC3611" t="s">
        <v>96</v>
      </c>
      <c r="CD3611">
        <v>1451</v>
      </c>
      <c r="CE3611" t="s">
        <v>147</v>
      </c>
      <c r="CI3611">
        <v>1</v>
      </c>
      <c r="CJ3611" t="s">
        <v>201</v>
      </c>
      <c r="CK3611">
        <v>22</v>
      </c>
      <c r="CL3611" t="s">
        <v>89</v>
      </c>
    </row>
    <row r="3612" spans="1:90">
      <c r="A3612" t="s">
        <v>72</v>
      </c>
      <c r="B3612" t="s">
        <v>73</v>
      </c>
      <c r="C3612" t="s">
        <v>74</v>
      </c>
      <c r="E3612" t="str">
        <f>"FES1162726085"</f>
        <v>FES1162726085</v>
      </c>
      <c r="F3612" s="3">
        <v>43798</v>
      </c>
      <c r="G3612">
        <v>202005</v>
      </c>
      <c r="H3612" t="s">
        <v>75</v>
      </c>
      <c r="I3612" t="s">
        <v>76</v>
      </c>
      <c r="J3612" t="s">
        <v>77</v>
      </c>
      <c r="K3612" t="s">
        <v>78</v>
      </c>
      <c r="L3612" t="s">
        <v>482</v>
      </c>
      <c r="M3612" t="s">
        <v>483</v>
      </c>
      <c r="N3612" t="s">
        <v>847</v>
      </c>
      <c r="O3612" t="s">
        <v>82</v>
      </c>
      <c r="P3612" t="str">
        <f>"21707194198                   "</f>
        <v xml:space="preserve">21707194198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6.71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2</v>
      </c>
      <c r="BJ3612">
        <v>1.2</v>
      </c>
      <c r="BK3612">
        <v>2</v>
      </c>
      <c r="BL3612" s="4">
        <v>39.42</v>
      </c>
      <c r="BM3612" s="4">
        <v>5.91</v>
      </c>
      <c r="BN3612" s="4">
        <v>45.33</v>
      </c>
      <c r="BO3612" s="4">
        <v>45.33</v>
      </c>
      <c r="BP3612" t="s">
        <v>3223</v>
      </c>
      <c r="BR3612" t="s">
        <v>84</v>
      </c>
      <c r="BS3612" t="s">
        <v>201</v>
      </c>
      <c r="BY3612">
        <v>5890</v>
      </c>
      <c r="CC3612" t="s">
        <v>483</v>
      </c>
      <c r="CD3612">
        <v>1460</v>
      </c>
      <c r="CE3612" t="s">
        <v>1598</v>
      </c>
      <c r="CI3612">
        <v>1</v>
      </c>
      <c r="CJ3612" t="s">
        <v>201</v>
      </c>
      <c r="CK3612">
        <v>22</v>
      </c>
      <c r="CL3612" t="s">
        <v>89</v>
      </c>
    </row>
    <row r="3613" spans="1:90">
      <c r="A3613" t="s">
        <v>72</v>
      </c>
      <c r="B3613" t="s">
        <v>73</v>
      </c>
      <c r="C3613" t="s">
        <v>74</v>
      </c>
      <c r="E3613" t="str">
        <f>"FES1162725832"</f>
        <v>FES1162725832</v>
      </c>
      <c r="F3613" s="3">
        <v>43797</v>
      </c>
      <c r="G3613">
        <v>202005</v>
      </c>
      <c r="H3613" t="s">
        <v>75</v>
      </c>
      <c r="I3613" t="s">
        <v>76</v>
      </c>
      <c r="J3613" t="s">
        <v>77</v>
      </c>
      <c r="K3613" t="s">
        <v>78</v>
      </c>
      <c r="L3613" t="s">
        <v>106</v>
      </c>
      <c r="M3613" t="s">
        <v>107</v>
      </c>
      <c r="N3613" t="s">
        <v>1190</v>
      </c>
      <c r="O3613" t="s">
        <v>82</v>
      </c>
      <c r="P3613" t="str">
        <f>"2170719410                    "</f>
        <v xml:space="preserve">2170719410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8.58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 s="4">
        <v>50.45</v>
      </c>
      <c r="BM3613" s="4">
        <v>7.57</v>
      </c>
      <c r="BN3613" s="4">
        <v>58.02</v>
      </c>
      <c r="BO3613" s="4">
        <v>58.02</v>
      </c>
      <c r="BQ3613" t="s">
        <v>3262</v>
      </c>
      <c r="BR3613" t="s">
        <v>84</v>
      </c>
      <c r="BS3613" s="3">
        <v>43798</v>
      </c>
      <c r="BT3613" s="5">
        <v>0.38541666666666669</v>
      </c>
      <c r="BU3613" t="s">
        <v>3310</v>
      </c>
      <c r="BV3613" t="s">
        <v>86</v>
      </c>
      <c r="BY3613">
        <v>1200</v>
      </c>
      <c r="CA3613" t="s">
        <v>111</v>
      </c>
      <c r="CC3613" t="s">
        <v>107</v>
      </c>
      <c r="CD3613">
        <v>6001</v>
      </c>
      <c r="CE3613" t="s">
        <v>147</v>
      </c>
      <c r="CI3613">
        <v>1</v>
      </c>
      <c r="CJ3613">
        <v>1</v>
      </c>
      <c r="CK3613">
        <v>21</v>
      </c>
      <c r="CL3613" t="s">
        <v>89</v>
      </c>
    </row>
    <row r="3614" spans="1:90">
      <c r="A3614" t="s">
        <v>72</v>
      </c>
      <c r="B3614" t="s">
        <v>73</v>
      </c>
      <c r="C3614" t="s">
        <v>74</v>
      </c>
      <c r="E3614" t="str">
        <f>"FES1162725762"</f>
        <v>FES1162725762</v>
      </c>
      <c r="F3614" s="3">
        <v>43797</v>
      </c>
      <c r="G3614">
        <v>202005</v>
      </c>
      <c r="H3614" t="s">
        <v>75</v>
      </c>
      <c r="I3614" t="s">
        <v>76</v>
      </c>
      <c r="J3614" t="s">
        <v>77</v>
      </c>
      <c r="K3614" t="s">
        <v>78</v>
      </c>
      <c r="L3614" t="s">
        <v>90</v>
      </c>
      <c r="M3614" t="s">
        <v>91</v>
      </c>
      <c r="N3614" t="s">
        <v>1481</v>
      </c>
      <c r="O3614" t="s">
        <v>82</v>
      </c>
      <c r="P3614" t="str">
        <f>"2170718280                    "</f>
        <v xml:space="preserve">2170718280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8.58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 s="4">
        <v>50.45</v>
      </c>
      <c r="BM3614" s="4">
        <v>7.57</v>
      </c>
      <c r="BN3614" s="4">
        <v>58.02</v>
      </c>
      <c r="BO3614" s="4">
        <v>58.02</v>
      </c>
      <c r="BQ3614" t="s">
        <v>246</v>
      </c>
      <c r="BR3614" t="s">
        <v>84</v>
      </c>
      <c r="BS3614" s="3">
        <v>43798</v>
      </c>
      <c r="BT3614" s="5">
        <v>0.37708333333333338</v>
      </c>
      <c r="BU3614" t="s">
        <v>1482</v>
      </c>
      <c r="BV3614" t="s">
        <v>86</v>
      </c>
      <c r="BY3614">
        <v>1200</v>
      </c>
      <c r="CA3614" t="s">
        <v>1238</v>
      </c>
      <c r="CC3614" t="s">
        <v>91</v>
      </c>
      <c r="CD3614">
        <v>7441</v>
      </c>
      <c r="CE3614" t="s">
        <v>147</v>
      </c>
      <c r="CI3614">
        <v>1</v>
      </c>
      <c r="CJ3614">
        <v>1</v>
      </c>
      <c r="CK3614">
        <v>21</v>
      </c>
      <c r="CL3614" t="s">
        <v>89</v>
      </c>
    </row>
    <row r="3615" spans="1:90">
      <c r="A3615" t="s">
        <v>72</v>
      </c>
      <c r="B3615" t="s">
        <v>73</v>
      </c>
      <c r="C3615" t="s">
        <v>74</v>
      </c>
      <c r="E3615" t="str">
        <f>"FES1162725792"</f>
        <v>FES1162725792</v>
      </c>
      <c r="F3615" s="3">
        <v>43797</v>
      </c>
      <c r="G3615">
        <v>202005</v>
      </c>
      <c r="H3615" t="s">
        <v>75</v>
      </c>
      <c r="I3615" t="s">
        <v>76</v>
      </c>
      <c r="J3615" t="s">
        <v>77</v>
      </c>
      <c r="K3615" t="s">
        <v>78</v>
      </c>
      <c r="L3615" t="s">
        <v>90</v>
      </c>
      <c r="M3615" t="s">
        <v>91</v>
      </c>
      <c r="N3615" t="s">
        <v>541</v>
      </c>
      <c r="O3615" t="s">
        <v>82</v>
      </c>
      <c r="P3615" t="str">
        <f>"2170719338                    "</f>
        <v xml:space="preserve">2170719338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8.58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 s="4">
        <v>50.45</v>
      </c>
      <c r="BM3615" s="4">
        <v>7.57</v>
      </c>
      <c r="BN3615" s="4">
        <v>58.02</v>
      </c>
      <c r="BO3615" s="4">
        <v>58.02</v>
      </c>
      <c r="BQ3615" t="s">
        <v>187</v>
      </c>
      <c r="BR3615" t="s">
        <v>84</v>
      </c>
      <c r="BS3615" s="3">
        <v>43798</v>
      </c>
      <c r="BT3615" s="5">
        <v>0.38194444444444442</v>
      </c>
      <c r="BU3615" t="s">
        <v>3311</v>
      </c>
      <c r="BV3615" t="s">
        <v>86</v>
      </c>
      <c r="BY3615">
        <v>1200</v>
      </c>
      <c r="CA3615" t="s">
        <v>1238</v>
      </c>
      <c r="CC3615" t="s">
        <v>91</v>
      </c>
      <c r="CD3615">
        <v>7441</v>
      </c>
      <c r="CE3615" t="s">
        <v>147</v>
      </c>
      <c r="CI3615">
        <v>1</v>
      </c>
      <c r="CJ3615">
        <v>1</v>
      </c>
      <c r="CK3615">
        <v>21</v>
      </c>
      <c r="CL3615" t="s">
        <v>89</v>
      </c>
    </row>
    <row r="3616" spans="1:90">
      <c r="A3616" t="s">
        <v>72</v>
      </c>
      <c r="B3616" t="s">
        <v>73</v>
      </c>
      <c r="C3616" t="s">
        <v>74</v>
      </c>
      <c r="E3616" t="str">
        <f>"FES1162725733"</f>
        <v>FES1162725733</v>
      </c>
      <c r="F3616" s="3">
        <v>43797</v>
      </c>
      <c r="G3616">
        <v>202005</v>
      </c>
      <c r="H3616" t="s">
        <v>75</v>
      </c>
      <c r="I3616" t="s">
        <v>76</v>
      </c>
      <c r="J3616" t="s">
        <v>77</v>
      </c>
      <c r="K3616" t="s">
        <v>78</v>
      </c>
      <c r="L3616" t="s">
        <v>124</v>
      </c>
      <c r="M3616" t="s">
        <v>125</v>
      </c>
      <c r="N3616" t="s">
        <v>126</v>
      </c>
      <c r="O3616" t="s">
        <v>82</v>
      </c>
      <c r="P3616" t="str">
        <f>"2170717279                    "</f>
        <v xml:space="preserve">2170717279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6.71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 s="4">
        <v>39.42</v>
      </c>
      <c r="BM3616" s="4">
        <v>5.91</v>
      </c>
      <c r="BN3616" s="4">
        <v>45.33</v>
      </c>
      <c r="BO3616" s="4">
        <v>45.33</v>
      </c>
      <c r="BQ3616" t="s">
        <v>109</v>
      </c>
      <c r="BR3616" t="s">
        <v>84</v>
      </c>
      <c r="BS3616" s="3">
        <v>43798</v>
      </c>
      <c r="BT3616" s="5">
        <v>0.39097222222222222</v>
      </c>
      <c r="BU3616" t="s">
        <v>3312</v>
      </c>
      <c r="BV3616" t="s">
        <v>86</v>
      </c>
      <c r="BY3616">
        <v>1200</v>
      </c>
      <c r="CA3616" t="s">
        <v>837</v>
      </c>
      <c r="CC3616" t="s">
        <v>125</v>
      </c>
      <c r="CD3616">
        <v>2197</v>
      </c>
      <c r="CE3616" t="s">
        <v>147</v>
      </c>
      <c r="CI3616">
        <v>1</v>
      </c>
      <c r="CJ3616">
        <v>1</v>
      </c>
      <c r="CK3616">
        <v>22</v>
      </c>
      <c r="CL3616" t="s">
        <v>89</v>
      </c>
    </row>
    <row r="3617" spans="1:90">
      <c r="A3617" t="s">
        <v>72</v>
      </c>
      <c r="B3617" t="s">
        <v>73</v>
      </c>
      <c r="C3617" t="s">
        <v>74</v>
      </c>
      <c r="E3617" t="str">
        <f>"FES1162725829"</f>
        <v>FES1162725829</v>
      </c>
      <c r="F3617" s="3">
        <v>43797</v>
      </c>
      <c r="G3617">
        <v>202005</v>
      </c>
      <c r="H3617" t="s">
        <v>75</v>
      </c>
      <c r="I3617" t="s">
        <v>76</v>
      </c>
      <c r="J3617" t="s">
        <v>77</v>
      </c>
      <c r="K3617" t="s">
        <v>78</v>
      </c>
      <c r="L3617" t="s">
        <v>106</v>
      </c>
      <c r="M3617" t="s">
        <v>107</v>
      </c>
      <c r="N3617" t="s">
        <v>1401</v>
      </c>
      <c r="O3617" t="s">
        <v>82</v>
      </c>
      <c r="P3617" t="str">
        <f>"2170719406                    "</f>
        <v xml:space="preserve">2170719406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8.58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 s="4">
        <v>50.45</v>
      </c>
      <c r="BM3617" s="4">
        <v>7.57</v>
      </c>
      <c r="BN3617" s="4">
        <v>58.02</v>
      </c>
      <c r="BO3617" s="4">
        <v>58.02</v>
      </c>
      <c r="BQ3617" t="s">
        <v>109</v>
      </c>
      <c r="BR3617" t="s">
        <v>84</v>
      </c>
      <c r="BS3617" s="3">
        <v>43798</v>
      </c>
      <c r="BT3617" s="5">
        <v>0.39583333333333331</v>
      </c>
      <c r="BU3617" t="s">
        <v>3313</v>
      </c>
      <c r="BV3617" t="s">
        <v>86</v>
      </c>
      <c r="BY3617">
        <v>1200</v>
      </c>
      <c r="CA3617" t="s">
        <v>854</v>
      </c>
      <c r="CC3617" t="s">
        <v>107</v>
      </c>
      <c r="CD3617">
        <v>6001</v>
      </c>
      <c r="CE3617" t="s">
        <v>147</v>
      </c>
      <c r="CI3617">
        <v>1</v>
      </c>
      <c r="CJ3617">
        <v>1</v>
      </c>
      <c r="CK3617">
        <v>21</v>
      </c>
      <c r="CL3617" t="s">
        <v>89</v>
      </c>
    </row>
    <row r="3618" spans="1:90">
      <c r="A3618" t="s">
        <v>72</v>
      </c>
      <c r="B3618" t="s">
        <v>73</v>
      </c>
      <c r="C3618" t="s">
        <v>74</v>
      </c>
      <c r="E3618" t="str">
        <f>"FES1162725498"</f>
        <v>FES1162725498</v>
      </c>
      <c r="F3618" s="3">
        <v>43797</v>
      </c>
      <c r="G3618">
        <v>202005</v>
      </c>
      <c r="H3618" t="s">
        <v>75</v>
      </c>
      <c r="I3618" t="s">
        <v>76</v>
      </c>
      <c r="J3618" t="s">
        <v>77</v>
      </c>
      <c r="K3618" t="s">
        <v>78</v>
      </c>
      <c r="L3618" t="s">
        <v>75</v>
      </c>
      <c r="M3618" t="s">
        <v>76</v>
      </c>
      <c r="N3618" t="s">
        <v>236</v>
      </c>
      <c r="O3618" t="s">
        <v>82</v>
      </c>
      <c r="P3618" t="str">
        <f>"2170717463                    "</f>
        <v xml:space="preserve">2170717463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6.71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1.4</v>
      </c>
      <c r="BJ3618">
        <v>0.9</v>
      </c>
      <c r="BK3618">
        <v>1.5</v>
      </c>
      <c r="BL3618" s="4">
        <v>39.42</v>
      </c>
      <c r="BM3618" s="4">
        <v>5.91</v>
      </c>
      <c r="BN3618" s="4">
        <v>45.33</v>
      </c>
      <c r="BO3618" s="4">
        <v>45.33</v>
      </c>
      <c r="BQ3618" t="s">
        <v>109</v>
      </c>
      <c r="BR3618" t="s">
        <v>84</v>
      </c>
      <c r="BS3618" s="3">
        <v>43798</v>
      </c>
      <c r="BT3618" s="5">
        <v>0.40625</v>
      </c>
      <c r="BU3618" t="s">
        <v>237</v>
      </c>
      <c r="BV3618" t="s">
        <v>86</v>
      </c>
      <c r="BY3618">
        <v>4490.24</v>
      </c>
      <c r="CA3618" t="s">
        <v>238</v>
      </c>
      <c r="CC3618" t="s">
        <v>76</v>
      </c>
      <c r="CD3618">
        <v>1665</v>
      </c>
      <c r="CE3618" t="s">
        <v>88</v>
      </c>
      <c r="CI3618">
        <v>1</v>
      </c>
      <c r="CJ3618">
        <v>1</v>
      </c>
      <c r="CK3618">
        <v>22</v>
      </c>
      <c r="CL3618" t="s">
        <v>89</v>
      </c>
    </row>
    <row r="3619" spans="1:90">
      <c r="A3619" t="s">
        <v>72</v>
      </c>
      <c r="B3619" t="s">
        <v>73</v>
      </c>
      <c r="C3619" t="s">
        <v>74</v>
      </c>
      <c r="E3619" t="str">
        <f>"FES1162725895"</f>
        <v>FES1162725895</v>
      </c>
      <c r="F3619" s="3">
        <v>43797</v>
      </c>
      <c r="G3619">
        <v>202005</v>
      </c>
      <c r="H3619" t="s">
        <v>75</v>
      </c>
      <c r="I3619" t="s">
        <v>76</v>
      </c>
      <c r="J3619" t="s">
        <v>77</v>
      </c>
      <c r="K3619" t="s">
        <v>78</v>
      </c>
      <c r="L3619" t="s">
        <v>112</v>
      </c>
      <c r="M3619" t="s">
        <v>113</v>
      </c>
      <c r="N3619" t="s">
        <v>1083</v>
      </c>
      <c r="O3619" t="s">
        <v>82</v>
      </c>
      <c r="P3619" t="str">
        <f>"2170719229                    "</f>
        <v xml:space="preserve">2170719229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8.58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 s="4">
        <v>50.45</v>
      </c>
      <c r="BM3619" s="4">
        <v>7.57</v>
      </c>
      <c r="BN3619" s="4">
        <v>58.02</v>
      </c>
      <c r="BO3619" s="4">
        <v>58.02</v>
      </c>
      <c r="BQ3619" t="s">
        <v>121</v>
      </c>
      <c r="BR3619" t="s">
        <v>84</v>
      </c>
      <c r="BS3619" s="3">
        <v>43798</v>
      </c>
      <c r="BT3619" s="5">
        <v>0.33888888888888885</v>
      </c>
      <c r="BU3619" t="s">
        <v>3314</v>
      </c>
      <c r="BV3619" t="s">
        <v>86</v>
      </c>
      <c r="BY3619">
        <v>1200</v>
      </c>
      <c r="CA3619" t="s">
        <v>2212</v>
      </c>
      <c r="CC3619" t="s">
        <v>113</v>
      </c>
      <c r="CD3619">
        <v>4001</v>
      </c>
      <c r="CE3619" t="s">
        <v>147</v>
      </c>
      <c r="CI3619">
        <v>1</v>
      </c>
      <c r="CJ3619">
        <v>1</v>
      </c>
      <c r="CK3619">
        <v>21</v>
      </c>
      <c r="CL3619" t="s">
        <v>89</v>
      </c>
    </row>
    <row r="3620" spans="1:90">
      <c r="A3620" t="s">
        <v>72</v>
      </c>
      <c r="B3620" t="s">
        <v>73</v>
      </c>
      <c r="C3620" t="s">
        <v>74</v>
      </c>
      <c r="E3620" t="str">
        <f>"FES1162725697"</f>
        <v>FES1162725697</v>
      </c>
      <c r="F3620" s="3">
        <v>43797</v>
      </c>
      <c r="G3620">
        <v>202005</v>
      </c>
      <c r="H3620" t="s">
        <v>75</v>
      </c>
      <c r="I3620" t="s">
        <v>76</v>
      </c>
      <c r="J3620" t="s">
        <v>77</v>
      </c>
      <c r="K3620" t="s">
        <v>78</v>
      </c>
      <c r="L3620" t="s">
        <v>106</v>
      </c>
      <c r="M3620" t="s">
        <v>107</v>
      </c>
      <c r="N3620" t="s">
        <v>108</v>
      </c>
      <c r="O3620" t="s">
        <v>82</v>
      </c>
      <c r="P3620" t="str">
        <f>"2170717456                    "</f>
        <v xml:space="preserve">2170717456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8.58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 s="4">
        <v>50.45</v>
      </c>
      <c r="BM3620" s="4">
        <v>7.57</v>
      </c>
      <c r="BN3620" s="4">
        <v>58.02</v>
      </c>
      <c r="BO3620" s="4">
        <v>58.02</v>
      </c>
      <c r="BQ3620" t="s">
        <v>109</v>
      </c>
      <c r="BR3620" t="s">
        <v>84</v>
      </c>
      <c r="BS3620" s="3">
        <v>43798</v>
      </c>
      <c r="BT3620" s="5">
        <v>0.37847222222222227</v>
      </c>
      <c r="BU3620" t="s">
        <v>2881</v>
      </c>
      <c r="BV3620" t="s">
        <v>86</v>
      </c>
      <c r="BY3620">
        <v>1200</v>
      </c>
      <c r="CA3620" t="s">
        <v>3315</v>
      </c>
      <c r="CC3620" t="s">
        <v>107</v>
      </c>
      <c r="CD3620">
        <v>6001</v>
      </c>
      <c r="CE3620" t="s">
        <v>147</v>
      </c>
      <c r="CI3620">
        <v>1</v>
      </c>
      <c r="CJ3620">
        <v>1</v>
      </c>
      <c r="CK3620">
        <v>21</v>
      </c>
      <c r="CL3620" t="s">
        <v>89</v>
      </c>
    </row>
    <row r="3621" spans="1:90">
      <c r="A3621" t="s">
        <v>72</v>
      </c>
      <c r="B3621" t="s">
        <v>73</v>
      </c>
      <c r="C3621" t="s">
        <v>74</v>
      </c>
      <c r="E3621" t="str">
        <f>"FES1162725892"</f>
        <v>FES1162725892</v>
      </c>
      <c r="F3621" s="3">
        <v>43797</v>
      </c>
      <c r="G3621">
        <v>202005</v>
      </c>
      <c r="H3621" t="s">
        <v>75</v>
      </c>
      <c r="I3621" t="s">
        <v>76</v>
      </c>
      <c r="J3621" t="s">
        <v>77</v>
      </c>
      <c r="K3621" t="s">
        <v>78</v>
      </c>
      <c r="L3621" t="s">
        <v>106</v>
      </c>
      <c r="M3621" t="s">
        <v>107</v>
      </c>
      <c r="N3621" t="s">
        <v>150</v>
      </c>
      <c r="O3621" t="s">
        <v>82</v>
      </c>
      <c r="P3621" t="str">
        <f>"2170718812                    "</f>
        <v xml:space="preserve">2170718812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8.58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 s="4">
        <v>50.45</v>
      </c>
      <c r="BM3621" s="4">
        <v>7.57</v>
      </c>
      <c r="BN3621" s="4">
        <v>58.02</v>
      </c>
      <c r="BO3621" s="4">
        <v>58.02</v>
      </c>
      <c r="BQ3621" t="s">
        <v>109</v>
      </c>
      <c r="BR3621" t="s">
        <v>84</v>
      </c>
      <c r="BS3621" s="3">
        <v>43798</v>
      </c>
      <c r="BT3621" s="5">
        <v>0.3666666666666667</v>
      </c>
      <c r="BU3621" t="s">
        <v>151</v>
      </c>
      <c r="BV3621" t="s">
        <v>86</v>
      </c>
      <c r="BY3621">
        <v>1200</v>
      </c>
      <c r="CA3621" t="s">
        <v>111</v>
      </c>
      <c r="CC3621" t="s">
        <v>107</v>
      </c>
      <c r="CD3621">
        <v>6001</v>
      </c>
      <c r="CE3621" t="s">
        <v>147</v>
      </c>
      <c r="CI3621">
        <v>1</v>
      </c>
      <c r="CJ3621">
        <v>1</v>
      </c>
      <c r="CK3621">
        <v>21</v>
      </c>
      <c r="CL3621" t="s">
        <v>89</v>
      </c>
    </row>
    <row r="3622" spans="1:90">
      <c r="A3622" t="s">
        <v>72</v>
      </c>
      <c r="B3622" t="s">
        <v>73</v>
      </c>
      <c r="C3622" t="s">
        <v>74</v>
      </c>
      <c r="E3622" t="str">
        <f>"FES1162725787"</f>
        <v>FES1162725787</v>
      </c>
      <c r="F3622" s="3">
        <v>43797</v>
      </c>
      <c r="G3622">
        <v>202005</v>
      </c>
      <c r="H3622" t="s">
        <v>75</v>
      </c>
      <c r="I3622" t="s">
        <v>76</v>
      </c>
      <c r="J3622" t="s">
        <v>77</v>
      </c>
      <c r="K3622" t="s">
        <v>78</v>
      </c>
      <c r="L3622" t="s">
        <v>124</v>
      </c>
      <c r="M3622" t="s">
        <v>125</v>
      </c>
      <c r="N3622" t="s">
        <v>218</v>
      </c>
      <c r="O3622" t="s">
        <v>82</v>
      </c>
      <c r="P3622" t="str">
        <f>"2170719352                    "</f>
        <v xml:space="preserve">2170719352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23.58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7</v>
      </c>
      <c r="BJ3622">
        <v>12.5</v>
      </c>
      <c r="BK3622">
        <v>12.5</v>
      </c>
      <c r="BL3622" s="4">
        <v>138.61000000000001</v>
      </c>
      <c r="BM3622" s="4">
        <v>20.79</v>
      </c>
      <c r="BN3622" s="4">
        <v>159.4</v>
      </c>
      <c r="BO3622" s="4">
        <v>159.4</v>
      </c>
      <c r="BQ3622" t="s">
        <v>121</v>
      </c>
      <c r="BR3622" t="s">
        <v>84</v>
      </c>
      <c r="BS3622" s="3">
        <v>43798</v>
      </c>
      <c r="BT3622" s="5">
        <v>0.42638888888888887</v>
      </c>
      <c r="BU3622" t="s">
        <v>2809</v>
      </c>
      <c r="BV3622" t="s">
        <v>86</v>
      </c>
      <c r="BY3622">
        <v>62668.800000000003</v>
      </c>
      <c r="CA3622" t="s">
        <v>837</v>
      </c>
      <c r="CC3622" t="s">
        <v>125</v>
      </c>
      <c r="CD3622">
        <v>2094</v>
      </c>
      <c r="CE3622" t="s">
        <v>1598</v>
      </c>
      <c r="CI3622">
        <v>1</v>
      </c>
      <c r="CJ3622">
        <v>1</v>
      </c>
      <c r="CK3622">
        <v>22</v>
      </c>
      <c r="CL3622" t="s">
        <v>89</v>
      </c>
    </row>
    <row r="3623" spans="1:90">
      <c r="A3623" t="s">
        <v>72</v>
      </c>
      <c r="B3623" t="s">
        <v>73</v>
      </c>
      <c r="C3623" t="s">
        <v>74</v>
      </c>
      <c r="E3623" t="str">
        <f>"FES1162725859"</f>
        <v>FES1162725859</v>
      </c>
      <c r="F3623" s="3">
        <v>43797</v>
      </c>
      <c r="G3623">
        <v>202005</v>
      </c>
      <c r="H3623" t="s">
        <v>75</v>
      </c>
      <c r="I3623" t="s">
        <v>76</v>
      </c>
      <c r="J3623" t="s">
        <v>77</v>
      </c>
      <c r="K3623" t="s">
        <v>78</v>
      </c>
      <c r="L3623" t="s">
        <v>133</v>
      </c>
      <c r="M3623" t="s">
        <v>134</v>
      </c>
      <c r="N3623" t="s">
        <v>310</v>
      </c>
      <c r="O3623" t="s">
        <v>82</v>
      </c>
      <c r="P3623" t="str">
        <f>"2170716333                    "</f>
        <v xml:space="preserve">2170716333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8.58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 s="4">
        <v>50.45</v>
      </c>
      <c r="BM3623" s="4">
        <v>7.57</v>
      </c>
      <c r="BN3623" s="4">
        <v>58.02</v>
      </c>
      <c r="BO3623" s="4">
        <v>58.02</v>
      </c>
      <c r="BQ3623" t="s">
        <v>121</v>
      </c>
      <c r="BR3623" t="s">
        <v>84</v>
      </c>
      <c r="BS3623" s="3">
        <v>43798</v>
      </c>
      <c r="BT3623" s="5">
        <v>0.43402777777777773</v>
      </c>
      <c r="BU3623" t="s">
        <v>911</v>
      </c>
      <c r="BV3623" t="s">
        <v>86</v>
      </c>
      <c r="BY3623">
        <v>1200</v>
      </c>
      <c r="CA3623" t="s">
        <v>137</v>
      </c>
      <c r="CC3623" t="s">
        <v>134</v>
      </c>
      <c r="CD3623">
        <v>5201</v>
      </c>
      <c r="CE3623" t="s">
        <v>147</v>
      </c>
      <c r="CI3623">
        <v>1</v>
      </c>
      <c r="CJ3623">
        <v>1</v>
      </c>
      <c r="CK3623">
        <v>21</v>
      </c>
      <c r="CL3623" t="s">
        <v>89</v>
      </c>
    </row>
    <row r="3624" spans="1:90">
      <c r="A3624" t="s">
        <v>72</v>
      </c>
      <c r="B3624" t="s">
        <v>73</v>
      </c>
      <c r="C3624" t="s">
        <v>74</v>
      </c>
      <c r="E3624" t="str">
        <f>"FES1162725781"</f>
        <v>FES1162725781</v>
      </c>
      <c r="F3624" s="3">
        <v>43797</v>
      </c>
      <c r="G3624">
        <v>202005</v>
      </c>
      <c r="H3624" t="s">
        <v>75</v>
      </c>
      <c r="I3624" t="s">
        <v>76</v>
      </c>
      <c r="J3624" t="s">
        <v>77</v>
      </c>
      <c r="K3624" t="s">
        <v>78</v>
      </c>
      <c r="L3624" t="s">
        <v>106</v>
      </c>
      <c r="M3624" t="s">
        <v>107</v>
      </c>
      <c r="N3624" t="s">
        <v>242</v>
      </c>
      <c r="O3624" t="s">
        <v>82</v>
      </c>
      <c r="P3624" t="str">
        <f>"2170719343                    "</f>
        <v xml:space="preserve">2170719343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8.58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 s="4">
        <v>50.45</v>
      </c>
      <c r="BM3624" s="4">
        <v>7.57</v>
      </c>
      <c r="BN3624" s="4">
        <v>58.02</v>
      </c>
      <c r="BO3624" s="4">
        <v>58.02</v>
      </c>
      <c r="BQ3624" t="s">
        <v>109</v>
      </c>
      <c r="BR3624" t="s">
        <v>84</v>
      </c>
      <c r="BS3624" s="3">
        <v>43798</v>
      </c>
      <c r="BT3624" s="5">
        <v>0.3659722222222222</v>
      </c>
      <c r="BU3624" t="s">
        <v>499</v>
      </c>
      <c r="BV3624" t="s">
        <v>86</v>
      </c>
      <c r="BY3624">
        <v>1200</v>
      </c>
      <c r="CA3624" t="s">
        <v>244</v>
      </c>
      <c r="CC3624" t="s">
        <v>107</v>
      </c>
      <c r="CD3624">
        <v>6001</v>
      </c>
      <c r="CE3624" t="s">
        <v>147</v>
      </c>
      <c r="CI3624">
        <v>1</v>
      </c>
      <c r="CJ3624">
        <v>1</v>
      </c>
      <c r="CK3624">
        <v>21</v>
      </c>
      <c r="CL3624" t="s">
        <v>89</v>
      </c>
    </row>
    <row r="3625" spans="1:90">
      <c r="A3625" t="s">
        <v>72</v>
      </c>
      <c r="B3625" t="s">
        <v>73</v>
      </c>
      <c r="C3625" t="s">
        <v>74</v>
      </c>
      <c r="E3625" t="str">
        <f>"FES1162725912"</f>
        <v>FES1162725912</v>
      </c>
      <c r="F3625" s="3">
        <v>43797</v>
      </c>
      <c r="G3625">
        <v>202005</v>
      </c>
      <c r="H3625" t="s">
        <v>75</v>
      </c>
      <c r="I3625" t="s">
        <v>76</v>
      </c>
      <c r="J3625" t="s">
        <v>77</v>
      </c>
      <c r="K3625" t="s">
        <v>78</v>
      </c>
      <c r="L3625" t="s">
        <v>112</v>
      </c>
      <c r="M3625" t="s">
        <v>113</v>
      </c>
      <c r="N3625" t="s">
        <v>423</v>
      </c>
      <c r="O3625" t="s">
        <v>82</v>
      </c>
      <c r="P3625" t="str">
        <f>"2170718552                    "</f>
        <v xml:space="preserve">2170718552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8.58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 s="4">
        <v>50.45</v>
      </c>
      <c r="BM3625" s="4">
        <v>7.57</v>
      </c>
      <c r="BN3625" s="4">
        <v>58.02</v>
      </c>
      <c r="BO3625" s="4">
        <v>58.02</v>
      </c>
      <c r="BQ3625" t="s">
        <v>424</v>
      </c>
      <c r="BR3625" t="s">
        <v>84</v>
      </c>
      <c r="BS3625" s="3">
        <v>43798</v>
      </c>
      <c r="BT3625" s="5">
        <v>0.3444444444444445</v>
      </c>
      <c r="BU3625" t="s">
        <v>774</v>
      </c>
      <c r="BV3625" t="s">
        <v>86</v>
      </c>
      <c r="BY3625">
        <v>1200</v>
      </c>
      <c r="CA3625" t="s">
        <v>426</v>
      </c>
      <c r="CC3625" t="s">
        <v>113</v>
      </c>
      <c r="CD3625">
        <v>4001</v>
      </c>
      <c r="CE3625" t="s">
        <v>147</v>
      </c>
      <c r="CI3625">
        <v>1</v>
      </c>
      <c r="CJ3625">
        <v>1</v>
      </c>
      <c r="CK3625">
        <v>21</v>
      </c>
      <c r="CL3625" t="s">
        <v>89</v>
      </c>
    </row>
    <row r="3626" spans="1:90">
      <c r="A3626" t="s">
        <v>72</v>
      </c>
      <c r="B3626" t="s">
        <v>73</v>
      </c>
      <c r="C3626" t="s">
        <v>74</v>
      </c>
      <c r="E3626" t="str">
        <f>"FES1162725698"</f>
        <v>FES1162725698</v>
      </c>
      <c r="F3626" s="3">
        <v>43797</v>
      </c>
      <c r="G3626">
        <v>202005</v>
      </c>
      <c r="H3626" t="s">
        <v>75</v>
      </c>
      <c r="I3626" t="s">
        <v>76</v>
      </c>
      <c r="J3626" t="s">
        <v>77</v>
      </c>
      <c r="K3626" t="s">
        <v>78</v>
      </c>
      <c r="L3626" t="s">
        <v>214</v>
      </c>
      <c r="M3626" t="s">
        <v>214</v>
      </c>
      <c r="N3626" t="s">
        <v>314</v>
      </c>
      <c r="O3626" t="s">
        <v>82</v>
      </c>
      <c r="P3626" t="str">
        <f>"2170717762                    "</f>
        <v xml:space="preserve">2170717762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16.63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 s="4">
        <v>97.75</v>
      </c>
      <c r="BM3626" s="4">
        <v>14.66</v>
      </c>
      <c r="BN3626" s="4">
        <v>112.41</v>
      </c>
      <c r="BO3626" s="4">
        <v>112.41</v>
      </c>
      <c r="BQ3626" t="s">
        <v>109</v>
      </c>
      <c r="BR3626" t="s">
        <v>84</v>
      </c>
      <c r="BS3626" s="3">
        <v>43798</v>
      </c>
      <c r="BT3626" s="5">
        <v>0.49305555555555558</v>
      </c>
      <c r="BU3626" t="s">
        <v>3112</v>
      </c>
      <c r="BV3626" t="s">
        <v>86</v>
      </c>
      <c r="BY3626">
        <v>1200</v>
      </c>
      <c r="CA3626" t="s">
        <v>1643</v>
      </c>
      <c r="CC3626" t="s">
        <v>214</v>
      </c>
      <c r="CD3626">
        <v>7646</v>
      </c>
      <c r="CE3626" t="s">
        <v>147</v>
      </c>
      <c r="CI3626">
        <v>1</v>
      </c>
      <c r="CJ3626">
        <v>1</v>
      </c>
      <c r="CK3626">
        <v>23</v>
      </c>
      <c r="CL3626" t="s">
        <v>89</v>
      </c>
    </row>
    <row r="3627" spans="1:90">
      <c r="A3627" t="s">
        <v>72</v>
      </c>
      <c r="B3627" t="s">
        <v>73</v>
      </c>
      <c r="C3627" t="s">
        <v>74</v>
      </c>
      <c r="E3627" t="str">
        <f>"FES1162725572"</f>
        <v>FES1162725572</v>
      </c>
      <c r="F3627" s="3">
        <v>43797</v>
      </c>
      <c r="G3627">
        <v>202005</v>
      </c>
      <c r="H3627" t="s">
        <v>75</v>
      </c>
      <c r="I3627" t="s">
        <v>76</v>
      </c>
      <c r="J3627" t="s">
        <v>77</v>
      </c>
      <c r="K3627" t="s">
        <v>78</v>
      </c>
      <c r="L3627" t="s">
        <v>90</v>
      </c>
      <c r="M3627" t="s">
        <v>91</v>
      </c>
      <c r="N3627" t="s">
        <v>527</v>
      </c>
      <c r="O3627" t="s">
        <v>82</v>
      </c>
      <c r="P3627" t="str">
        <f>"2170717662                    "</f>
        <v xml:space="preserve">2170717662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8.58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 s="4">
        <v>50.45</v>
      </c>
      <c r="BM3627" s="4">
        <v>7.57</v>
      </c>
      <c r="BN3627" s="4">
        <v>58.02</v>
      </c>
      <c r="BO3627" s="4">
        <v>58.02</v>
      </c>
      <c r="BQ3627" t="s">
        <v>109</v>
      </c>
      <c r="BR3627" t="s">
        <v>84</v>
      </c>
      <c r="BS3627" s="3">
        <v>43798</v>
      </c>
      <c r="BT3627" s="5">
        <v>0.33402777777777781</v>
      </c>
      <c r="BU3627" t="s">
        <v>2177</v>
      </c>
      <c r="BV3627" t="s">
        <v>86</v>
      </c>
      <c r="BY3627">
        <v>1200</v>
      </c>
      <c r="CA3627" t="s">
        <v>1942</v>
      </c>
      <c r="CC3627" t="s">
        <v>91</v>
      </c>
      <c r="CD3627">
        <v>7405</v>
      </c>
      <c r="CE3627" t="s">
        <v>147</v>
      </c>
      <c r="CI3627">
        <v>1</v>
      </c>
      <c r="CJ3627">
        <v>1</v>
      </c>
      <c r="CK3627">
        <v>21</v>
      </c>
      <c r="CL3627" t="s">
        <v>89</v>
      </c>
    </row>
    <row r="3628" spans="1:90">
      <c r="A3628" t="s">
        <v>72</v>
      </c>
      <c r="B3628" t="s">
        <v>73</v>
      </c>
      <c r="C3628" t="s">
        <v>74</v>
      </c>
      <c r="E3628" t="str">
        <f>"FES1162725593"</f>
        <v>FES1162725593</v>
      </c>
      <c r="F3628" s="3">
        <v>43797</v>
      </c>
      <c r="G3628">
        <v>202005</v>
      </c>
      <c r="H3628" t="s">
        <v>75</v>
      </c>
      <c r="I3628" t="s">
        <v>76</v>
      </c>
      <c r="J3628" t="s">
        <v>77</v>
      </c>
      <c r="K3628" t="s">
        <v>78</v>
      </c>
      <c r="L3628" t="s">
        <v>106</v>
      </c>
      <c r="M3628" t="s">
        <v>107</v>
      </c>
      <c r="N3628" t="s">
        <v>3316</v>
      </c>
      <c r="O3628" t="s">
        <v>82</v>
      </c>
      <c r="P3628" t="str">
        <f>"2170717769                    "</f>
        <v xml:space="preserve">2170717769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8.58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 s="4">
        <v>50.45</v>
      </c>
      <c r="BM3628" s="4">
        <v>7.57</v>
      </c>
      <c r="BN3628" s="4">
        <v>58.02</v>
      </c>
      <c r="BO3628" s="4">
        <v>58.02</v>
      </c>
      <c r="BQ3628" t="s">
        <v>121</v>
      </c>
      <c r="BR3628" t="s">
        <v>84</v>
      </c>
      <c r="BS3628" s="3">
        <v>43798</v>
      </c>
      <c r="BT3628" s="5">
        <v>0.43472222222222223</v>
      </c>
      <c r="BU3628" t="s">
        <v>3317</v>
      </c>
      <c r="BV3628" t="s">
        <v>86</v>
      </c>
      <c r="BY3628">
        <v>1200</v>
      </c>
      <c r="CA3628" t="s">
        <v>111</v>
      </c>
      <c r="CC3628" t="s">
        <v>107</v>
      </c>
      <c r="CD3628">
        <v>6014</v>
      </c>
      <c r="CE3628" t="s">
        <v>147</v>
      </c>
      <c r="CI3628">
        <v>1</v>
      </c>
      <c r="CJ3628">
        <v>1</v>
      </c>
      <c r="CK3628">
        <v>21</v>
      </c>
      <c r="CL3628" t="s">
        <v>89</v>
      </c>
    </row>
    <row r="3629" spans="1:90">
      <c r="A3629" t="s">
        <v>72</v>
      </c>
      <c r="B3629" t="s">
        <v>73</v>
      </c>
      <c r="C3629" t="s">
        <v>74</v>
      </c>
      <c r="E3629" t="str">
        <f>"FES1162725868"</f>
        <v>FES1162725868</v>
      </c>
      <c r="F3629" s="3">
        <v>43797</v>
      </c>
      <c r="G3629">
        <v>202005</v>
      </c>
      <c r="H3629" t="s">
        <v>75</v>
      </c>
      <c r="I3629" t="s">
        <v>76</v>
      </c>
      <c r="J3629" t="s">
        <v>77</v>
      </c>
      <c r="K3629" t="s">
        <v>78</v>
      </c>
      <c r="L3629" t="s">
        <v>783</v>
      </c>
      <c r="M3629" t="s">
        <v>784</v>
      </c>
      <c r="N3629" t="s">
        <v>785</v>
      </c>
      <c r="O3629" t="s">
        <v>82</v>
      </c>
      <c r="P3629" t="str">
        <f>"2170716964                    "</f>
        <v xml:space="preserve">2170716964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16.63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 s="4">
        <v>97.75</v>
      </c>
      <c r="BM3629" s="4">
        <v>14.66</v>
      </c>
      <c r="BN3629" s="4">
        <v>112.41</v>
      </c>
      <c r="BO3629" s="4">
        <v>112.41</v>
      </c>
      <c r="BQ3629" t="s">
        <v>109</v>
      </c>
      <c r="BR3629" t="s">
        <v>84</v>
      </c>
      <c r="BS3629" s="3">
        <v>43798</v>
      </c>
      <c r="BT3629" s="5">
        <v>0.39583333333333331</v>
      </c>
      <c r="BU3629" t="s">
        <v>786</v>
      </c>
      <c r="BV3629" t="s">
        <v>86</v>
      </c>
      <c r="BY3629">
        <v>1200</v>
      </c>
      <c r="CC3629" t="s">
        <v>784</v>
      </c>
      <c r="CD3629">
        <v>9880</v>
      </c>
      <c r="CE3629" t="s">
        <v>147</v>
      </c>
      <c r="CI3629">
        <v>1</v>
      </c>
      <c r="CJ3629">
        <v>1</v>
      </c>
      <c r="CK3629">
        <v>23</v>
      </c>
      <c r="CL3629" t="s">
        <v>89</v>
      </c>
    </row>
    <row r="3630" spans="1:90">
      <c r="A3630" t="s">
        <v>72</v>
      </c>
      <c r="B3630" t="s">
        <v>73</v>
      </c>
      <c r="C3630" t="s">
        <v>74</v>
      </c>
      <c r="E3630" t="str">
        <f>"FES1162725555"</f>
        <v>FES1162725555</v>
      </c>
      <c r="F3630" s="3">
        <v>43797</v>
      </c>
      <c r="G3630">
        <v>202005</v>
      </c>
      <c r="H3630" t="s">
        <v>75</v>
      </c>
      <c r="I3630" t="s">
        <v>76</v>
      </c>
      <c r="J3630" t="s">
        <v>77</v>
      </c>
      <c r="K3630" t="s">
        <v>78</v>
      </c>
      <c r="L3630" t="s">
        <v>124</v>
      </c>
      <c r="M3630" t="s">
        <v>125</v>
      </c>
      <c r="N3630" t="s">
        <v>976</v>
      </c>
      <c r="O3630" t="s">
        <v>82</v>
      </c>
      <c r="P3630" t="str">
        <f>"2170717498                    "</f>
        <v xml:space="preserve">2170717498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6.71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 s="4">
        <v>39.42</v>
      </c>
      <c r="BM3630" s="4">
        <v>5.91</v>
      </c>
      <c r="BN3630" s="4">
        <v>45.33</v>
      </c>
      <c r="BO3630" s="4">
        <v>45.33</v>
      </c>
      <c r="BQ3630" t="s">
        <v>109</v>
      </c>
      <c r="BR3630" t="s">
        <v>84</v>
      </c>
      <c r="BS3630" s="3">
        <v>43798</v>
      </c>
      <c r="BT3630" s="5">
        <v>0.3125</v>
      </c>
      <c r="BU3630" t="s">
        <v>3318</v>
      </c>
      <c r="BV3630" t="s">
        <v>86</v>
      </c>
      <c r="BY3630">
        <v>1200</v>
      </c>
      <c r="CA3630" t="s">
        <v>123</v>
      </c>
      <c r="CC3630" t="s">
        <v>125</v>
      </c>
      <c r="CD3630">
        <v>2093</v>
      </c>
      <c r="CE3630" t="s">
        <v>147</v>
      </c>
      <c r="CI3630">
        <v>1</v>
      </c>
      <c r="CJ3630">
        <v>1</v>
      </c>
      <c r="CK3630">
        <v>22</v>
      </c>
      <c r="CL3630" t="s">
        <v>89</v>
      </c>
    </row>
    <row r="3631" spans="1:90">
      <c r="A3631" t="s">
        <v>72</v>
      </c>
      <c r="B3631" t="s">
        <v>73</v>
      </c>
      <c r="C3631" t="s">
        <v>74</v>
      </c>
      <c r="E3631" t="str">
        <f>"FES1162725842"</f>
        <v>FES1162725842</v>
      </c>
      <c r="F3631" s="3">
        <v>43797</v>
      </c>
      <c r="G3631">
        <v>202005</v>
      </c>
      <c r="H3631" t="s">
        <v>75</v>
      </c>
      <c r="I3631" t="s">
        <v>76</v>
      </c>
      <c r="J3631" t="s">
        <v>77</v>
      </c>
      <c r="K3631" t="s">
        <v>78</v>
      </c>
      <c r="L3631" t="s">
        <v>202</v>
      </c>
      <c r="M3631" t="s">
        <v>203</v>
      </c>
      <c r="N3631" t="s">
        <v>3319</v>
      </c>
      <c r="O3631" t="s">
        <v>82</v>
      </c>
      <c r="P3631" t="str">
        <f>"2170719428                    "</f>
        <v xml:space="preserve">2170719428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6.71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 s="4">
        <v>39.42</v>
      </c>
      <c r="BM3631" s="4">
        <v>5.91</v>
      </c>
      <c r="BN3631" s="4">
        <v>45.33</v>
      </c>
      <c r="BO3631" s="4">
        <v>45.33</v>
      </c>
      <c r="BQ3631" t="s">
        <v>109</v>
      </c>
      <c r="BR3631" t="s">
        <v>84</v>
      </c>
      <c r="BS3631" s="3">
        <v>43798</v>
      </c>
      <c r="BT3631" s="5">
        <v>0.42083333333333334</v>
      </c>
      <c r="BU3631" t="s">
        <v>3320</v>
      </c>
      <c r="BV3631" t="s">
        <v>86</v>
      </c>
      <c r="BY3631">
        <v>1200</v>
      </c>
      <c r="CA3631" t="s">
        <v>1181</v>
      </c>
      <c r="CC3631" t="s">
        <v>203</v>
      </c>
      <c r="CD3631">
        <v>1400</v>
      </c>
      <c r="CE3631" t="s">
        <v>147</v>
      </c>
      <c r="CI3631">
        <v>1</v>
      </c>
      <c r="CJ3631">
        <v>1</v>
      </c>
      <c r="CK3631">
        <v>22</v>
      </c>
      <c r="CL3631" t="s">
        <v>89</v>
      </c>
    </row>
    <row r="3632" spans="1:90">
      <c r="A3632" t="s">
        <v>72</v>
      </c>
      <c r="B3632" t="s">
        <v>73</v>
      </c>
      <c r="C3632" t="s">
        <v>74</v>
      </c>
      <c r="E3632" t="str">
        <f>"FES1162725636"</f>
        <v>FES1162725636</v>
      </c>
      <c r="F3632" s="3">
        <v>43797</v>
      </c>
      <c r="G3632">
        <v>202005</v>
      </c>
      <c r="H3632" t="s">
        <v>75</v>
      </c>
      <c r="I3632" t="s">
        <v>76</v>
      </c>
      <c r="J3632" t="s">
        <v>77</v>
      </c>
      <c r="K3632" t="s">
        <v>78</v>
      </c>
      <c r="L3632" t="s">
        <v>546</v>
      </c>
      <c r="M3632" t="s">
        <v>547</v>
      </c>
      <c r="N3632" t="s">
        <v>3321</v>
      </c>
      <c r="O3632" t="s">
        <v>82</v>
      </c>
      <c r="P3632" t="str">
        <f>"2170719297                    "</f>
        <v xml:space="preserve">2170719297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6.71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 s="4">
        <v>39.42</v>
      </c>
      <c r="BM3632" s="4">
        <v>5.91</v>
      </c>
      <c r="BN3632" s="4">
        <v>45.33</v>
      </c>
      <c r="BO3632" s="4">
        <v>45.33</v>
      </c>
      <c r="BQ3632" t="s">
        <v>121</v>
      </c>
      <c r="BR3632" t="s">
        <v>84</v>
      </c>
      <c r="BS3632" s="3">
        <v>43798</v>
      </c>
      <c r="BT3632" s="5">
        <v>0.35416666666666669</v>
      </c>
      <c r="BU3632" t="s">
        <v>3322</v>
      </c>
      <c r="BV3632" t="s">
        <v>86</v>
      </c>
      <c r="BY3632">
        <v>1200</v>
      </c>
      <c r="CA3632" t="s">
        <v>123</v>
      </c>
      <c r="CC3632" t="s">
        <v>547</v>
      </c>
      <c r="CD3632">
        <v>1709</v>
      </c>
      <c r="CE3632" t="s">
        <v>147</v>
      </c>
      <c r="CI3632">
        <v>1</v>
      </c>
      <c r="CJ3632">
        <v>1</v>
      </c>
      <c r="CK3632">
        <v>22</v>
      </c>
      <c r="CL3632" t="s">
        <v>89</v>
      </c>
    </row>
    <row r="3633" spans="1:90">
      <c r="A3633" t="s">
        <v>72</v>
      </c>
      <c r="B3633" t="s">
        <v>73</v>
      </c>
      <c r="C3633" t="s">
        <v>74</v>
      </c>
      <c r="E3633" t="str">
        <f>"FES1162725887"</f>
        <v>FES1162725887</v>
      </c>
      <c r="F3633" s="3">
        <v>43797</v>
      </c>
      <c r="G3633">
        <v>202005</v>
      </c>
      <c r="H3633" t="s">
        <v>75</v>
      </c>
      <c r="I3633" t="s">
        <v>76</v>
      </c>
      <c r="J3633" t="s">
        <v>77</v>
      </c>
      <c r="K3633" t="s">
        <v>78</v>
      </c>
      <c r="L3633" t="s">
        <v>344</v>
      </c>
      <c r="M3633" t="s">
        <v>345</v>
      </c>
      <c r="N3633" t="s">
        <v>2200</v>
      </c>
      <c r="O3633" t="s">
        <v>82</v>
      </c>
      <c r="P3633" t="str">
        <f>"2170717123                    "</f>
        <v xml:space="preserve">2170717123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6.71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 s="4">
        <v>39.42</v>
      </c>
      <c r="BM3633" s="4">
        <v>5.91</v>
      </c>
      <c r="BN3633" s="4">
        <v>45.33</v>
      </c>
      <c r="BO3633" s="4">
        <v>45.33</v>
      </c>
      <c r="BQ3633" t="s">
        <v>121</v>
      </c>
      <c r="BR3633" t="s">
        <v>84</v>
      </c>
      <c r="BS3633" s="3">
        <v>43798</v>
      </c>
      <c r="BT3633" s="5">
        <v>0.3659722222222222</v>
      </c>
      <c r="BU3633" t="s">
        <v>595</v>
      </c>
      <c r="BV3633" t="s">
        <v>86</v>
      </c>
      <c r="BY3633">
        <v>1200</v>
      </c>
      <c r="CA3633" t="s">
        <v>348</v>
      </c>
      <c r="CC3633" t="s">
        <v>345</v>
      </c>
      <c r="CD3633">
        <v>2163</v>
      </c>
      <c r="CE3633" t="s">
        <v>147</v>
      </c>
      <c r="CI3633">
        <v>1</v>
      </c>
      <c r="CJ3633">
        <v>1</v>
      </c>
      <c r="CK3633">
        <v>22</v>
      </c>
      <c r="CL3633" t="s">
        <v>89</v>
      </c>
    </row>
    <row r="3634" spans="1:90">
      <c r="A3634" t="s">
        <v>72</v>
      </c>
      <c r="B3634" t="s">
        <v>73</v>
      </c>
      <c r="C3634" t="s">
        <v>74</v>
      </c>
      <c r="E3634" t="str">
        <f>"FES1162725614"</f>
        <v>FES1162725614</v>
      </c>
      <c r="F3634" s="3">
        <v>43797</v>
      </c>
      <c r="G3634">
        <v>202005</v>
      </c>
      <c r="H3634" t="s">
        <v>75</v>
      </c>
      <c r="I3634" t="s">
        <v>76</v>
      </c>
      <c r="J3634" t="s">
        <v>77</v>
      </c>
      <c r="K3634" t="s">
        <v>78</v>
      </c>
      <c r="L3634" t="s">
        <v>202</v>
      </c>
      <c r="M3634" t="s">
        <v>203</v>
      </c>
      <c r="N3634" t="s">
        <v>2730</v>
      </c>
      <c r="O3634" t="s">
        <v>82</v>
      </c>
      <c r="P3634" t="str">
        <f>"2170718214                    "</f>
        <v xml:space="preserve">2170718214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6.71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 s="4">
        <v>39.42</v>
      </c>
      <c r="BM3634" s="4">
        <v>5.91</v>
      </c>
      <c r="BN3634" s="4">
        <v>45.33</v>
      </c>
      <c r="BO3634" s="4">
        <v>45.33</v>
      </c>
      <c r="BQ3634" t="s">
        <v>121</v>
      </c>
      <c r="BR3634" t="s">
        <v>84</v>
      </c>
      <c r="BS3634" s="3">
        <v>43798</v>
      </c>
      <c r="BT3634" s="5">
        <v>0.34722222222222227</v>
      </c>
      <c r="BU3634" t="s">
        <v>1184</v>
      </c>
      <c r="BV3634" t="s">
        <v>86</v>
      </c>
      <c r="BY3634">
        <v>1200</v>
      </c>
      <c r="CC3634" t="s">
        <v>203</v>
      </c>
      <c r="CD3634">
        <v>1428</v>
      </c>
      <c r="CE3634" t="s">
        <v>147</v>
      </c>
      <c r="CI3634">
        <v>1</v>
      </c>
      <c r="CJ3634">
        <v>1</v>
      </c>
      <c r="CK3634">
        <v>22</v>
      </c>
      <c r="CL3634" t="s">
        <v>89</v>
      </c>
    </row>
    <row r="3635" spans="1:90">
      <c r="A3635" t="s">
        <v>72</v>
      </c>
      <c r="B3635" t="s">
        <v>73</v>
      </c>
      <c r="C3635" t="s">
        <v>74</v>
      </c>
      <c r="E3635" t="str">
        <f>"FES1162725816"</f>
        <v>FES1162725816</v>
      </c>
      <c r="F3635" s="3">
        <v>43797</v>
      </c>
      <c r="G3635">
        <v>202005</v>
      </c>
      <c r="H3635" t="s">
        <v>75</v>
      </c>
      <c r="I3635" t="s">
        <v>76</v>
      </c>
      <c r="J3635" t="s">
        <v>77</v>
      </c>
      <c r="K3635" t="s">
        <v>78</v>
      </c>
      <c r="L3635" t="s">
        <v>79</v>
      </c>
      <c r="M3635" t="s">
        <v>80</v>
      </c>
      <c r="N3635" t="s">
        <v>511</v>
      </c>
      <c r="O3635" t="s">
        <v>82</v>
      </c>
      <c r="P3635" t="str">
        <f>"2170719386                    "</f>
        <v xml:space="preserve">2170719386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8.58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 s="4">
        <v>50.45</v>
      </c>
      <c r="BM3635" s="4">
        <v>7.57</v>
      </c>
      <c r="BN3635" s="4">
        <v>58.02</v>
      </c>
      <c r="BO3635" s="4">
        <v>58.02</v>
      </c>
      <c r="BQ3635" t="s">
        <v>109</v>
      </c>
      <c r="BR3635" t="s">
        <v>84</v>
      </c>
      <c r="BS3635" s="3">
        <v>43798</v>
      </c>
      <c r="BT3635" s="5">
        <v>0.32291666666666669</v>
      </c>
      <c r="BU3635" t="s">
        <v>3323</v>
      </c>
      <c r="BV3635" t="s">
        <v>86</v>
      </c>
      <c r="BY3635">
        <v>1200</v>
      </c>
      <c r="CA3635" t="s">
        <v>87</v>
      </c>
      <c r="CC3635" t="s">
        <v>80</v>
      </c>
      <c r="CD3635">
        <v>6229</v>
      </c>
      <c r="CE3635" t="s">
        <v>147</v>
      </c>
      <c r="CI3635">
        <v>1</v>
      </c>
      <c r="CJ3635">
        <v>1</v>
      </c>
      <c r="CK3635">
        <v>21</v>
      </c>
      <c r="CL3635" t="s">
        <v>89</v>
      </c>
    </row>
    <row r="3636" spans="1:90">
      <c r="A3636" t="s">
        <v>72</v>
      </c>
      <c r="B3636" t="s">
        <v>73</v>
      </c>
      <c r="C3636" t="s">
        <v>74</v>
      </c>
      <c r="E3636" t="str">
        <f>"FES1162725546"</f>
        <v>FES1162725546</v>
      </c>
      <c r="F3636" s="3">
        <v>43797</v>
      </c>
      <c r="G3636">
        <v>202005</v>
      </c>
      <c r="H3636" t="s">
        <v>75</v>
      </c>
      <c r="I3636" t="s">
        <v>76</v>
      </c>
      <c r="J3636" t="s">
        <v>77</v>
      </c>
      <c r="K3636" t="s">
        <v>78</v>
      </c>
      <c r="L3636" t="s">
        <v>112</v>
      </c>
      <c r="M3636" t="s">
        <v>113</v>
      </c>
      <c r="N3636" t="s">
        <v>620</v>
      </c>
      <c r="O3636" t="s">
        <v>82</v>
      </c>
      <c r="P3636" t="str">
        <f>"2170717350                    "</f>
        <v xml:space="preserve">2170717350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8.58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 s="4">
        <v>50.45</v>
      </c>
      <c r="BM3636" s="4">
        <v>7.57</v>
      </c>
      <c r="BN3636" s="4">
        <v>58.02</v>
      </c>
      <c r="BO3636" s="4">
        <v>58.02</v>
      </c>
      <c r="BQ3636" t="s">
        <v>109</v>
      </c>
      <c r="BR3636" t="s">
        <v>84</v>
      </c>
      <c r="BS3636" s="3">
        <v>43798</v>
      </c>
      <c r="BT3636" s="5">
        <v>0.4284722222222222</v>
      </c>
      <c r="BU3636" t="s">
        <v>3324</v>
      </c>
      <c r="BV3636" t="s">
        <v>86</v>
      </c>
      <c r="BY3636">
        <v>1200</v>
      </c>
      <c r="CA3636" t="s">
        <v>448</v>
      </c>
      <c r="CC3636" t="s">
        <v>113</v>
      </c>
      <c r="CD3636">
        <v>4302</v>
      </c>
      <c r="CE3636" t="s">
        <v>147</v>
      </c>
      <c r="CI3636">
        <v>1</v>
      </c>
      <c r="CJ3636">
        <v>1</v>
      </c>
      <c r="CK3636">
        <v>21</v>
      </c>
      <c r="CL3636" t="s">
        <v>89</v>
      </c>
    </row>
    <row r="3637" spans="1:90">
      <c r="A3637" t="s">
        <v>72</v>
      </c>
      <c r="B3637" t="s">
        <v>73</v>
      </c>
      <c r="C3637" t="s">
        <v>74</v>
      </c>
      <c r="E3637" t="str">
        <f>"FES1162725806"</f>
        <v>FES1162725806</v>
      </c>
      <c r="F3637" s="3">
        <v>43797</v>
      </c>
      <c r="G3637">
        <v>202005</v>
      </c>
      <c r="H3637" t="s">
        <v>75</v>
      </c>
      <c r="I3637" t="s">
        <v>76</v>
      </c>
      <c r="J3637" t="s">
        <v>77</v>
      </c>
      <c r="K3637" t="s">
        <v>78</v>
      </c>
      <c r="L3637" t="s">
        <v>344</v>
      </c>
      <c r="M3637" t="s">
        <v>345</v>
      </c>
      <c r="N3637" t="s">
        <v>550</v>
      </c>
      <c r="O3637" t="s">
        <v>82</v>
      </c>
      <c r="P3637" t="str">
        <f>"2170719370                    "</f>
        <v xml:space="preserve">2170719370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6.71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 s="4">
        <v>39.42</v>
      </c>
      <c r="BM3637" s="4">
        <v>5.91</v>
      </c>
      <c r="BN3637" s="4">
        <v>45.33</v>
      </c>
      <c r="BO3637" s="4">
        <v>45.33</v>
      </c>
      <c r="BQ3637" t="s">
        <v>109</v>
      </c>
      <c r="BR3637" t="s">
        <v>84</v>
      </c>
      <c r="BS3637" s="3">
        <v>43798</v>
      </c>
      <c r="BT3637" s="5">
        <v>0.40277777777777773</v>
      </c>
      <c r="BU3637" t="s">
        <v>551</v>
      </c>
      <c r="BV3637" t="s">
        <v>86</v>
      </c>
      <c r="BY3637">
        <v>1200</v>
      </c>
      <c r="CC3637" t="s">
        <v>345</v>
      </c>
      <c r="CD3637">
        <v>2163</v>
      </c>
      <c r="CE3637" t="s">
        <v>147</v>
      </c>
      <c r="CI3637">
        <v>1</v>
      </c>
      <c r="CJ3637">
        <v>1</v>
      </c>
      <c r="CK3637">
        <v>22</v>
      </c>
      <c r="CL3637" t="s">
        <v>89</v>
      </c>
    </row>
    <row r="3638" spans="1:90">
      <c r="A3638" t="s">
        <v>72</v>
      </c>
      <c r="B3638" t="s">
        <v>73</v>
      </c>
      <c r="C3638" t="s">
        <v>74</v>
      </c>
      <c r="E3638" t="str">
        <f>"FES1162725592"</f>
        <v>FES1162725592</v>
      </c>
      <c r="F3638" s="3">
        <v>43797</v>
      </c>
      <c r="G3638">
        <v>202005</v>
      </c>
      <c r="H3638" t="s">
        <v>75</v>
      </c>
      <c r="I3638" t="s">
        <v>76</v>
      </c>
      <c r="J3638" t="s">
        <v>77</v>
      </c>
      <c r="K3638" t="s">
        <v>78</v>
      </c>
      <c r="L3638" t="s">
        <v>75</v>
      </c>
      <c r="M3638" t="s">
        <v>76</v>
      </c>
      <c r="N3638" t="s">
        <v>3325</v>
      </c>
      <c r="O3638" t="s">
        <v>82</v>
      </c>
      <c r="P3638" t="str">
        <f>"2170717767                    "</f>
        <v xml:space="preserve">2170717767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22.78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11.9</v>
      </c>
      <c r="BJ3638">
        <v>10.7</v>
      </c>
      <c r="BK3638">
        <v>12</v>
      </c>
      <c r="BL3638" s="4">
        <v>133.88999999999999</v>
      </c>
      <c r="BM3638" s="4">
        <v>20.079999999999998</v>
      </c>
      <c r="BN3638" s="4">
        <v>153.97</v>
      </c>
      <c r="BO3638" s="4">
        <v>153.97</v>
      </c>
      <c r="BQ3638" t="s">
        <v>3326</v>
      </c>
      <c r="BR3638" t="s">
        <v>84</v>
      </c>
      <c r="BS3638" s="3">
        <v>43798</v>
      </c>
      <c r="BT3638" s="5">
        <v>0.31944444444444448</v>
      </c>
      <c r="BU3638" t="s">
        <v>3327</v>
      </c>
      <c r="BV3638" t="s">
        <v>86</v>
      </c>
      <c r="BY3638">
        <v>53513.59</v>
      </c>
      <c r="CA3638" t="s">
        <v>2334</v>
      </c>
      <c r="CC3638" t="s">
        <v>76</v>
      </c>
      <c r="CD3638">
        <v>1601</v>
      </c>
      <c r="CE3638" t="s">
        <v>1598</v>
      </c>
      <c r="CI3638">
        <v>1</v>
      </c>
      <c r="CJ3638">
        <v>1</v>
      </c>
      <c r="CK3638">
        <v>22</v>
      </c>
      <c r="CL3638" t="s">
        <v>89</v>
      </c>
    </row>
    <row r="3639" spans="1:90">
      <c r="A3639" t="s">
        <v>72</v>
      </c>
      <c r="B3639" t="s">
        <v>73</v>
      </c>
      <c r="C3639" t="s">
        <v>74</v>
      </c>
      <c r="E3639" t="str">
        <f>"FES1162725878"</f>
        <v>FES1162725878</v>
      </c>
      <c r="F3639" s="3">
        <v>43797</v>
      </c>
      <c r="G3639">
        <v>202005</v>
      </c>
      <c r="H3639" t="s">
        <v>75</v>
      </c>
      <c r="I3639" t="s">
        <v>76</v>
      </c>
      <c r="J3639" t="s">
        <v>77</v>
      </c>
      <c r="K3639" t="s">
        <v>78</v>
      </c>
      <c r="L3639" t="s">
        <v>124</v>
      </c>
      <c r="M3639" t="s">
        <v>125</v>
      </c>
      <c r="N3639" t="s">
        <v>218</v>
      </c>
      <c r="O3639" t="s">
        <v>82</v>
      </c>
      <c r="P3639" t="str">
        <f>"2170717061                    "</f>
        <v xml:space="preserve">2170717061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6.71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 s="4">
        <v>39.42</v>
      </c>
      <c r="BM3639" s="4">
        <v>5.91</v>
      </c>
      <c r="BN3639" s="4">
        <v>45.33</v>
      </c>
      <c r="BO3639" s="4">
        <v>45.33</v>
      </c>
      <c r="BQ3639" t="s">
        <v>121</v>
      </c>
      <c r="BR3639" t="s">
        <v>84</v>
      </c>
      <c r="BS3639" s="3">
        <v>43798</v>
      </c>
      <c r="BT3639" s="5">
        <v>0.42569444444444443</v>
      </c>
      <c r="BU3639" t="s">
        <v>2809</v>
      </c>
      <c r="BV3639" t="s">
        <v>86</v>
      </c>
      <c r="BY3639">
        <v>1200</v>
      </c>
      <c r="CA3639" t="s">
        <v>837</v>
      </c>
      <c r="CC3639" t="s">
        <v>125</v>
      </c>
      <c r="CD3639">
        <v>2094</v>
      </c>
      <c r="CE3639" t="s">
        <v>147</v>
      </c>
      <c r="CI3639">
        <v>1</v>
      </c>
      <c r="CJ3639">
        <v>1</v>
      </c>
      <c r="CK3639">
        <v>22</v>
      </c>
      <c r="CL3639" t="s">
        <v>89</v>
      </c>
    </row>
    <row r="3640" spans="1:90">
      <c r="A3640" t="s">
        <v>72</v>
      </c>
      <c r="B3640" t="s">
        <v>73</v>
      </c>
      <c r="C3640" t="s">
        <v>74</v>
      </c>
      <c r="E3640" t="str">
        <f>"FES1162725532"</f>
        <v>FES1162725532</v>
      </c>
      <c r="F3640" s="3">
        <v>43797</v>
      </c>
      <c r="G3640">
        <v>202005</v>
      </c>
      <c r="H3640" t="s">
        <v>75</v>
      </c>
      <c r="I3640" t="s">
        <v>76</v>
      </c>
      <c r="J3640" t="s">
        <v>77</v>
      </c>
      <c r="K3640" t="s">
        <v>78</v>
      </c>
      <c r="L3640" t="s">
        <v>106</v>
      </c>
      <c r="M3640" t="s">
        <v>107</v>
      </c>
      <c r="N3640" t="s">
        <v>2965</v>
      </c>
      <c r="O3640" t="s">
        <v>82</v>
      </c>
      <c r="P3640" t="str">
        <f>"2170714652                    "</f>
        <v xml:space="preserve">2170714652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17.16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2</v>
      </c>
      <c r="BJ3640">
        <v>3.7</v>
      </c>
      <c r="BK3640">
        <v>4</v>
      </c>
      <c r="BL3640" s="4">
        <v>100.87</v>
      </c>
      <c r="BM3640" s="4">
        <v>15.13</v>
      </c>
      <c r="BN3640" s="4">
        <v>116</v>
      </c>
      <c r="BO3640" s="4">
        <v>116</v>
      </c>
      <c r="BQ3640" t="s">
        <v>2966</v>
      </c>
      <c r="BR3640" t="s">
        <v>84</v>
      </c>
      <c r="BS3640" s="3">
        <v>43798</v>
      </c>
      <c r="BT3640" s="5">
        <v>0.37013888888888885</v>
      </c>
      <c r="BU3640" t="s">
        <v>3328</v>
      </c>
      <c r="BV3640" t="s">
        <v>86</v>
      </c>
      <c r="BY3640">
        <v>18699.95</v>
      </c>
      <c r="CA3640" t="s">
        <v>111</v>
      </c>
      <c r="CC3640" t="s">
        <v>107</v>
      </c>
      <c r="CD3640">
        <v>6001</v>
      </c>
      <c r="CE3640" t="s">
        <v>1598</v>
      </c>
      <c r="CI3640">
        <v>1</v>
      </c>
      <c r="CJ3640">
        <v>1</v>
      </c>
      <c r="CK3640">
        <v>21</v>
      </c>
      <c r="CL3640" t="s">
        <v>89</v>
      </c>
    </row>
    <row r="3641" spans="1:90">
      <c r="A3641" t="s">
        <v>72</v>
      </c>
      <c r="B3641" t="s">
        <v>73</v>
      </c>
      <c r="C3641" t="s">
        <v>74</v>
      </c>
      <c r="E3641" t="str">
        <f>"FES1162725775"</f>
        <v>FES1162725775</v>
      </c>
      <c r="F3641" s="3">
        <v>43797</v>
      </c>
      <c r="G3641">
        <v>202005</v>
      </c>
      <c r="H3641" t="s">
        <v>75</v>
      </c>
      <c r="I3641" t="s">
        <v>76</v>
      </c>
      <c r="J3641" t="s">
        <v>77</v>
      </c>
      <c r="K3641" t="s">
        <v>78</v>
      </c>
      <c r="L3641" t="s">
        <v>118</v>
      </c>
      <c r="M3641" t="s">
        <v>119</v>
      </c>
      <c r="N3641" t="s">
        <v>120</v>
      </c>
      <c r="O3641" t="s">
        <v>82</v>
      </c>
      <c r="P3641" t="str">
        <f>"2170718866                    "</f>
        <v xml:space="preserve">2170718866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8.58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 s="4">
        <v>50.45</v>
      </c>
      <c r="BM3641" s="4">
        <v>7.57</v>
      </c>
      <c r="BN3641" s="4">
        <v>58.02</v>
      </c>
      <c r="BO3641" s="4">
        <v>58.02</v>
      </c>
      <c r="BQ3641" t="s">
        <v>121</v>
      </c>
      <c r="BR3641" t="s">
        <v>84</v>
      </c>
      <c r="BS3641" s="3">
        <v>43798</v>
      </c>
      <c r="BT3641" s="5">
        <v>0.38194444444444442</v>
      </c>
      <c r="BU3641" t="s">
        <v>623</v>
      </c>
      <c r="BV3641" t="s">
        <v>86</v>
      </c>
      <c r="BY3641">
        <v>1200</v>
      </c>
      <c r="CA3641" t="s">
        <v>435</v>
      </c>
      <c r="CC3641" t="s">
        <v>119</v>
      </c>
      <c r="CD3641">
        <v>3201</v>
      </c>
      <c r="CE3641" t="s">
        <v>147</v>
      </c>
      <c r="CI3641">
        <v>1</v>
      </c>
      <c r="CJ3641">
        <v>1</v>
      </c>
      <c r="CK3641">
        <v>21</v>
      </c>
      <c r="CL3641" t="s">
        <v>89</v>
      </c>
    </row>
    <row r="3642" spans="1:90">
      <c r="A3642" t="s">
        <v>72</v>
      </c>
      <c r="B3642" t="s">
        <v>73</v>
      </c>
      <c r="C3642" t="s">
        <v>74</v>
      </c>
      <c r="E3642" t="str">
        <f>"FES1162725626"</f>
        <v>FES1162725626</v>
      </c>
      <c r="F3642" s="3">
        <v>43797</v>
      </c>
      <c r="G3642">
        <v>202005</v>
      </c>
      <c r="H3642" t="s">
        <v>75</v>
      </c>
      <c r="I3642" t="s">
        <v>76</v>
      </c>
      <c r="J3642" t="s">
        <v>77</v>
      </c>
      <c r="K3642" t="s">
        <v>78</v>
      </c>
      <c r="L3642" t="s">
        <v>75</v>
      </c>
      <c r="M3642" t="s">
        <v>76</v>
      </c>
      <c r="N3642" t="s">
        <v>360</v>
      </c>
      <c r="O3642" t="s">
        <v>82</v>
      </c>
      <c r="P3642" t="str">
        <f>"2170718818                    "</f>
        <v xml:space="preserve">2170718818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6.71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0.8</v>
      </c>
      <c r="BJ3642">
        <v>1.6</v>
      </c>
      <c r="BK3642">
        <v>2</v>
      </c>
      <c r="BL3642" s="4">
        <v>39.42</v>
      </c>
      <c r="BM3642" s="4">
        <v>5.91</v>
      </c>
      <c r="BN3642" s="4">
        <v>45.33</v>
      </c>
      <c r="BO3642" s="4">
        <v>45.33</v>
      </c>
      <c r="BQ3642" t="s">
        <v>109</v>
      </c>
      <c r="BR3642" t="s">
        <v>84</v>
      </c>
      <c r="BS3642" s="3">
        <v>43798</v>
      </c>
      <c r="BT3642" s="5">
        <v>0.32291666666666669</v>
      </c>
      <c r="BU3642" t="s">
        <v>710</v>
      </c>
      <c r="BV3642" t="s">
        <v>86</v>
      </c>
      <c r="BY3642">
        <v>8003.16</v>
      </c>
      <c r="CA3642" t="s">
        <v>797</v>
      </c>
      <c r="CC3642" t="s">
        <v>76</v>
      </c>
      <c r="CD3642">
        <v>1645</v>
      </c>
      <c r="CE3642" t="s">
        <v>88</v>
      </c>
      <c r="CI3642">
        <v>1</v>
      </c>
      <c r="CJ3642">
        <v>1</v>
      </c>
      <c r="CK3642">
        <v>22</v>
      </c>
      <c r="CL3642" t="s">
        <v>89</v>
      </c>
    </row>
    <row r="3643" spans="1:90">
      <c r="A3643" t="s">
        <v>72</v>
      </c>
      <c r="B3643" t="s">
        <v>73</v>
      </c>
      <c r="C3643" t="s">
        <v>74</v>
      </c>
      <c r="E3643" t="str">
        <f>"FES1162725857"</f>
        <v>FES1162725857</v>
      </c>
      <c r="F3643" s="3">
        <v>43797</v>
      </c>
      <c r="G3643">
        <v>202005</v>
      </c>
      <c r="H3643" t="s">
        <v>75</v>
      </c>
      <c r="I3643" t="s">
        <v>76</v>
      </c>
      <c r="J3643" t="s">
        <v>77</v>
      </c>
      <c r="K3643" t="s">
        <v>78</v>
      </c>
      <c r="L3643" t="s">
        <v>825</v>
      </c>
      <c r="M3643" t="s">
        <v>826</v>
      </c>
      <c r="N3643" t="s">
        <v>1881</v>
      </c>
      <c r="O3643" t="s">
        <v>82</v>
      </c>
      <c r="P3643" t="str">
        <f>"2170715434                    "</f>
        <v xml:space="preserve">2170715434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12.07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 s="4">
        <v>70.95</v>
      </c>
      <c r="BM3643" s="4">
        <v>10.64</v>
      </c>
      <c r="BN3643" s="4">
        <v>81.59</v>
      </c>
      <c r="BO3643" s="4">
        <v>81.59</v>
      </c>
      <c r="BQ3643" t="s">
        <v>337</v>
      </c>
      <c r="BR3643" t="s">
        <v>84</v>
      </c>
      <c r="BS3643" s="3">
        <v>43798</v>
      </c>
      <c r="BT3643" s="5">
        <v>0.42708333333333331</v>
      </c>
      <c r="BU3643" t="s">
        <v>3329</v>
      </c>
      <c r="BV3643" t="s">
        <v>86</v>
      </c>
      <c r="BY3643">
        <v>1200</v>
      </c>
      <c r="CC3643" t="s">
        <v>826</v>
      </c>
      <c r="CD3643">
        <v>1759</v>
      </c>
      <c r="CE3643" t="s">
        <v>147</v>
      </c>
      <c r="CI3643">
        <v>1</v>
      </c>
      <c r="CJ3643">
        <v>1</v>
      </c>
      <c r="CK3643">
        <v>24</v>
      </c>
      <c r="CL3643" t="s">
        <v>89</v>
      </c>
    </row>
    <row r="3644" spans="1:90">
      <c r="A3644" t="s">
        <v>72</v>
      </c>
      <c r="B3644" t="s">
        <v>73</v>
      </c>
      <c r="C3644" t="s">
        <v>74</v>
      </c>
      <c r="E3644" t="str">
        <f>"FES1162725785"</f>
        <v>FES1162725785</v>
      </c>
      <c r="F3644" s="3">
        <v>43797</v>
      </c>
      <c r="G3644">
        <v>202005</v>
      </c>
      <c r="H3644" t="s">
        <v>75</v>
      </c>
      <c r="I3644" t="s">
        <v>76</v>
      </c>
      <c r="J3644" t="s">
        <v>77</v>
      </c>
      <c r="K3644" t="s">
        <v>78</v>
      </c>
      <c r="L3644" t="s">
        <v>106</v>
      </c>
      <c r="M3644" t="s">
        <v>107</v>
      </c>
      <c r="N3644" t="s">
        <v>771</v>
      </c>
      <c r="O3644" t="s">
        <v>82</v>
      </c>
      <c r="P3644" t="str">
        <f>"2170719349                    "</f>
        <v xml:space="preserve">2170719349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8.58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 s="4">
        <v>50.45</v>
      </c>
      <c r="BM3644" s="4">
        <v>7.57</v>
      </c>
      <c r="BN3644" s="4">
        <v>58.02</v>
      </c>
      <c r="BO3644" s="4">
        <v>58.02</v>
      </c>
      <c r="BQ3644" t="s">
        <v>109</v>
      </c>
      <c r="BR3644" t="s">
        <v>84</v>
      </c>
      <c r="BS3644" s="3">
        <v>43798</v>
      </c>
      <c r="BT3644" s="5">
        <v>0.39652777777777781</v>
      </c>
      <c r="BU3644" t="s">
        <v>3330</v>
      </c>
      <c r="BV3644" t="s">
        <v>86</v>
      </c>
      <c r="BY3644">
        <v>1200</v>
      </c>
      <c r="CA3644" t="s">
        <v>773</v>
      </c>
      <c r="CC3644" t="s">
        <v>107</v>
      </c>
      <c r="CD3644">
        <v>6012</v>
      </c>
      <c r="CE3644" t="s">
        <v>147</v>
      </c>
      <c r="CI3644">
        <v>1</v>
      </c>
      <c r="CJ3644">
        <v>1</v>
      </c>
      <c r="CK3644">
        <v>21</v>
      </c>
      <c r="CL3644" t="s">
        <v>89</v>
      </c>
    </row>
    <row r="3645" spans="1:90">
      <c r="A3645" t="s">
        <v>72</v>
      </c>
      <c r="B3645" t="s">
        <v>73</v>
      </c>
      <c r="C3645" t="s">
        <v>74</v>
      </c>
      <c r="E3645" t="str">
        <f>"FES1162725862"</f>
        <v>FES1162725862</v>
      </c>
      <c r="F3645" s="3">
        <v>43797</v>
      </c>
      <c r="G3645">
        <v>202005</v>
      </c>
      <c r="H3645" t="s">
        <v>75</v>
      </c>
      <c r="I3645" t="s">
        <v>76</v>
      </c>
      <c r="J3645" t="s">
        <v>77</v>
      </c>
      <c r="K3645" t="s">
        <v>78</v>
      </c>
      <c r="L3645" t="s">
        <v>184</v>
      </c>
      <c r="M3645" t="s">
        <v>185</v>
      </c>
      <c r="N3645" t="s">
        <v>1314</v>
      </c>
      <c r="O3645" t="s">
        <v>82</v>
      </c>
      <c r="P3645" t="str">
        <f>"2170716919                    "</f>
        <v xml:space="preserve">2170716919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6.71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 s="4">
        <v>39.42</v>
      </c>
      <c r="BM3645" s="4">
        <v>5.91</v>
      </c>
      <c r="BN3645" s="4">
        <v>45.33</v>
      </c>
      <c r="BO3645" s="4">
        <v>45.33</v>
      </c>
      <c r="BQ3645" t="s">
        <v>109</v>
      </c>
      <c r="BR3645" t="s">
        <v>84</v>
      </c>
      <c r="BS3645" s="3">
        <v>43798</v>
      </c>
      <c r="BT3645" s="5">
        <v>0.33333333333333331</v>
      </c>
      <c r="BU3645" t="s">
        <v>3331</v>
      </c>
      <c r="BV3645" t="s">
        <v>86</v>
      </c>
      <c r="BY3645">
        <v>1200</v>
      </c>
      <c r="CA3645" t="s">
        <v>1316</v>
      </c>
      <c r="CC3645" t="s">
        <v>185</v>
      </c>
      <c r="CD3645">
        <v>1501</v>
      </c>
      <c r="CE3645" t="s">
        <v>147</v>
      </c>
      <c r="CI3645">
        <v>1</v>
      </c>
      <c r="CJ3645">
        <v>1</v>
      </c>
      <c r="CK3645">
        <v>22</v>
      </c>
      <c r="CL3645" t="s">
        <v>89</v>
      </c>
    </row>
    <row r="3646" spans="1:90">
      <c r="A3646" t="s">
        <v>72</v>
      </c>
      <c r="B3646" t="s">
        <v>73</v>
      </c>
      <c r="C3646" t="s">
        <v>74</v>
      </c>
      <c r="E3646" t="str">
        <f>"FES1162725558"</f>
        <v>FES1162725558</v>
      </c>
      <c r="F3646" s="3">
        <v>43797</v>
      </c>
      <c r="G3646">
        <v>202005</v>
      </c>
      <c r="H3646" t="s">
        <v>75</v>
      </c>
      <c r="I3646" t="s">
        <v>76</v>
      </c>
      <c r="J3646" t="s">
        <v>77</v>
      </c>
      <c r="K3646" t="s">
        <v>78</v>
      </c>
      <c r="L3646" t="s">
        <v>344</v>
      </c>
      <c r="M3646" t="s">
        <v>345</v>
      </c>
      <c r="N3646" t="s">
        <v>2379</v>
      </c>
      <c r="O3646" t="s">
        <v>82</v>
      </c>
      <c r="P3646" t="str">
        <f>"217071507                     "</f>
        <v xml:space="preserve">217071507 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32.42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2</v>
      </c>
      <c r="BI3646">
        <v>17.600000000000001</v>
      </c>
      <c r="BJ3646">
        <v>2.9</v>
      </c>
      <c r="BK3646">
        <v>18</v>
      </c>
      <c r="BL3646" s="4">
        <v>190.57</v>
      </c>
      <c r="BM3646" s="4">
        <v>28.59</v>
      </c>
      <c r="BN3646" s="4">
        <v>219.16</v>
      </c>
      <c r="BO3646" s="4">
        <v>219.16</v>
      </c>
      <c r="BQ3646" t="s">
        <v>142</v>
      </c>
      <c r="BR3646" t="s">
        <v>84</v>
      </c>
      <c r="BS3646" s="3">
        <v>43798</v>
      </c>
      <c r="BT3646" s="5">
        <v>0.40972222222222227</v>
      </c>
      <c r="BU3646" t="s">
        <v>3046</v>
      </c>
      <c r="BV3646" t="s">
        <v>86</v>
      </c>
      <c r="BY3646">
        <v>14700.53</v>
      </c>
      <c r="CA3646" t="s">
        <v>348</v>
      </c>
      <c r="CC3646" t="s">
        <v>345</v>
      </c>
      <c r="CD3646">
        <v>2162</v>
      </c>
      <c r="CE3646" t="s">
        <v>1892</v>
      </c>
      <c r="CI3646">
        <v>1</v>
      </c>
      <c r="CJ3646">
        <v>1</v>
      </c>
      <c r="CK3646">
        <v>22</v>
      </c>
      <c r="CL3646" t="s">
        <v>89</v>
      </c>
    </row>
    <row r="3647" spans="1:90">
      <c r="A3647" t="s">
        <v>72</v>
      </c>
      <c r="B3647" t="s">
        <v>73</v>
      </c>
      <c r="C3647" t="s">
        <v>74</v>
      </c>
      <c r="E3647" t="str">
        <f>"FES1162725869"</f>
        <v>FES1162725869</v>
      </c>
      <c r="F3647" s="3">
        <v>43797</v>
      </c>
      <c r="G3647">
        <v>202005</v>
      </c>
      <c r="H3647" t="s">
        <v>75</v>
      </c>
      <c r="I3647" t="s">
        <v>76</v>
      </c>
      <c r="J3647" t="s">
        <v>77</v>
      </c>
      <c r="K3647" t="s">
        <v>78</v>
      </c>
      <c r="L3647" t="s">
        <v>1680</v>
      </c>
      <c r="M3647" t="s">
        <v>1681</v>
      </c>
      <c r="N3647" t="s">
        <v>369</v>
      </c>
      <c r="O3647" t="s">
        <v>82</v>
      </c>
      <c r="P3647" t="str">
        <f>"2170716975                    "</f>
        <v xml:space="preserve">2170716975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16.63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0.6</v>
      </c>
      <c r="BJ3647">
        <v>0.9</v>
      </c>
      <c r="BK3647">
        <v>1</v>
      </c>
      <c r="BL3647" s="4">
        <v>97.75</v>
      </c>
      <c r="BM3647" s="4">
        <v>14.66</v>
      </c>
      <c r="BN3647" s="4">
        <v>112.41</v>
      </c>
      <c r="BO3647" s="4">
        <v>112.41</v>
      </c>
      <c r="BQ3647" t="s">
        <v>246</v>
      </c>
      <c r="BR3647" t="s">
        <v>84</v>
      </c>
      <c r="BS3647" s="3">
        <v>43798</v>
      </c>
      <c r="BT3647" s="5">
        <v>0.47152777777777777</v>
      </c>
      <c r="BU3647" t="s">
        <v>1682</v>
      </c>
      <c r="BV3647" t="s">
        <v>86</v>
      </c>
      <c r="BY3647">
        <v>4266.3500000000004</v>
      </c>
      <c r="CA3647" t="s">
        <v>1683</v>
      </c>
      <c r="CC3647" t="s">
        <v>1681</v>
      </c>
      <c r="CD3647">
        <v>4449</v>
      </c>
      <c r="CE3647" t="s">
        <v>88</v>
      </c>
      <c r="CI3647">
        <v>1</v>
      </c>
      <c r="CJ3647">
        <v>1</v>
      </c>
      <c r="CK3647">
        <v>23</v>
      </c>
      <c r="CL3647" t="s">
        <v>89</v>
      </c>
    </row>
    <row r="3648" spans="1:90">
      <c r="A3648" t="s">
        <v>72</v>
      </c>
      <c r="B3648" t="s">
        <v>73</v>
      </c>
      <c r="C3648" t="s">
        <v>74</v>
      </c>
      <c r="E3648" t="str">
        <f>"009935712093"</f>
        <v>009935712093</v>
      </c>
      <c r="F3648" s="3">
        <v>43797</v>
      </c>
      <c r="G3648">
        <v>202005</v>
      </c>
      <c r="H3648" t="s">
        <v>75</v>
      </c>
      <c r="I3648" t="s">
        <v>76</v>
      </c>
      <c r="J3648" t="s">
        <v>77</v>
      </c>
      <c r="K3648" t="s">
        <v>78</v>
      </c>
      <c r="L3648" t="s">
        <v>90</v>
      </c>
      <c r="M3648" t="s">
        <v>91</v>
      </c>
      <c r="N3648" t="s">
        <v>393</v>
      </c>
      <c r="O3648" t="s">
        <v>82</v>
      </c>
      <c r="P3648" t="str">
        <f>"KOENA                         "</f>
        <v xml:space="preserve">KOENA     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8.58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 s="4">
        <v>50.45</v>
      </c>
      <c r="BM3648" s="4">
        <v>7.57</v>
      </c>
      <c r="BN3648" s="4">
        <v>58.02</v>
      </c>
      <c r="BO3648" s="4">
        <v>58.02</v>
      </c>
      <c r="BQ3648" t="s">
        <v>3332</v>
      </c>
      <c r="BR3648" t="s">
        <v>84</v>
      </c>
      <c r="BS3648" s="3">
        <v>43798</v>
      </c>
      <c r="BT3648" s="5">
        <v>0.31736111111111115</v>
      </c>
      <c r="BU3648" t="s">
        <v>1631</v>
      </c>
      <c r="BV3648" t="s">
        <v>86</v>
      </c>
      <c r="BY3648">
        <v>1200</v>
      </c>
      <c r="CA3648" t="s">
        <v>221</v>
      </c>
      <c r="CC3648" t="s">
        <v>91</v>
      </c>
      <c r="CD3648">
        <v>7405</v>
      </c>
      <c r="CE3648" t="s">
        <v>147</v>
      </c>
      <c r="CI3648">
        <v>1</v>
      </c>
      <c r="CJ3648">
        <v>1</v>
      </c>
      <c r="CK3648">
        <v>21</v>
      </c>
      <c r="CL3648" t="s">
        <v>89</v>
      </c>
    </row>
    <row r="3649" spans="1:90">
      <c r="A3649" t="s">
        <v>72</v>
      </c>
      <c r="B3649" t="s">
        <v>73</v>
      </c>
      <c r="C3649" t="s">
        <v>74</v>
      </c>
      <c r="E3649" t="str">
        <f>"FES1162725927"</f>
        <v>FES1162725927</v>
      </c>
      <c r="F3649" s="3">
        <v>43797</v>
      </c>
      <c r="G3649">
        <v>202005</v>
      </c>
      <c r="H3649" t="s">
        <v>75</v>
      </c>
      <c r="I3649" t="s">
        <v>76</v>
      </c>
      <c r="J3649" t="s">
        <v>77</v>
      </c>
      <c r="K3649" t="s">
        <v>78</v>
      </c>
      <c r="L3649" t="s">
        <v>133</v>
      </c>
      <c r="M3649" t="s">
        <v>134</v>
      </c>
      <c r="N3649" t="s">
        <v>135</v>
      </c>
      <c r="O3649" t="s">
        <v>82</v>
      </c>
      <c r="P3649" t="str">
        <f>"2170719468                    "</f>
        <v xml:space="preserve">2170719468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8.58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 s="4">
        <v>50.45</v>
      </c>
      <c r="BM3649" s="4">
        <v>7.57</v>
      </c>
      <c r="BN3649" s="4">
        <v>58.02</v>
      </c>
      <c r="BO3649" s="4">
        <v>58.02</v>
      </c>
      <c r="BQ3649" t="s">
        <v>109</v>
      </c>
      <c r="BR3649" t="s">
        <v>84</v>
      </c>
      <c r="BS3649" s="3">
        <v>43798</v>
      </c>
      <c r="BT3649" s="5">
        <v>0.43402777777777773</v>
      </c>
      <c r="BU3649" t="s">
        <v>2990</v>
      </c>
      <c r="BV3649" t="s">
        <v>86</v>
      </c>
      <c r="BY3649">
        <v>1200</v>
      </c>
      <c r="CA3649" t="s">
        <v>137</v>
      </c>
      <c r="CC3649" t="s">
        <v>134</v>
      </c>
      <c r="CD3649">
        <v>5201</v>
      </c>
      <c r="CE3649" t="s">
        <v>147</v>
      </c>
      <c r="CI3649">
        <v>1</v>
      </c>
      <c r="CJ3649">
        <v>1</v>
      </c>
      <c r="CK3649">
        <v>21</v>
      </c>
      <c r="CL3649" t="s">
        <v>89</v>
      </c>
    </row>
    <row r="3650" spans="1:90">
      <c r="A3650" t="s">
        <v>72</v>
      </c>
      <c r="B3650" t="s">
        <v>73</v>
      </c>
      <c r="C3650" t="s">
        <v>74</v>
      </c>
      <c r="E3650" t="str">
        <f>"FES1162725674"</f>
        <v>FES1162725674</v>
      </c>
      <c r="F3650" s="3">
        <v>43797</v>
      </c>
      <c r="G3650">
        <v>202005</v>
      </c>
      <c r="H3650" t="s">
        <v>75</v>
      </c>
      <c r="I3650" t="s">
        <v>76</v>
      </c>
      <c r="J3650" t="s">
        <v>77</v>
      </c>
      <c r="K3650" t="s">
        <v>78</v>
      </c>
      <c r="L3650" t="s">
        <v>214</v>
      </c>
      <c r="M3650" t="s">
        <v>214</v>
      </c>
      <c r="N3650" t="s">
        <v>2971</v>
      </c>
      <c r="O3650" t="s">
        <v>82</v>
      </c>
      <c r="P3650" t="str">
        <f>"2170719318                    "</f>
        <v xml:space="preserve">2170719318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16.63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 s="4">
        <v>97.75</v>
      </c>
      <c r="BM3650" s="4">
        <v>14.66</v>
      </c>
      <c r="BN3650" s="4">
        <v>112.41</v>
      </c>
      <c r="BO3650" s="4">
        <v>112.41</v>
      </c>
      <c r="BQ3650" t="s">
        <v>121</v>
      </c>
      <c r="BR3650" t="s">
        <v>84</v>
      </c>
      <c r="BS3650" s="3">
        <v>43798</v>
      </c>
      <c r="BT3650" s="5">
        <v>0.49791666666666662</v>
      </c>
      <c r="BU3650" t="s">
        <v>3333</v>
      </c>
      <c r="BV3650" t="s">
        <v>86</v>
      </c>
      <c r="BY3650">
        <v>1200</v>
      </c>
      <c r="CA3650" t="s">
        <v>1643</v>
      </c>
      <c r="CC3650" t="s">
        <v>214</v>
      </c>
      <c r="CD3650">
        <v>7646</v>
      </c>
      <c r="CE3650" t="s">
        <v>147</v>
      </c>
      <c r="CI3650">
        <v>1</v>
      </c>
      <c r="CJ3650">
        <v>1</v>
      </c>
      <c r="CK3650">
        <v>23</v>
      </c>
      <c r="CL3650" t="s">
        <v>89</v>
      </c>
    </row>
    <row r="3651" spans="1:90">
      <c r="A3651" t="s">
        <v>72</v>
      </c>
      <c r="B3651" t="s">
        <v>73</v>
      </c>
      <c r="C3651" t="s">
        <v>74</v>
      </c>
      <c r="E3651" t="str">
        <f>"FES1162725898"</f>
        <v>FES1162725898</v>
      </c>
      <c r="F3651" s="3">
        <v>43797</v>
      </c>
      <c r="G3651">
        <v>202005</v>
      </c>
      <c r="H3651" t="s">
        <v>75</v>
      </c>
      <c r="I3651" t="s">
        <v>76</v>
      </c>
      <c r="J3651" t="s">
        <v>77</v>
      </c>
      <c r="K3651" t="s">
        <v>78</v>
      </c>
      <c r="L3651" t="s">
        <v>653</v>
      </c>
      <c r="M3651" t="s">
        <v>654</v>
      </c>
      <c r="N3651" t="s">
        <v>655</v>
      </c>
      <c r="O3651" t="s">
        <v>82</v>
      </c>
      <c r="P3651" t="str">
        <f>"21707194444                   "</f>
        <v xml:space="preserve">21707194444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15.02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3.1</v>
      </c>
      <c r="BJ3651">
        <v>1.6</v>
      </c>
      <c r="BK3651">
        <v>3.5</v>
      </c>
      <c r="BL3651" s="4">
        <v>88.27</v>
      </c>
      <c r="BM3651" s="4">
        <v>13.24</v>
      </c>
      <c r="BN3651" s="4">
        <v>101.51</v>
      </c>
      <c r="BO3651" s="4">
        <v>101.51</v>
      </c>
      <c r="BQ3651" t="s">
        <v>109</v>
      </c>
      <c r="BR3651" t="s">
        <v>84</v>
      </c>
      <c r="BS3651" s="3">
        <v>43798</v>
      </c>
      <c r="BT3651" s="5">
        <v>0.4284722222222222</v>
      </c>
      <c r="BU3651" t="s">
        <v>3324</v>
      </c>
      <c r="BV3651" t="s">
        <v>86</v>
      </c>
      <c r="BY3651">
        <v>8098.05</v>
      </c>
      <c r="CA3651" t="s">
        <v>448</v>
      </c>
      <c r="CC3651" t="s">
        <v>654</v>
      </c>
      <c r="CD3651">
        <v>4300</v>
      </c>
      <c r="CE3651" t="s">
        <v>88</v>
      </c>
      <c r="CI3651">
        <v>1</v>
      </c>
      <c r="CJ3651">
        <v>1</v>
      </c>
      <c r="CK3651">
        <v>21</v>
      </c>
      <c r="CL3651" t="s">
        <v>89</v>
      </c>
    </row>
    <row r="3652" spans="1:90">
      <c r="A3652" t="s">
        <v>72</v>
      </c>
      <c r="B3652" t="s">
        <v>73</v>
      </c>
      <c r="C3652" t="s">
        <v>74</v>
      </c>
      <c r="E3652" t="str">
        <f>"FES1162725788"</f>
        <v>FES1162725788</v>
      </c>
      <c r="F3652" s="3">
        <v>43797</v>
      </c>
      <c r="G3652">
        <v>202005</v>
      </c>
      <c r="H3652" t="s">
        <v>75</v>
      </c>
      <c r="I3652" t="s">
        <v>76</v>
      </c>
      <c r="J3652" t="s">
        <v>77</v>
      </c>
      <c r="K3652" t="s">
        <v>78</v>
      </c>
      <c r="L3652" t="s">
        <v>90</v>
      </c>
      <c r="M3652" t="s">
        <v>91</v>
      </c>
      <c r="N3652" t="s">
        <v>527</v>
      </c>
      <c r="O3652" t="s">
        <v>82</v>
      </c>
      <c r="P3652" t="str">
        <f>"2170719355                    "</f>
        <v xml:space="preserve">2170719355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8.58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 s="4">
        <v>50.45</v>
      </c>
      <c r="BM3652" s="4">
        <v>7.57</v>
      </c>
      <c r="BN3652" s="4">
        <v>58.02</v>
      </c>
      <c r="BO3652" s="4">
        <v>58.02</v>
      </c>
      <c r="BQ3652" t="s">
        <v>109</v>
      </c>
      <c r="BR3652" t="s">
        <v>84</v>
      </c>
      <c r="BS3652" s="3">
        <v>43798</v>
      </c>
      <c r="BT3652" s="5">
        <v>0.33333333333333331</v>
      </c>
      <c r="BU3652" t="s">
        <v>3334</v>
      </c>
      <c r="BV3652" t="s">
        <v>86</v>
      </c>
      <c r="BY3652">
        <v>1200</v>
      </c>
      <c r="CA3652" t="s">
        <v>221</v>
      </c>
      <c r="CC3652" t="s">
        <v>91</v>
      </c>
      <c r="CD3652">
        <v>7405</v>
      </c>
      <c r="CE3652" t="s">
        <v>147</v>
      </c>
      <c r="CI3652">
        <v>1</v>
      </c>
      <c r="CJ3652">
        <v>1</v>
      </c>
      <c r="CK3652">
        <v>21</v>
      </c>
      <c r="CL3652" t="s">
        <v>89</v>
      </c>
    </row>
    <row r="3653" spans="1:90">
      <c r="A3653" t="s">
        <v>72</v>
      </c>
      <c r="B3653" t="s">
        <v>73</v>
      </c>
      <c r="C3653" t="s">
        <v>74</v>
      </c>
      <c r="E3653" t="str">
        <f>"FES1162725708"</f>
        <v>FES1162725708</v>
      </c>
      <c r="F3653" s="3">
        <v>43797</v>
      </c>
      <c r="G3653">
        <v>202005</v>
      </c>
      <c r="H3653" t="s">
        <v>75</v>
      </c>
      <c r="I3653" t="s">
        <v>76</v>
      </c>
      <c r="J3653" t="s">
        <v>77</v>
      </c>
      <c r="K3653" t="s">
        <v>78</v>
      </c>
      <c r="L3653" t="s">
        <v>106</v>
      </c>
      <c r="M3653" t="s">
        <v>107</v>
      </c>
      <c r="N3653" t="s">
        <v>1311</v>
      </c>
      <c r="O3653" t="s">
        <v>82</v>
      </c>
      <c r="P3653" t="str">
        <f>"2170713396                    "</f>
        <v xml:space="preserve">2170713396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12.87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3</v>
      </c>
      <c r="BJ3653">
        <v>1.4</v>
      </c>
      <c r="BK3653">
        <v>3</v>
      </c>
      <c r="BL3653" s="4">
        <v>75.66</v>
      </c>
      <c r="BM3653" s="4">
        <v>11.35</v>
      </c>
      <c r="BN3653" s="4">
        <v>87.01</v>
      </c>
      <c r="BO3653" s="4">
        <v>87.01</v>
      </c>
      <c r="BQ3653" t="s">
        <v>109</v>
      </c>
      <c r="BR3653" t="s">
        <v>84</v>
      </c>
      <c r="BS3653" s="3">
        <v>43798</v>
      </c>
      <c r="BT3653" s="5">
        <v>0.37222222222222223</v>
      </c>
      <c r="BU3653" t="s">
        <v>3009</v>
      </c>
      <c r="BV3653" t="s">
        <v>86</v>
      </c>
      <c r="BY3653">
        <v>6975</v>
      </c>
      <c r="CA3653" t="s">
        <v>773</v>
      </c>
      <c r="CC3653" t="s">
        <v>107</v>
      </c>
      <c r="CD3653">
        <v>6001</v>
      </c>
      <c r="CE3653" t="s">
        <v>1598</v>
      </c>
      <c r="CI3653">
        <v>1</v>
      </c>
      <c r="CJ3653">
        <v>1</v>
      </c>
      <c r="CK3653">
        <v>21</v>
      </c>
      <c r="CL3653" t="s">
        <v>89</v>
      </c>
    </row>
    <row r="3654" spans="1:90">
      <c r="A3654" t="s">
        <v>72</v>
      </c>
      <c r="B3654" t="s">
        <v>73</v>
      </c>
      <c r="C3654" t="s">
        <v>74</v>
      </c>
      <c r="E3654" t="str">
        <f>"FES1162725496"</f>
        <v>FES1162725496</v>
      </c>
      <c r="F3654" s="3">
        <v>43797</v>
      </c>
      <c r="G3654">
        <v>202005</v>
      </c>
      <c r="H3654" t="s">
        <v>75</v>
      </c>
      <c r="I3654" t="s">
        <v>76</v>
      </c>
      <c r="J3654" t="s">
        <v>77</v>
      </c>
      <c r="K3654" t="s">
        <v>78</v>
      </c>
      <c r="L3654" t="s">
        <v>79</v>
      </c>
      <c r="M3654" t="s">
        <v>80</v>
      </c>
      <c r="N3654" t="s">
        <v>458</v>
      </c>
      <c r="O3654" t="s">
        <v>82</v>
      </c>
      <c r="P3654" t="str">
        <f>"2170717136                    "</f>
        <v xml:space="preserve">2170717136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19.3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3.7</v>
      </c>
      <c r="BJ3654">
        <v>4.2</v>
      </c>
      <c r="BK3654">
        <v>4.5</v>
      </c>
      <c r="BL3654" s="4">
        <v>113.47</v>
      </c>
      <c r="BM3654" s="4">
        <v>17.02</v>
      </c>
      <c r="BN3654" s="4">
        <v>130.49</v>
      </c>
      <c r="BO3654" s="4">
        <v>130.49</v>
      </c>
      <c r="BQ3654" t="s">
        <v>109</v>
      </c>
      <c r="BR3654" t="s">
        <v>84</v>
      </c>
      <c r="BS3654" s="3">
        <v>43798</v>
      </c>
      <c r="BT3654" s="5">
        <v>0.31597222222222221</v>
      </c>
      <c r="BU3654" t="s">
        <v>3335</v>
      </c>
      <c r="BV3654" t="s">
        <v>86</v>
      </c>
      <c r="BY3654">
        <v>20781.77</v>
      </c>
      <c r="CA3654" t="s">
        <v>87</v>
      </c>
      <c r="CC3654" t="s">
        <v>80</v>
      </c>
      <c r="CD3654">
        <v>6230</v>
      </c>
      <c r="CE3654" t="s">
        <v>88</v>
      </c>
      <c r="CI3654">
        <v>1</v>
      </c>
      <c r="CJ3654">
        <v>1</v>
      </c>
      <c r="CK3654">
        <v>21</v>
      </c>
      <c r="CL3654" t="s">
        <v>89</v>
      </c>
    </row>
    <row r="3655" spans="1:90">
      <c r="A3655" t="s">
        <v>72</v>
      </c>
      <c r="B3655" t="s">
        <v>73</v>
      </c>
      <c r="C3655" t="s">
        <v>74</v>
      </c>
      <c r="E3655" t="str">
        <f>"FES1162725874"</f>
        <v>FES1162725874</v>
      </c>
      <c r="F3655" s="3">
        <v>43797</v>
      </c>
      <c r="G3655">
        <v>202005</v>
      </c>
      <c r="H3655" t="s">
        <v>75</v>
      </c>
      <c r="I3655" t="s">
        <v>76</v>
      </c>
      <c r="J3655" t="s">
        <v>77</v>
      </c>
      <c r="K3655" t="s">
        <v>78</v>
      </c>
      <c r="L3655" t="s">
        <v>106</v>
      </c>
      <c r="M3655" t="s">
        <v>107</v>
      </c>
      <c r="N3655" t="s">
        <v>242</v>
      </c>
      <c r="O3655" t="s">
        <v>82</v>
      </c>
      <c r="P3655" t="str">
        <f>"2170710197                    "</f>
        <v xml:space="preserve">2170710197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19.3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4.2</v>
      </c>
      <c r="BJ3655">
        <v>1.4</v>
      </c>
      <c r="BK3655">
        <v>4.5</v>
      </c>
      <c r="BL3655" s="4">
        <v>113.47</v>
      </c>
      <c r="BM3655" s="4">
        <v>17.02</v>
      </c>
      <c r="BN3655" s="4">
        <v>130.49</v>
      </c>
      <c r="BO3655" s="4">
        <v>130.49</v>
      </c>
      <c r="BQ3655" t="s">
        <v>109</v>
      </c>
      <c r="BR3655" t="s">
        <v>84</v>
      </c>
      <c r="BS3655" s="3">
        <v>43798</v>
      </c>
      <c r="BT3655" s="5">
        <v>0.3659722222222222</v>
      </c>
      <c r="BU3655" t="s">
        <v>499</v>
      </c>
      <c r="BV3655" t="s">
        <v>86</v>
      </c>
      <c r="BY3655">
        <v>7227.79</v>
      </c>
      <c r="CA3655" t="s">
        <v>244</v>
      </c>
      <c r="CC3655" t="s">
        <v>107</v>
      </c>
      <c r="CD3655">
        <v>6001</v>
      </c>
      <c r="CE3655" t="s">
        <v>88</v>
      </c>
      <c r="CI3655">
        <v>1</v>
      </c>
      <c r="CJ3655">
        <v>1</v>
      </c>
      <c r="CK3655">
        <v>21</v>
      </c>
      <c r="CL3655" t="s">
        <v>89</v>
      </c>
    </row>
    <row r="3656" spans="1:90">
      <c r="A3656" t="s">
        <v>72</v>
      </c>
      <c r="B3656" t="s">
        <v>73</v>
      </c>
      <c r="C3656" t="s">
        <v>74</v>
      </c>
      <c r="E3656" t="str">
        <f>"FES1162725625"</f>
        <v>FES1162725625</v>
      </c>
      <c r="F3656" s="3">
        <v>43797</v>
      </c>
      <c r="G3656">
        <v>202005</v>
      </c>
      <c r="H3656" t="s">
        <v>75</v>
      </c>
      <c r="I3656" t="s">
        <v>76</v>
      </c>
      <c r="J3656" t="s">
        <v>77</v>
      </c>
      <c r="K3656" t="s">
        <v>78</v>
      </c>
      <c r="L3656" t="s">
        <v>90</v>
      </c>
      <c r="M3656" t="s">
        <v>91</v>
      </c>
      <c r="N3656" t="s">
        <v>2125</v>
      </c>
      <c r="O3656" t="s">
        <v>82</v>
      </c>
      <c r="P3656" t="str">
        <f>"2170718626                    "</f>
        <v xml:space="preserve">2170718626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8.58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 s="4">
        <v>50.45</v>
      </c>
      <c r="BM3656" s="4">
        <v>7.57</v>
      </c>
      <c r="BN3656" s="4">
        <v>58.02</v>
      </c>
      <c r="BO3656" s="4">
        <v>58.02</v>
      </c>
      <c r="BQ3656" t="s">
        <v>121</v>
      </c>
      <c r="BR3656" t="s">
        <v>84</v>
      </c>
      <c r="BS3656" s="3">
        <v>43798</v>
      </c>
      <c r="BT3656" s="5">
        <v>0.34930555555555554</v>
      </c>
      <c r="BU3656" t="s">
        <v>2126</v>
      </c>
      <c r="BV3656" t="s">
        <v>86</v>
      </c>
      <c r="BY3656">
        <v>1200</v>
      </c>
      <c r="CA3656" t="s">
        <v>515</v>
      </c>
      <c r="CC3656" t="s">
        <v>91</v>
      </c>
      <c r="CD3656">
        <v>7500</v>
      </c>
      <c r="CE3656" t="s">
        <v>147</v>
      </c>
      <c r="CI3656">
        <v>1</v>
      </c>
      <c r="CJ3656">
        <v>1</v>
      </c>
      <c r="CK3656">
        <v>21</v>
      </c>
      <c r="CL3656" t="s">
        <v>89</v>
      </c>
    </row>
    <row r="3657" spans="1:90">
      <c r="A3657" t="s">
        <v>72</v>
      </c>
      <c r="B3657" t="s">
        <v>73</v>
      </c>
      <c r="C3657" t="s">
        <v>74</v>
      </c>
      <c r="E3657" t="str">
        <f>"FES1162725848"</f>
        <v>FES1162725848</v>
      </c>
      <c r="F3657" s="3">
        <v>43797</v>
      </c>
      <c r="G3657">
        <v>202005</v>
      </c>
      <c r="H3657" t="s">
        <v>75</v>
      </c>
      <c r="I3657" t="s">
        <v>76</v>
      </c>
      <c r="J3657" t="s">
        <v>77</v>
      </c>
      <c r="K3657" t="s">
        <v>78</v>
      </c>
      <c r="L3657" t="s">
        <v>90</v>
      </c>
      <c r="M3657" t="s">
        <v>91</v>
      </c>
      <c r="N3657" t="s">
        <v>3336</v>
      </c>
      <c r="O3657" t="s">
        <v>82</v>
      </c>
      <c r="P3657" t="str">
        <f>"2170719434                    "</f>
        <v xml:space="preserve">2170719434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10.73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1.7</v>
      </c>
      <c r="BJ3657">
        <v>2.2999999999999998</v>
      </c>
      <c r="BK3657">
        <v>2.5</v>
      </c>
      <c r="BL3657" s="4">
        <v>63.06</v>
      </c>
      <c r="BM3657" s="4">
        <v>9.4600000000000009</v>
      </c>
      <c r="BN3657" s="4">
        <v>72.52</v>
      </c>
      <c r="BO3657" s="4">
        <v>72.52</v>
      </c>
      <c r="BQ3657" t="s">
        <v>121</v>
      </c>
      <c r="BR3657" t="s">
        <v>84</v>
      </c>
      <c r="BS3657" s="3">
        <v>43798</v>
      </c>
      <c r="BT3657" s="5">
        <v>0.54027777777777775</v>
      </c>
      <c r="BU3657" t="s">
        <v>3337</v>
      </c>
      <c r="BV3657" t="s">
        <v>89</v>
      </c>
      <c r="BW3657" t="s">
        <v>364</v>
      </c>
      <c r="BX3657" t="s">
        <v>591</v>
      </c>
      <c r="BY3657">
        <v>11437.43</v>
      </c>
      <c r="CA3657" t="s">
        <v>3338</v>
      </c>
      <c r="CC3657" t="s">
        <v>91</v>
      </c>
      <c r="CD3657">
        <v>7530</v>
      </c>
      <c r="CE3657" t="s">
        <v>1598</v>
      </c>
      <c r="CI3657">
        <v>1</v>
      </c>
      <c r="CJ3657">
        <v>1</v>
      </c>
      <c r="CK3657">
        <v>21</v>
      </c>
      <c r="CL3657" t="s">
        <v>89</v>
      </c>
    </row>
    <row r="3658" spans="1:90">
      <c r="A3658" t="s">
        <v>72</v>
      </c>
      <c r="B3658" t="s">
        <v>73</v>
      </c>
      <c r="C3658" t="s">
        <v>74</v>
      </c>
      <c r="E3658" t="str">
        <f>"FES1162725670"</f>
        <v>FES1162725670</v>
      </c>
      <c r="F3658" s="3">
        <v>43797</v>
      </c>
      <c r="G3658">
        <v>202005</v>
      </c>
      <c r="H3658" t="s">
        <v>75</v>
      </c>
      <c r="I3658" t="s">
        <v>76</v>
      </c>
      <c r="J3658" t="s">
        <v>77</v>
      </c>
      <c r="K3658" t="s">
        <v>78</v>
      </c>
      <c r="L3658" t="s">
        <v>546</v>
      </c>
      <c r="M3658" t="s">
        <v>547</v>
      </c>
      <c r="N3658" t="s">
        <v>830</v>
      </c>
      <c r="O3658" t="s">
        <v>82</v>
      </c>
      <c r="P3658" t="str">
        <f>"2170719316                    "</f>
        <v xml:space="preserve">2170719316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6.71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1.4</v>
      </c>
      <c r="BJ3658">
        <v>0.9</v>
      </c>
      <c r="BK3658">
        <v>1.5</v>
      </c>
      <c r="BL3658" s="4">
        <v>39.42</v>
      </c>
      <c r="BM3658" s="4">
        <v>5.91</v>
      </c>
      <c r="BN3658" s="4">
        <v>45.33</v>
      </c>
      <c r="BO3658" s="4">
        <v>45.33</v>
      </c>
      <c r="BQ3658" t="s">
        <v>2613</v>
      </c>
      <c r="BR3658" t="s">
        <v>84</v>
      </c>
      <c r="BS3658" s="3">
        <v>43798</v>
      </c>
      <c r="BT3658" s="5">
        <v>0.34027777777777773</v>
      </c>
      <c r="BU3658" t="s">
        <v>3339</v>
      </c>
      <c r="BV3658" t="s">
        <v>86</v>
      </c>
      <c r="BY3658">
        <v>4441.92</v>
      </c>
      <c r="CA3658" t="s">
        <v>123</v>
      </c>
      <c r="CC3658" t="s">
        <v>547</v>
      </c>
      <c r="CD3658">
        <v>1709</v>
      </c>
      <c r="CE3658" t="s">
        <v>88</v>
      </c>
      <c r="CI3658">
        <v>1</v>
      </c>
      <c r="CJ3658">
        <v>1</v>
      </c>
      <c r="CK3658">
        <v>22</v>
      </c>
      <c r="CL3658" t="s">
        <v>89</v>
      </c>
    </row>
    <row r="3659" spans="1:90">
      <c r="A3659" t="s">
        <v>72</v>
      </c>
      <c r="B3659" t="s">
        <v>73</v>
      </c>
      <c r="C3659" t="s">
        <v>74</v>
      </c>
      <c r="E3659" t="str">
        <f>"FES1162725865"</f>
        <v>FES1162725865</v>
      </c>
      <c r="F3659" s="3">
        <v>43797</v>
      </c>
      <c r="G3659">
        <v>202005</v>
      </c>
      <c r="H3659" t="s">
        <v>75</v>
      </c>
      <c r="I3659" t="s">
        <v>76</v>
      </c>
      <c r="J3659" t="s">
        <v>77</v>
      </c>
      <c r="K3659" t="s">
        <v>78</v>
      </c>
      <c r="L3659" t="s">
        <v>124</v>
      </c>
      <c r="M3659" t="s">
        <v>125</v>
      </c>
      <c r="N3659" t="s">
        <v>218</v>
      </c>
      <c r="O3659" t="s">
        <v>82</v>
      </c>
      <c r="P3659" t="str">
        <f>"2170716958                    "</f>
        <v xml:space="preserve">2170716958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6.71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 s="4">
        <v>39.42</v>
      </c>
      <c r="BM3659" s="4">
        <v>5.91</v>
      </c>
      <c r="BN3659" s="4">
        <v>45.33</v>
      </c>
      <c r="BO3659" s="4">
        <v>45.33</v>
      </c>
      <c r="BQ3659" t="s">
        <v>121</v>
      </c>
      <c r="BR3659" t="s">
        <v>84</v>
      </c>
      <c r="BS3659" s="3">
        <v>43798</v>
      </c>
      <c r="BT3659" s="5">
        <v>0.42777777777777781</v>
      </c>
      <c r="BU3659" t="s">
        <v>2809</v>
      </c>
      <c r="BV3659" t="s">
        <v>86</v>
      </c>
      <c r="BY3659">
        <v>1200</v>
      </c>
      <c r="CA3659" t="s">
        <v>837</v>
      </c>
      <c r="CC3659" t="s">
        <v>125</v>
      </c>
      <c r="CD3659">
        <v>2094</v>
      </c>
      <c r="CE3659" t="s">
        <v>147</v>
      </c>
      <c r="CI3659">
        <v>1</v>
      </c>
      <c r="CJ3659">
        <v>1</v>
      </c>
      <c r="CK3659">
        <v>22</v>
      </c>
      <c r="CL3659" t="s">
        <v>89</v>
      </c>
    </row>
    <row r="3660" spans="1:90">
      <c r="A3660" t="s">
        <v>72</v>
      </c>
      <c r="B3660" t="s">
        <v>73</v>
      </c>
      <c r="C3660" t="s">
        <v>74</v>
      </c>
      <c r="E3660" t="str">
        <f>"FES1162725952"</f>
        <v>FES1162725952</v>
      </c>
      <c r="F3660" s="3">
        <v>43797</v>
      </c>
      <c r="G3660">
        <v>202005</v>
      </c>
      <c r="H3660" t="s">
        <v>75</v>
      </c>
      <c r="I3660" t="s">
        <v>76</v>
      </c>
      <c r="J3660" t="s">
        <v>77</v>
      </c>
      <c r="K3660" t="s">
        <v>78</v>
      </c>
      <c r="L3660" t="s">
        <v>124</v>
      </c>
      <c r="M3660" t="s">
        <v>125</v>
      </c>
      <c r="N3660" t="s">
        <v>1492</v>
      </c>
      <c r="O3660" t="s">
        <v>82</v>
      </c>
      <c r="P3660" t="str">
        <f>"2170716991                    "</f>
        <v xml:space="preserve">2170716991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6.71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 s="4">
        <v>39.42</v>
      </c>
      <c r="BM3660" s="4">
        <v>5.91</v>
      </c>
      <c r="BN3660" s="4">
        <v>45.33</v>
      </c>
      <c r="BO3660" s="4">
        <v>45.33</v>
      </c>
      <c r="BQ3660" t="s">
        <v>109</v>
      </c>
      <c r="BR3660" t="s">
        <v>84</v>
      </c>
      <c r="BS3660" s="3">
        <v>43798</v>
      </c>
      <c r="BT3660" s="5">
        <v>0.375</v>
      </c>
      <c r="BU3660" t="s">
        <v>3340</v>
      </c>
      <c r="BV3660" t="s">
        <v>86</v>
      </c>
      <c r="BY3660">
        <v>1200</v>
      </c>
      <c r="CC3660" t="s">
        <v>125</v>
      </c>
      <c r="CD3660">
        <v>2090</v>
      </c>
      <c r="CE3660" t="s">
        <v>147</v>
      </c>
      <c r="CI3660">
        <v>1</v>
      </c>
      <c r="CJ3660">
        <v>1</v>
      </c>
      <c r="CK3660">
        <v>22</v>
      </c>
      <c r="CL3660" t="s">
        <v>89</v>
      </c>
    </row>
    <row r="3661" spans="1:90">
      <c r="A3661" t="s">
        <v>72</v>
      </c>
      <c r="B3661" t="s">
        <v>73</v>
      </c>
      <c r="C3661" t="s">
        <v>74</v>
      </c>
      <c r="E3661" t="str">
        <f>"FES1162725565"</f>
        <v>FES1162725565</v>
      </c>
      <c r="F3661" s="3">
        <v>43797</v>
      </c>
      <c r="G3661">
        <v>202005</v>
      </c>
      <c r="H3661" t="s">
        <v>75</v>
      </c>
      <c r="I3661" t="s">
        <v>76</v>
      </c>
      <c r="J3661" t="s">
        <v>77</v>
      </c>
      <c r="K3661" t="s">
        <v>78</v>
      </c>
      <c r="L3661" t="s">
        <v>90</v>
      </c>
      <c r="M3661" t="s">
        <v>91</v>
      </c>
      <c r="N3661" t="s">
        <v>527</v>
      </c>
      <c r="O3661" t="s">
        <v>82</v>
      </c>
      <c r="P3661" t="str">
        <f>"2170717573                    "</f>
        <v xml:space="preserve">2170717573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72.91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7.8</v>
      </c>
      <c r="BJ3661">
        <v>16.600000000000001</v>
      </c>
      <c r="BK3661">
        <v>17</v>
      </c>
      <c r="BL3661" s="4">
        <v>428.58</v>
      </c>
      <c r="BM3661" s="4">
        <v>64.290000000000006</v>
      </c>
      <c r="BN3661" s="4">
        <v>492.87</v>
      </c>
      <c r="BO3661" s="4">
        <v>492.87</v>
      </c>
      <c r="BQ3661" t="s">
        <v>109</v>
      </c>
      <c r="BR3661" t="s">
        <v>84</v>
      </c>
      <c r="BS3661" s="3">
        <v>43798</v>
      </c>
      <c r="BT3661" s="5">
        <v>0.33263888888888887</v>
      </c>
      <c r="BU3661" t="s">
        <v>2177</v>
      </c>
      <c r="BV3661" t="s">
        <v>86</v>
      </c>
      <c r="BY3661">
        <v>83122.81</v>
      </c>
      <c r="CA3661" t="s">
        <v>1942</v>
      </c>
      <c r="CC3661" t="s">
        <v>91</v>
      </c>
      <c r="CD3661">
        <v>7405</v>
      </c>
      <c r="CE3661" t="s">
        <v>88</v>
      </c>
      <c r="CI3661">
        <v>1</v>
      </c>
      <c r="CJ3661">
        <v>1</v>
      </c>
      <c r="CK3661">
        <v>21</v>
      </c>
      <c r="CL3661" t="s">
        <v>89</v>
      </c>
    </row>
    <row r="3662" spans="1:90">
      <c r="A3662" t="s">
        <v>72</v>
      </c>
      <c r="B3662" t="s">
        <v>73</v>
      </c>
      <c r="C3662" t="s">
        <v>74</v>
      </c>
      <c r="E3662" t="str">
        <f>"FES1162725639"</f>
        <v>FES1162725639</v>
      </c>
      <c r="F3662" s="3">
        <v>43797</v>
      </c>
      <c r="G3662">
        <v>202005</v>
      </c>
      <c r="H3662" t="s">
        <v>75</v>
      </c>
      <c r="I3662" t="s">
        <v>76</v>
      </c>
      <c r="J3662" t="s">
        <v>77</v>
      </c>
      <c r="K3662" t="s">
        <v>78</v>
      </c>
      <c r="L3662" t="s">
        <v>75</v>
      </c>
      <c r="M3662" t="s">
        <v>76</v>
      </c>
      <c r="N3662" t="s">
        <v>1423</v>
      </c>
      <c r="O3662" t="s">
        <v>82</v>
      </c>
      <c r="P3662" t="str">
        <f>"217071582                     "</f>
        <v xml:space="preserve">217071582 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7.51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1.5</v>
      </c>
      <c r="BJ3662">
        <v>2.5</v>
      </c>
      <c r="BK3662">
        <v>2.5</v>
      </c>
      <c r="BL3662" s="4">
        <v>44.14</v>
      </c>
      <c r="BM3662" s="4">
        <v>6.62</v>
      </c>
      <c r="BN3662" s="4">
        <v>50.76</v>
      </c>
      <c r="BO3662" s="4">
        <v>50.76</v>
      </c>
      <c r="BQ3662" t="s">
        <v>1424</v>
      </c>
      <c r="BR3662" t="s">
        <v>84</v>
      </c>
      <c r="BS3662" s="3">
        <v>43798</v>
      </c>
      <c r="BT3662" s="5">
        <v>0.29930555555555555</v>
      </c>
      <c r="BU3662" t="s">
        <v>3341</v>
      </c>
      <c r="BV3662" t="s">
        <v>86</v>
      </c>
      <c r="BY3662">
        <v>12664.18</v>
      </c>
      <c r="CA3662" t="s">
        <v>2334</v>
      </c>
      <c r="CC3662" t="s">
        <v>76</v>
      </c>
      <c r="CD3662">
        <v>1601</v>
      </c>
      <c r="CE3662" t="s">
        <v>1598</v>
      </c>
      <c r="CI3662">
        <v>1</v>
      </c>
      <c r="CJ3662">
        <v>1</v>
      </c>
      <c r="CK3662">
        <v>22</v>
      </c>
      <c r="CL3662" t="s">
        <v>89</v>
      </c>
    </row>
    <row r="3663" spans="1:90">
      <c r="A3663" t="s">
        <v>72</v>
      </c>
      <c r="B3663" t="s">
        <v>73</v>
      </c>
      <c r="C3663" t="s">
        <v>74</v>
      </c>
      <c r="E3663" t="str">
        <f>"FES1162725645"</f>
        <v>FES1162725645</v>
      </c>
      <c r="F3663" s="3">
        <v>43797</v>
      </c>
      <c r="G3663">
        <v>202005</v>
      </c>
      <c r="H3663" t="s">
        <v>75</v>
      </c>
      <c r="I3663" t="s">
        <v>76</v>
      </c>
      <c r="J3663" t="s">
        <v>77</v>
      </c>
      <c r="K3663" t="s">
        <v>78</v>
      </c>
      <c r="L3663" t="s">
        <v>90</v>
      </c>
      <c r="M3663" t="s">
        <v>91</v>
      </c>
      <c r="N3663" t="s">
        <v>3342</v>
      </c>
      <c r="O3663" t="s">
        <v>82</v>
      </c>
      <c r="P3663" t="str">
        <f>"2170714996                    "</f>
        <v xml:space="preserve">2170714996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8.58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0.2</v>
      </c>
      <c r="BJ3663">
        <v>1.2</v>
      </c>
      <c r="BK3663">
        <v>1.5</v>
      </c>
      <c r="BL3663" s="4">
        <v>50.45</v>
      </c>
      <c r="BM3663" s="4">
        <v>7.57</v>
      </c>
      <c r="BN3663" s="4">
        <v>58.02</v>
      </c>
      <c r="BO3663" s="4">
        <v>58.02</v>
      </c>
      <c r="BQ3663" t="s">
        <v>121</v>
      </c>
      <c r="BR3663" t="s">
        <v>84</v>
      </c>
      <c r="BS3663" s="3">
        <v>43798</v>
      </c>
      <c r="BT3663" s="5">
        <v>0.3756944444444445</v>
      </c>
      <c r="BU3663" t="s">
        <v>3343</v>
      </c>
      <c r="BV3663" t="s">
        <v>86</v>
      </c>
      <c r="BY3663">
        <v>5935.41</v>
      </c>
      <c r="CA3663" t="s">
        <v>3344</v>
      </c>
      <c r="CC3663" t="s">
        <v>91</v>
      </c>
      <c r="CD3663">
        <v>7530</v>
      </c>
      <c r="CE3663" t="s">
        <v>88</v>
      </c>
      <c r="CI3663">
        <v>1</v>
      </c>
      <c r="CJ3663">
        <v>1</v>
      </c>
      <c r="CK3663">
        <v>21</v>
      </c>
      <c r="CL3663" t="s">
        <v>89</v>
      </c>
    </row>
    <row r="3664" spans="1:90">
      <c r="A3664" t="s">
        <v>72</v>
      </c>
      <c r="B3664" t="s">
        <v>73</v>
      </c>
      <c r="C3664" t="s">
        <v>74</v>
      </c>
      <c r="E3664" t="str">
        <f>"FES1162725867"</f>
        <v>FES1162725867</v>
      </c>
      <c r="F3664" s="3">
        <v>43797</v>
      </c>
      <c r="G3664">
        <v>202005</v>
      </c>
      <c r="H3664" t="s">
        <v>75</v>
      </c>
      <c r="I3664" t="s">
        <v>76</v>
      </c>
      <c r="J3664" t="s">
        <v>77</v>
      </c>
      <c r="K3664" t="s">
        <v>78</v>
      </c>
      <c r="L3664" t="s">
        <v>344</v>
      </c>
      <c r="M3664" t="s">
        <v>345</v>
      </c>
      <c r="N3664" t="s">
        <v>2379</v>
      </c>
      <c r="O3664" t="s">
        <v>82</v>
      </c>
      <c r="P3664" t="str">
        <f>"2170716962                    "</f>
        <v xml:space="preserve">2170716962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6.71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 s="4">
        <v>39.42</v>
      </c>
      <c r="BM3664" s="4">
        <v>5.91</v>
      </c>
      <c r="BN3664" s="4">
        <v>45.33</v>
      </c>
      <c r="BO3664" s="4">
        <v>45.33</v>
      </c>
      <c r="BQ3664" t="s">
        <v>142</v>
      </c>
      <c r="BR3664" t="s">
        <v>84</v>
      </c>
      <c r="BS3664" s="3">
        <v>43798</v>
      </c>
      <c r="BT3664" s="5">
        <v>0.41041666666666665</v>
      </c>
      <c r="BU3664" t="s">
        <v>3046</v>
      </c>
      <c r="BV3664" t="s">
        <v>86</v>
      </c>
      <c r="BY3664">
        <v>1200</v>
      </c>
      <c r="CA3664" t="s">
        <v>348</v>
      </c>
      <c r="CC3664" t="s">
        <v>345</v>
      </c>
      <c r="CD3664">
        <v>2162</v>
      </c>
      <c r="CE3664" t="s">
        <v>147</v>
      </c>
      <c r="CI3664">
        <v>1</v>
      </c>
      <c r="CJ3664">
        <v>1</v>
      </c>
      <c r="CK3664">
        <v>22</v>
      </c>
      <c r="CL3664" t="s">
        <v>89</v>
      </c>
    </row>
    <row r="3665" spans="1:90">
      <c r="A3665" t="s">
        <v>72</v>
      </c>
      <c r="B3665" t="s">
        <v>73</v>
      </c>
      <c r="C3665" t="s">
        <v>74</v>
      </c>
      <c r="E3665" t="str">
        <f>"FES1162725470"</f>
        <v>FES1162725470</v>
      </c>
      <c r="F3665" s="3">
        <v>43797</v>
      </c>
      <c r="G3665">
        <v>202005</v>
      </c>
      <c r="H3665" t="s">
        <v>75</v>
      </c>
      <c r="I3665" t="s">
        <v>76</v>
      </c>
      <c r="J3665" t="s">
        <v>77</v>
      </c>
      <c r="K3665" t="s">
        <v>78</v>
      </c>
      <c r="L3665" t="s">
        <v>90</v>
      </c>
      <c r="M3665" t="s">
        <v>91</v>
      </c>
      <c r="N3665" t="s">
        <v>1897</v>
      </c>
      <c r="O3665" t="s">
        <v>82</v>
      </c>
      <c r="P3665" t="str">
        <f>"2170717082                    "</f>
        <v xml:space="preserve">2170717082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12.87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1.5</v>
      </c>
      <c r="BJ3665">
        <v>2.6</v>
      </c>
      <c r="BK3665">
        <v>3</v>
      </c>
      <c r="BL3665" s="4">
        <v>75.66</v>
      </c>
      <c r="BM3665" s="4">
        <v>11.35</v>
      </c>
      <c r="BN3665" s="4">
        <v>87.01</v>
      </c>
      <c r="BO3665" s="4">
        <v>87.01</v>
      </c>
      <c r="BQ3665" t="s">
        <v>121</v>
      </c>
      <c r="BR3665" t="s">
        <v>84</v>
      </c>
      <c r="BS3665" s="3">
        <v>43798</v>
      </c>
      <c r="BT3665" s="5">
        <v>0.42291666666666666</v>
      </c>
      <c r="BU3665" t="s">
        <v>3345</v>
      </c>
      <c r="BV3665" t="s">
        <v>86</v>
      </c>
      <c r="BY3665">
        <v>13175.36</v>
      </c>
      <c r="CA3665" t="s">
        <v>1309</v>
      </c>
      <c r="CC3665" t="s">
        <v>91</v>
      </c>
      <c r="CD3665">
        <v>7580</v>
      </c>
      <c r="CE3665" t="s">
        <v>88</v>
      </c>
      <c r="CI3665">
        <v>1</v>
      </c>
      <c r="CJ3665">
        <v>1</v>
      </c>
      <c r="CK3665">
        <v>21</v>
      </c>
      <c r="CL3665" t="s">
        <v>89</v>
      </c>
    </row>
    <row r="3666" spans="1:90">
      <c r="A3666" t="s">
        <v>72</v>
      </c>
      <c r="B3666" t="s">
        <v>73</v>
      </c>
      <c r="C3666" t="s">
        <v>74</v>
      </c>
      <c r="E3666" t="str">
        <f>"FES1162725863"</f>
        <v>FES1162725863</v>
      </c>
      <c r="F3666" s="3">
        <v>43797</v>
      </c>
      <c r="G3666">
        <v>202005</v>
      </c>
      <c r="H3666" t="s">
        <v>75</v>
      </c>
      <c r="I3666" t="s">
        <v>76</v>
      </c>
      <c r="J3666" t="s">
        <v>77</v>
      </c>
      <c r="K3666" t="s">
        <v>78</v>
      </c>
      <c r="L3666" t="s">
        <v>172</v>
      </c>
      <c r="M3666" t="s">
        <v>173</v>
      </c>
      <c r="N3666" t="s">
        <v>820</v>
      </c>
      <c r="O3666" t="s">
        <v>82</v>
      </c>
      <c r="P3666" t="str">
        <f>"2170716944                    "</f>
        <v xml:space="preserve">2170716944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20.89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2.4</v>
      </c>
      <c r="BJ3666">
        <v>3.5</v>
      </c>
      <c r="BK3666">
        <v>3.5</v>
      </c>
      <c r="BL3666" s="4">
        <v>122.79</v>
      </c>
      <c r="BM3666" s="4">
        <v>18.420000000000002</v>
      </c>
      <c r="BN3666" s="4">
        <v>141.21</v>
      </c>
      <c r="BO3666" s="4">
        <v>141.21</v>
      </c>
      <c r="BQ3666" t="s">
        <v>142</v>
      </c>
      <c r="BR3666" t="s">
        <v>84</v>
      </c>
      <c r="BS3666" s="3">
        <v>43798</v>
      </c>
      <c r="BT3666" s="5">
        <v>0.3659722222222222</v>
      </c>
      <c r="BU3666" t="s">
        <v>694</v>
      </c>
      <c r="BV3666" t="s">
        <v>86</v>
      </c>
      <c r="BY3666">
        <v>17543.84</v>
      </c>
      <c r="CC3666" t="s">
        <v>173</v>
      </c>
      <c r="CD3666">
        <v>1739</v>
      </c>
      <c r="CE3666" t="s">
        <v>88</v>
      </c>
      <c r="CI3666">
        <v>1</v>
      </c>
      <c r="CJ3666">
        <v>1</v>
      </c>
      <c r="CK3666">
        <v>24</v>
      </c>
      <c r="CL3666" t="s">
        <v>89</v>
      </c>
    </row>
    <row r="3667" spans="1:90">
      <c r="A3667" t="s">
        <v>72</v>
      </c>
      <c r="B3667" t="s">
        <v>73</v>
      </c>
      <c r="C3667" t="s">
        <v>74</v>
      </c>
      <c r="E3667" t="str">
        <f>"FES116272565"</f>
        <v>FES116272565</v>
      </c>
      <c r="F3667" s="3">
        <v>43797</v>
      </c>
      <c r="G3667">
        <v>202005</v>
      </c>
      <c r="H3667" t="s">
        <v>75</v>
      </c>
      <c r="I3667" t="s">
        <v>76</v>
      </c>
      <c r="J3667" t="s">
        <v>77</v>
      </c>
      <c r="K3667" t="s">
        <v>78</v>
      </c>
      <c r="L3667" t="s">
        <v>214</v>
      </c>
      <c r="M3667" t="s">
        <v>214</v>
      </c>
      <c r="N3667" t="s">
        <v>215</v>
      </c>
      <c r="O3667" t="s">
        <v>82</v>
      </c>
      <c r="P3667" t="str">
        <f>"2170715605                    "</f>
        <v xml:space="preserve">2170715605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24.14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0.5</v>
      </c>
      <c r="BJ3667">
        <v>2.6</v>
      </c>
      <c r="BK3667">
        <v>3</v>
      </c>
      <c r="BL3667" s="4">
        <v>141.9</v>
      </c>
      <c r="BM3667" s="4">
        <v>21.29</v>
      </c>
      <c r="BN3667" s="4">
        <v>163.19</v>
      </c>
      <c r="BO3667" s="4">
        <v>163.19</v>
      </c>
      <c r="BQ3667" t="s">
        <v>109</v>
      </c>
      <c r="BR3667" t="s">
        <v>84</v>
      </c>
      <c r="BS3667" s="3">
        <v>43798</v>
      </c>
      <c r="BT3667" s="5">
        <v>0.4861111111111111</v>
      </c>
      <c r="BU3667" t="s">
        <v>3346</v>
      </c>
      <c r="BV3667" t="s">
        <v>86</v>
      </c>
      <c r="BY3667">
        <v>12830.32</v>
      </c>
      <c r="CA3667" t="s">
        <v>1643</v>
      </c>
      <c r="CC3667" t="s">
        <v>214</v>
      </c>
      <c r="CD3667">
        <v>7646</v>
      </c>
      <c r="CE3667" t="s">
        <v>88</v>
      </c>
      <c r="CI3667">
        <v>1</v>
      </c>
      <c r="CJ3667">
        <v>1</v>
      </c>
      <c r="CK3667">
        <v>23</v>
      </c>
      <c r="CL3667" t="s">
        <v>89</v>
      </c>
    </row>
    <row r="3668" spans="1:90">
      <c r="A3668" t="s">
        <v>72</v>
      </c>
      <c r="B3668" t="s">
        <v>73</v>
      </c>
      <c r="C3668" t="s">
        <v>74</v>
      </c>
      <c r="E3668" t="str">
        <f>"FES1162725843"</f>
        <v>FES1162725843</v>
      </c>
      <c r="F3668" s="3">
        <v>43797</v>
      </c>
      <c r="G3668">
        <v>202005</v>
      </c>
      <c r="H3668" t="s">
        <v>75</v>
      </c>
      <c r="I3668" t="s">
        <v>76</v>
      </c>
      <c r="J3668" t="s">
        <v>77</v>
      </c>
      <c r="K3668" t="s">
        <v>78</v>
      </c>
      <c r="L3668" t="s">
        <v>124</v>
      </c>
      <c r="M3668" t="s">
        <v>125</v>
      </c>
      <c r="N3668" t="s">
        <v>3347</v>
      </c>
      <c r="O3668" t="s">
        <v>82</v>
      </c>
      <c r="P3668" t="str">
        <f>"2170719429                    "</f>
        <v xml:space="preserve">2170719429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20.37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10.4</v>
      </c>
      <c r="BJ3668">
        <v>3.8</v>
      </c>
      <c r="BK3668">
        <v>10.5</v>
      </c>
      <c r="BL3668" s="4">
        <v>119.72</v>
      </c>
      <c r="BM3668" s="4">
        <v>17.96</v>
      </c>
      <c r="BN3668" s="4">
        <v>137.68</v>
      </c>
      <c r="BO3668" s="4">
        <v>137.68</v>
      </c>
      <c r="BQ3668" t="s">
        <v>109</v>
      </c>
      <c r="BR3668" t="s">
        <v>84</v>
      </c>
      <c r="BS3668" s="3">
        <v>43798</v>
      </c>
      <c r="BT3668" s="5">
        <v>0.3298611111111111</v>
      </c>
      <c r="BU3668" t="s">
        <v>3348</v>
      </c>
      <c r="BV3668" t="s">
        <v>86</v>
      </c>
      <c r="BY3668">
        <v>19067.27</v>
      </c>
      <c r="CA3668" t="s">
        <v>3349</v>
      </c>
      <c r="CC3668" t="s">
        <v>125</v>
      </c>
      <c r="CD3668">
        <v>1832</v>
      </c>
      <c r="CE3668" t="s">
        <v>88</v>
      </c>
      <c r="CI3668">
        <v>1</v>
      </c>
      <c r="CJ3668">
        <v>1</v>
      </c>
      <c r="CK3668">
        <v>22</v>
      </c>
      <c r="CL3668" t="s">
        <v>89</v>
      </c>
    </row>
    <row r="3669" spans="1:90">
      <c r="A3669" t="s">
        <v>72</v>
      </c>
      <c r="B3669" t="s">
        <v>73</v>
      </c>
      <c r="C3669" t="s">
        <v>74</v>
      </c>
      <c r="E3669" t="str">
        <f>"FES1162725471"</f>
        <v>FES1162725471</v>
      </c>
      <c r="F3669" s="3">
        <v>43797</v>
      </c>
      <c r="G3669">
        <v>202005</v>
      </c>
      <c r="H3669" t="s">
        <v>75</v>
      </c>
      <c r="I3669" t="s">
        <v>76</v>
      </c>
      <c r="J3669" t="s">
        <v>77</v>
      </c>
      <c r="K3669" t="s">
        <v>78</v>
      </c>
      <c r="L3669" t="s">
        <v>90</v>
      </c>
      <c r="M3669" t="s">
        <v>91</v>
      </c>
      <c r="N3669" t="s">
        <v>945</v>
      </c>
      <c r="O3669" t="s">
        <v>82</v>
      </c>
      <c r="P3669" t="str">
        <f>"2170717200                    "</f>
        <v xml:space="preserve">2170717200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12.87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0.5</v>
      </c>
      <c r="BJ3669">
        <v>2.6</v>
      </c>
      <c r="BK3669">
        <v>3</v>
      </c>
      <c r="BL3669" s="4">
        <v>75.66</v>
      </c>
      <c r="BM3669" s="4">
        <v>11.35</v>
      </c>
      <c r="BN3669" s="4">
        <v>87.01</v>
      </c>
      <c r="BO3669" s="4">
        <v>87.01</v>
      </c>
      <c r="BQ3669" t="s">
        <v>121</v>
      </c>
      <c r="BR3669" t="s">
        <v>84</v>
      </c>
      <c r="BS3669" s="3">
        <v>43798</v>
      </c>
      <c r="BT3669" s="5">
        <v>0.3298611111111111</v>
      </c>
      <c r="BU3669" t="s">
        <v>1298</v>
      </c>
      <c r="BV3669" t="s">
        <v>86</v>
      </c>
      <c r="BY3669">
        <v>13211.55</v>
      </c>
      <c r="CA3669" t="s">
        <v>323</v>
      </c>
      <c r="CC3669" t="s">
        <v>91</v>
      </c>
      <c r="CD3669">
        <v>7460</v>
      </c>
      <c r="CE3669" t="s">
        <v>88</v>
      </c>
      <c r="CI3669">
        <v>1</v>
      </c>
      <c r="CJ3669">
        <v>1</v>
      </c>
      <c r="CK3669">
        <v>21</v>
      </c>
      <c r="CL3669" t="s">
        <v>89</v>
      </c>
    </row>
    <row r="3670" spans="1:90">
      <c r="A3670" t="s">
        <v>72</v>
      </c>
      <c r="B3670" t="s">
        <v>73</v>
      </c>
      <c r="C3670" t="s">
        <v>74</v>
      </c>
      <c r="E3670" t="str">
        <f>"FES1162725638"</f>
        <v>FES1162725638</v>
      </c>
      <c r="F3670" s="3">
        <v>43797</v>
      </c>
      <c r="G3670">
        <v>202005</v>
      </c>
      <c r="H3670" t="s">
        <v>75</v>
      </c>
      <c r="I3670" t="s">
        <v>76</v>
      </c>
      <c r="J3670" t="s">
        <v>77</v>
      </c>
      <c r="K3670" t="s">
        <v>78</v>
      </c>
      <c r="L3670" t="s">
        <v>691</v>
      </c>
      <c r="M3670" t="s">
        <v>692</v>
      </c>
      <c r="N3670" t="s">
        <v>693</v>
      </c>
      <c r="O3670" t="s">
        <v>82</v>
      </c>
      <c r="P3670" t="str">
        <f>"217071738                     "</f>
        <v xml:space="preserve">217071738 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6.71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0.2</v>
      </c>
      <c r="BJ3670">
        <v>1.1000000000000001</v>
      </c>
      <c r="BK3670">
        <v>1.5</v>
      </c>
      <c r="BL3670" s="4">
        <v>39.42</v>
      </c>
      <c r="BM3670" s="4">
        <v>5.91</v>
      </c>
      <c r="BN3670" s="4">
        <v>45.33</v>
      </c>
      <c r="BO3670" s="4">
        <v>45.33</v>
      </c>
      <c r="BQ3670" t="s">
        <v>142</v>
      </c>
      <c r="BR3670" t="s">
        <v>84</v>
      </c>
      <c r="BS3670" s="3">
        <v>43798</v>
      </c>
      <c r="BT3670" s="5">
        <v>0.41666666666666669</v>
      </c>
      <c r="BU3670" t="s">
        <v>3350</v>
      </c>
      <c r="BV3670" t="s">
        <v>86</v>
      </c>
      <c r="BY3670">
        <v>5738.38</v>
      </c>
      <c r="CC3670" t="s">
        <v>692</v>
      </c>
      <c r="CD3670">
        <v>1559</v>
      </c>
      <c r="CE3670" t="s">
        <v>88</v>
      </c>
      <c r="CI3670">
        <v>1</v>
      </c>
      <c r="CJ3670">
        <v>1</v>
      </c>
      <c r="CK3670">
        <v>22</v>
      </c>
      <c r="CL3670" t="s">
        <v>89</v>
      </c>
    </row>
    <row r="3671" spans="1:90">
      <c r="A3671" t="s">
        <v>72</v>
      </c>
      <c r="B3671" t="s">
        <v>73</v>
      </c>
      <c r="C3671" t="s">
        <v>74</v>
      </c>
      <c r="E3671" t="str">
        <f>"FES1162725508"</f>
        <v>FES1162725508</v>
      </c>
      <c r="F3671" s="3">
        <v>43797</v>
      </c>
      <c r="G3671">
        <v>202005</v>
      </c>
      <c r="H3671" t="s">
        <v>75</v>
      </c>
      <c r="I3671" t="s">
        <v>76</v>
      </c>
      <c r="J3671" t="s">
        <v>77</v>
      </c>
      <c r="K3671" t="s">
        <v>78</v>
      </c>
      <c r="L3671" t="s">
        <v>214</v>
      </c>
      <c r="M3671" t="s">
        <v>214</v>
      </c>
      <c r="N3671" t="s">
        <v>314</v>
      </c>
      <c r="O3671" t="s">
        <v>82</v>
      </c>
      <c r="P3671" t="str">
        <f>"2170717910                    "</f>
        <v xml:space="preserve">2170717910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39.159999999999997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2.5</v>
      </c>
      <c r="BJ3671">
        <v>5</v>
      </c>
      <c r="BK3671">
        <v>5</v>
      </c>
      <c r="BL3671" s="4">
        <v>230.2</v>
      </c>
      <c r="BM3671" s="4">
        <v>34.53</v>
      </c>
      <c r="BN3671" s="4">
        <v>264.73</v>
      </c>
      <c r="BO3671" s="4">
        <v>264.73</v>
      </c>
      <c r="BQ3671" t="s">
        <v>109</v>
      </c>
      <c r="BR3671" t="s">
        <v>84</v>
      </c>
      <c r="BS3671" s="3">
        <v>43798</v>
      </c>
      <c r="BT3671" s="5">
        <v>0.49305555555555558</v>
      </c>
      <c r="BU3671" t="s">
        <v>3112</v>
      </c>
      <c r="BV3671" t="s">
        <v>86</v>
      </c>
      <c r="BY3671">
        <v>25065.18</v>
      </c>
      <c r="CA3671" t="s">
        <v>1643</v>
      </c>
      <c r="CC3671" t="s">
        <v>214</v>
      </c>
      <c r="CD3671">
        <v>7646</v>
      </c>
      <c r="CE3671" t="s">
        <v>88</v>
      </c>
      <c r="CI3671">
        <v>1</v>
      </c>
      <c r="CJ3671">
        <v>1</v>
      </c>
      <c r="CK3671">
        <v>23</v>
      </c>
      <c r="CL3671" t="s">
        <v>89</v>
      </c>
    </row>
    <row r="3672" spans="1:90">
      <c r="A3672" t="s">
        <v>72</v>
      </c>
      <c r="B3672" t="s">
        <v>73</v>
      </c>
      <c r="C3672" t="s">
        <v>74</v>
      </c>
      <c r="E3672" t="str">
        <f>"FES1162725810"</f>
        <v>FES1162725810</v>
      </c>
      <c r="F3672" s="3">
        <v>43797</v>
      </c>
      <c r="G3672">
        <v>202005</v>
      </c>
      <c r="H3672" t="s">
        <v>75</v>
      </c>
      <c r="I3672" t="s">
        <v>76</v>
      </c>
      <c r="J3672" t="s">
        <v>77</v>
      </c>
      <c r="K3672" t="s">
        <v>78</v>
      </c>
      <c r="L3672" t="s">
        <v>79</v>
      </c>
      <c r="M3672" t="s">
        <v>80</v>
      </c>
      <c r="N3672" t="s">
        <v>1233</v>
      </c>
      <c r="O3672" t="s">
        <v>82</v>
      </c>
      <c r="P3672" t="str">
        <f>"2170719379                    "</f>
        <v xml:space="preserve">2170719379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8.58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 s="4">
        <v>50.45</v>
      </c>
      <c r="BM3672" s="4">
        <v>7.57</v>
      </c>
      <c r="BN3672" s="4">
        <v>58.02</v>
      </c>
      <c r="BO3672" s="4">
        <v>58.02</v>
      </c>
      <c r="BQ3672" t="s">
        <v>142</v>
      </c>
      <c r="BR3672" t="s">
        <v>84</v>
      </c>
      <c r="BS3672" s="3">
        <v>43798</v>
      </c>
      <c r="BT3672" s="5">
        <v>0.3263888888888889</v>
      </c>
      <c r="BU3672" t="s">
        <v>1484</v>
      </c>
      <c r="BV3672" t="s">
        <v>86</v>
      </c>
      <c r="BY3672">
        <v>1200</v>
      </c>
      <c r="CA3672" t="s">
        <v>87</v>
      </c>
      <c r="CC3672" t="s">
        <v>80</v>
      </c>
      <c r="CD3672">
        <v>6229</v>
      </c>
      <c r="CE3672" t="s">
        <v>147</v>
      </c>
      <c r="CI3672">
        <v>1</v>
      </c>
      <c r="CJ3672">
        <v>1</v>
      </c>
      <c r="CK3672">
        <v>21</v>
      </c>
      <c r="CL3672" t="s">
        <v>89</v>
      </c>
    </row>
    <row r="3673" spans="1:90">
      <c r="A3673" t="s">
        <v>72</v>
      </c>
      <c r="B3673" t="s">
        <v>73</v>
      </c>
      <c r="C3673" t="s">
        <v>74</v>
      </c>
      <c r="E3673" t="str">
        <f>"FES1162725718"</f>
        <v>FES1162725718</v>
      </c>
      <c r="F3673" s="3">
        <v>43797</v>
      </c>
      <c r="G3673">
        <v>202005</v>
      </c>
      <c r="H3673" t="s">
        <v>75</v>
      </c>
      <c r="I3673" t="s">
        <v>76</v>
      </c>
      <c r="J3673" t="s">
        <v>77</v>
      </c>
      <c r="K3673" t="s">
        <v>78</v>
      </c>
      <c r="L3673" t="s">
        <v>90</v>
      </c>
      <c r="M3673" t="s">
        <v>91</v>
      </c>
      <c r="N3673" t="s">
        <v>1194</v>
      </c>
      <c r="O3673" t="s">
        <v>82</v>
      </c>
      <c r="P3673" t="str">
        <f>"2170716521                    "</f>
        <v xml:space="preserve">2170716521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32.17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5.0999999999999996</v>
      </c>
      <c r="BJ3673">
        <v>7.2</v>
      </c>
      <c r="BK3673">
        <v>7.5</v>
      </c>
      <c r="BL3673" s="4">
        <v>189.1</v>
      </c>
      <c r="BM3673" s="4">
        <v>28.37</v>
      </c>
      <c r="BN3673" s="4">
        <v>217.47</v>
      </c>
      <c r="BO3673" s="4">
        <v>217.47</v>
      </c>
      <c r="BR3673" t="s">
        <v>84</v>
      </c>
      <c r="BS3673" s="3">
        <v>43798</v>
      </c>
      <c r="BT3673" s="5">
        <v>0.43194444444444446</v>
      </c>
      <c r="BU3673" t="s">
        <v>1618</v>
      </c>
      <c r="BV3673" t="s">
        <v>86</v>
      </c>
      <c r="BY3673">
        <v>35926.800000000003</v>
      </c>
      <c r="CA3673" t="s">
        <v>1309</v>
      </c>
      <c r="CC3673" t="s">
        <v>91</v>
      </c>
      <c r="CD3673">
        <v>7580</v>
      </c>
      <c r="CE3673" t="s">
        <v>88</v>
      </c>
      <c r="CI3673">
        <v>1</v>
      </c>
      <c r="CJ3673">
        <v>1</v>
      </c>
      <c r="CK3673">
        <v>21</v>
      </c>
      <c r="CL3673" t="s">
        <v>89</v>
      </c>
    </row>
    <row r="3674" spans="1:90">
      <c r="A3674" t="s">
        <v>72</v>
      </c>
      <c r="B3674" t="s">
        <v>73</v>
      </c>
      <c r="C3674" t="s">
        <v>74</v>
      </c>
      <c r="E3674" t="str">
        <f>"FES1162725653"</f>
        <v>FES1162725653</v>
      </c>
      <c r="F3674" s="3">
        <v>43797</v>
      </c>
      <c r="G3674">
        <v>202005</v>
      </c>
      <c r="H3674" t="s">
        <v>75</v>
      </c>
      <c r="I3674" t="s">
        <v>76</v>
      </c>
      <c r="J3674" t="s">
        <v>77</v>
      </c>
      <c r="K3674" t="s">
        <v>78</v>
      </c>
      <c r="L3674" t="s">
        <v>522</v>
      </c>
      <c r="M3674" t="s">
        <v>523</v>
      </c>
      <c r="N3674" t="s">
        <v>1080</v>
      </c>
      <c r="O3674" t="s">
        <v>82</v>
      </c>
      <c r="P3674" t="str">
        <f>"2170716381                    "</f>
        <v xml:space="preserve">2170716381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24.14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1.8</v>
      </c>
      <c r="BJ3674">
        <v>2.7</v>
      </c>
      <c r="BK3674">
        <v>3</v>
      </c>
      <c r="BL3674" s="4">
        <v>141.9</v>
      </c>
      <c r="BM3674" s="4">
        <v>21.29</v>
      </c>
      <c r="BN3674" s="4">
        <v>163.19</v>
      </c>
      <c r="BO3674" s="4">
        <v>163.19</v>
      </c>
      <c r="BQ3674" t="s">
        <v>121</v>
      </c>
      <c r="BR3674" t="s">
        <v>84</v>
      </c>
      <c r="BS3674" s="3">
        <v>43798</v>
      </c>
      <c r="BT3674" s="5">
        <v>0.3354166666666667</v>
      </c>
      <c r="BU3674" t="s">
        <v>3351</v>
      </c>
      <c r="BV3674" t="s">
        <v>86</v>
      </c>
      <c r="BY3674">
        <v>13376</v>
      </c>
      <c r="CA3674" t="s">
        <v>526</v>
      </c>
      <c r="CC3674" t="s">
        <v>523</v>
      </c>
      <c r="CD3674">
        <v>1911</v>
      </c>
      <c r="CE3674" t="s">
        <v>1598</v>
      </c>
      <c r="CI3674">
        <v>1</v>
      </c>
      <c r="CJ3674">
        <v>1</v>
      </c>
      <c r="CK3674">
        <v>23</v>
      </c>
      <c r="CL3674" t="s">
        <v>89</v>
      </c>
    </row>
    <row r="3675" spans="1:90">
      <c r="A3675" t="s">
        <v>72</v>
      </c>
      <c r="B3675" t="s">
        <v>73</v>
      </c>
      <c r="C3675" t="s">
        <v>74</v>
      </c>
      <c r="E3675" t="str">
        <f>"FES1162725669"</f>
        <v>FES1162725669</v>
      </c>
      <c r="F3675" s="3">
        <v>43797</v>
      </c>
      <c r="G3675">
        <v>202005</v>
      </c>
      <c r="H3675" t="s">
        <v>75</v>
      </c>
      <c r="I3675" t="s">
        <v>76</v>
      </c>
      <c r="J3675" t="s">
        <v>77</v>
      </c>
      <c r="K3675" t="s">
        <v>78</v>
      </c>
      <c r="L3675" t="s">
        <v>90</v>
      </c>
      <c r="M3675" t="s">
        <v>91</v>
      </c>
      <c r="N3675" t="s">
        <v>527</v>
      </c>
      <c r="O3675" t="s">
        <v>82</v>
      </c>
      <c r="P3675" t="str">
        <f>"2170719315                    "</f>
        <v xml:space="preserve">2170719315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8.58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0.2</v>
      </c>
      <c r="BJ3675">
        <v>1.8</v>
      </c>
      <c r="BK3675">
        <v>2</v>
      </c>
      <c r="BL3675" s="4">
        <v>50.45</v>
      </c>
      <c r="BM3675" s="4">
        <v>7.57</v>
      </c>
      <c r="BN3675" s="4">
        <v>58.02</v>
      </c>
      <c r="BO3675" s="4">
        <v>58.02</v>
      </c>
      <c r="BQ3675" t="s">
        <v>109</v>
      </c>
      <c r="BR3675" t="s">
        <v>84</v>
      </c>
      <c r="BS3675" s="3">
        <v>43798</v>
      </c>
      <c r="BT3675" s="5">
        <v>0.33333333333333331</v>
      </c>
      <c r="BU3675" t="s">
        <v>2427</v>
      </c>
      <c r="BV3675" t="s">
        <v>86</v>
      </c>
      <c r="BY3675">
        <v>8912.67</v>
      </c>
      <c r="CA3675" t="s">
        <v>221</v>
      </c>
      <c r="CC3675" t="s">
        <v>91</v>
      </c>
      <c r="CD3675">
        <v>7405</v>
      </c>
      <c r="CE3675" t="s">
        <v>88</v>
      </c>
      <c r="CI3675">
        <v>1</v>
      </c>
      <c r="CJ3675">
        <v>1</v>
      </c>
      <c r="CK3675">
        <v>21</v>
      </c>
      <c r="CL3675" t="s">
        <v>89</v>
      </c>
    </row>
    <row r="3676" spans="1:90">
      <c r="A3676" t="s">
        <v>72</v>
      </c>
      <c r="B3676" t="s">
        <v>73</v>
      </c>
      <c r="C3676" t="s">
        <v>74</v>
      </c>
      <c r="E3676" t="str">
        <f>"FES1162725742"</f>
        <v>FES1162725742</v>
      </c>
      <c r="F3676" s="3">
        <v>43797</v>
      </c>
      <c r="G3676">
        <v>202005</v>
      </c>
      <c r="H3676" t="s">
        <v>75</v>
      </c>
      <c r="I3676" t="s">
        <v>76</v>
      </c>
      <c r="J3676" t="s">
        <v>77</v>
      </c>
      <c r="K3676" t="s">
        <v>78</v>
      </c>
      <c r="L3676" t="s">
        <v>112</v>
      </c>
      <c r="M3676" t="s">
        <v>113</v>
      </c>
      <c r="N3676" t="s">
        <v>620</v>
      </c>
      <c r="O3676" t="s">
        <v>82</v>
      </c>
      <c r="P3676" t="str">
        <f>"2170717371                    "</f>
        <v xml:space="preserve">2170717371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8.58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 s="4">
        <v>50.45</v>
      </c>
      <c r="BM3676" s="4">
        <v>7.57</v>
      </c>
      <c r="BN3676" s="4">
        <v>58.02</v>
      </c>
      <c r="BO3676" s="4">
        <v>58.02</v>
      </c>
      <c r="BQ3676" t="s">
        <v>109</v>
      </c>
      <c r="BR3676" t="s">
        <v>84</v>
      </c>
      <c r="BS3676" s="3">
        <v>43798</v>
      </c>
      <c r="BT3676" s="5">
        <v>0.4284722222222222</v>
      </c>
      <c r="BU3676" t="s">
        <v>3324</v>
      </c>
      <c r="BV3676" t="s">
        <v>86</v>
      </c>
      <c r="BY3676">
        <v>1200</v>
      </c>
      <c r="CA3676" t="s">
        <v>448</v>
      </c>
      <c r="CC3676" t="s">
        <v>113</v>
      </c>
      <c r="CD3676">
        <v>4302</v>
      </c>
      <c r="CE3676" t="s">
        <v>147</v>
      </c>
      <c r="CI3676">
        <v>1</v>
      </c>
      <c r="CJ3676">
        <v>1</v>
      </c>
      <c r="CK3676">
        <v>21</v>
      </c>
      <c r="CL3676" t="s">
        <v>89</v>
      </c>
    </row>
    <row r="3677" spans="1:90">
      <c r="A3677" t="s">
        <v>72</v>
      </c>
      <c r="B3677" t="s">
        <v>73</v>
      </c>
      <c r="C3677" t="s">
        <v>74</v>
      </c>
      <c r="E3677" t="str">
        <f>"FES1162725500"</f>
        <v>FES1162725500</v>
      </c>
      <c r="F3677" s="3">
        <v>43797</v>
      </c>
      <c r="G3677">
        <v>202005</v>
      </c>
      <c r="H3677" t="s">
        <v>75</v>
      </c>
      <c r="I3677" t="s">
        <v>76</v>
      </c>
      <c r="J3677" t="s">
        <v>77</v>
      </c>
      <c r="K3677" t="s">
        <v>78</v>
      </c>
      <c r="L3677" t="s">
        <v>75</v>
      </c>
      <c r="M3677" t="s">
        <v>76</v>
      </c>
      <c r="N3677" t="s">
        <v>466</v>
      </c>
      <c r="O3677" t="s">
        <v>82</v>
      </c>
      <c r="P3677" t="str">
        <f>"2170718208                    "</f>
        <v xml:space="preserve">2170718208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25.19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13.1</v>
      </c>
      <c r="BJ3677">
        <v>8.1</v>
      </c>
      <c r="BK3677">
        <v>13.5</v>
      </c>
      <c r="BL3677" s="4">
        <v>148.06</v>
      </c>
      <c r="BM3677" s="4">
        <v>22.21</v>
      </c>
      <c r="BN3677" s="4">
        <v>170.27</v>
      </c>
      <c r="BO3677" s="4">
        <v>170.27</v>
      </c>
      <c r="BQ3677" t="s">
        <v>109</v>
      </c>
      <c r="BR3677" t="s">
        <v>84</v>
      </c>
      <c r="BS3677" s="3">
        <v>43798</v>
      </c>
      <c r="BT3677" s="5">
        <v>0.40277777777777773</v>
      </c>
      <c r="BU3677" t="s">
        <v>740</v>
      </c>
      <c r="BV3677" t="s">
        <v>86</v>
      </c>
      <c r="BY3677">
        <v>40522.589999999997</v>
      </c>
      <c r="CA3677" t="s">
        <v>1067</v>
      </c>
      <c r="CC3677" t="s">
        <v>76</v>
      </c>
      <c r="CD3677">
        <v>1609</v>
      </c>
      <c r="CE3677" t="s">
        <v>88</v>
      </c>
      <c r="CI3677">
        <v>1</v>
      </c>
      <c r="CJ3677">
        <v>1</v>
      </c>
      <c r="CK3677">
        <v>22</v>
      </c>
      <c r="CL3677" t="s">
        <v>89</v>
      </c>
    </row>
    <row r="3678" spans="1:90">
      <c r="A3678" t="s">
        <v>72</v>
      </c>
      <c r="B3678" t="s">
        <v>73</v>
      </c>
      <c r="C3678" t="s">
        <v>74</v>
      </c>
      <c r="E3678" t="str">
        <f>"FES1162725899"</f>
        <v>FES1162725899</v>
      </c>
      <c r="F3678" s="3">
        <v>43797</v>
      </c>
      <c r="G3678">
        <v>202005</v>
      </c>
      <c r="H3678" t="s">
        <v>75</v>
      </c>
      <c r="I3678" t="s">
        <v>76</v>
      </c>
      <c r="J3678" t="s">
        <v>77</v>
      </c>
      <c r="K3678" t="s">
        <v>78</v>
      </c>
      <c r="L3678" t="s">
        <v>202</v>
      </c>
      <c r="M3678" t="s">
        <v>203</v>
      </c>
      <c r="N3678" t="s">
        <v>1170</v>
      </c>
      <c r="O3678" t="s">
        <v>82</v>
      </c>
      <c r="P3678" t="str">
        <f>"2170719445                    "</f>
        <v xml:space="preserve">2170719445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55.73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16.8</v>
      </c>
      <c r="BJ3678">
        <v>32.200000000000003</v>
      </c>
      <c r="BK3678">
        <v>32.5</v>
      </c>
      <c r="BL3678" s="4">
        <v>327.56</v>
      </c>
      <c r="BM3678" s="4">
        <v>49.13</v>
      </c>
      <c r="BN3678" s="4">
        <v>376.69</v>
      </c>
      <c r="BO3678" s="4">
        <v>376.69</v>
      </c>
      <c r="BQ3678" t="s">
        <v>337</v>
      </c>
      <c r="BR3678" t="s">
        <v>84</v>
      </c>
      <c r="BS3678" s="3">
        <v>43798</v>
      </c>
      <c r="BT3678" s="5">
        <v>0.43402777777777773</v>
      </c>
      <c r="BU3678" t="s">
        <v>694</v>
      </c>
      <c r="BV3678" t="s">
        <v>86</v>
      </c>
      <c r="BY3678">
        <v>161187.89000000001</v>
      </c>
      <c r="CC3678" t="s">
        <v>203</v>
      </c>
      <c r="CD3678">
        <v>1401</v>
      </c>
      <c r="CE3678" t="s">
        <v>88</v>
      </c>
      <c r="CI3678">
        <v>1</v>
      </c>
      <c r="CJ3678">
        <v>1</v>
      </c>
      <c r="CK3678">
        <v>22</v>
      </c>
      <c r="CL3678" t="s">
        <v>89</v>
      </c>
    </row>
    <row r="3679" spans="1:90">
      <c r="A3679" t="s">
        <v>72</v>
      </c>
      <c r="B3679" t="s">
        <v>73</v>
      </c>
      <c r="C3679" t="s">
        <v>74</v>
      </c>
      <c r="E3679" t="str">
        <f>"FES1162725511"</f>
        <v>FES1162725511</v>
      </c>
      <c r="F3679" s="3">
        <v>43797</v>
      </c>
      <c r="G3679">
        <v>202005</v>
      </c>
      <c r="H3679" t="s">
        <v>75</v>
      </c>
      <c r="I3679" t="s">
        <v>76</v>
      </c>
      <c r="J3679" t="s">
        <v>77</v>
      </c>
      <c r="K3679" t="s">
        <v>78</v>
      </c>
      <c r="L3679" t="s">
        <v>101</v>
      </c>
      <c r="M3679" t="s">
        <v>102</v>
      </c>
      <c r="N3679" t="s">
        <v>2454</v>
      </c>
      <c r="O3679" t="s">
        <v>82</v>
      </c>
      <c r="P3679" t="str">
        <f>"2170719278                    "</f>
        <v xml:space="preserve">2170719278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8.58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 s="4">
        <v>50.45</v>
      </c>
      <c r="BM3679" s="4">
        <v>7.57</v>
      </c>
      <c r="BN3679" s="4">
        <v>58.02</v>
      </c>
      <c r="BO3679" s="4">
        <v>58.02</v>
      </c>
      <c r="BQ3679" t="s">
        <v>142</v>
      </c>
      <c r="BR3679" t="s">
        <v>84</v>
      </c>
      <c r="BS3679" s="3">
        <v>43798</v>
      </c>
      <c r="BT3679" s="5">
        <v>0.4236111111111111</v>
      </c>
      <c r="BU3679" t="s">
        <v>3352</v>
      </c>
      <c r="BV3679" t="s">
        <v>86</v>
      </c>
      <c r="BY3679">
        <v>1200</v>
      </c>
      <c r="CA3679" t="s">
        <v>922</v>
      </c>
      <c r="CC3679" t="s">
        <v>102</v>
      </c>
      <c r="CD3679">
        <v>186</v>
      </c>
      <c r="CE3679" t="s">
        <v>147</v>
      </c>
      <c r="CI3679">
        <v>1</v>
      </c>
      <c r="CJ3679">
        <v>1</v>
      </c>
      <c r="CK3679">
        <v>21</v>
      </c>
      <c r="CL3679" t="s">
        <v>89</v>
      </c>
    </row>
    <row r="3680" spans="1:90">
      <c r="A3680" t="s">
        <v>72</v>
      </c>
      <c r="B3680" t="s">
        <v>73</v>
      </c>
      <c r="C3680" t="s">
        <v>74</v>
      </c>
      <c r="E3680" t="str">
        <f>"FES1162725799"</f>
        <v>FES1162725799</v>
      </c>
      <c r="F3680" s="3">
        <v>43797</v>
      </c>
      <c r="G3680">
        <v>202005</v>
      </c>
      <c r="H3680" t="s">
        <v>75</v>
      </c>
      <c r="I3680" t="s">
        <v>76</v>
      </c>
      <c r="J3680" t="s">
        <v>77</v>
      </c>
      <c r="K3680" t="s">
        <v>78</v>
      </c>
      <c r="L3680" t="s">
        <v>90</v>
      </c>
      <c r="M3680" t="s">
        <v>91</v>
      </c>
      <c r="N3680" t="s">
        <v>576</v>
      </c>
      <c r="O3680" t="s">
        <v>82</v>
      </c>
      <c r="P3680" t="str">
        <f>"2170719364                    "</f>
        <v xml:space="preserve">2170719364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23.59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2.4</v>
      </c>
      <c r="BJ3680">
        <v>5.3</v>
      </c>
      <c r="BK3680">
        <v>5.5</v>
      </c>
      <c r="BL3680" s="4">
        <v>138.68</v>
      </c>
      <c r="BM3680" s="4">
        <v>20.8</v>
      </c>
      <c r="BN3680" s="4">
        <v>159.47999999999999</v>
      </c>
      <c r="BO3680" s="4">
        <v>159.47999999999999</v>
      </c>
      <c r="BQ3680" t="s">
        <v>109</v>
      </c>
      <c r="BR3680" t="s">
        <v>84</v>
      </c>
      <c r="BS3680" s="3">
        <v>43798</v>
      </c>
      <c r="BT3680" s="5">
        <v>0.36805555555555558</v>
      </c>
      <c r="BU3680" t="s">
        <v>3353</v>
      </c>
      <c r="BV3680" t="s">
        <v>86</v>
      </c>
      <c r="BY3680">
        <v>26585.33</v>
      </c>
      <c r="CA3680" t="s">
        <v>1146</v>
      </c>
      <c r="CC3680" t="s">
        <v>91</v>
      </c>
      <c r="CD3680">
        <v>7441</v>
      </c>
      <c r="CE3680" t="s">
        <v>1598</v>
      </c>
      <c r="CI3680">
        <v>1</v>
      </c>
      <c r="CJ3680">
        <v>1</v>
      </c>
      <c r="CK3680">
        <v>21</v>
      </c>
      <c r="CL3680" t="s">
        <v>89</v>
      </c>
    </row>
    <row r="3681" spans="1:90">
      <c r="A3681" t="s">
        <v>72</v>
      </c>
      <c r="B3681" t="s">
        <v>73</v>
      </c>
      <c r="C3681" t="s">
        <v>74</v>
      </c>
      <c r="E3681" t="str">
        <f>"FES1162725476"</f>
        <v>FES1162725476</v>
      </c>
      <c r="F3681" s="3">
        <v>43797</v>
      </c>
      <c r="G3681">
        <v>202005</v>
      </c>
      <c r="H3681" t="s">
        <v>75</v>
      </c>
      <c r="I3681" t="s">
        <v>76</v>
      </c>
      <c r="J3681" t="s">
        <v>77</v>
      </c>
      <c r="K3681" t="s">
        <v>78</v>
      </c>
      <c r="L3681" t="s">
        <v>101</v>
      </c>
      <c r="M3681" t="s">
        <v>102</v>
      </c>
      <c r="N3681" t="s">
        <v>181</v>
      </c>
      <c r="O3681" t="s">
        <v>82</v>
      </c>
      <c r="P3681" t="str">
        <f>"2170719241                    "</f>
        <v xml:space="preserve">2170719241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8.58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 s="4">
        <v>50.45</v>
      </c>
      <c r="BM3681" s="4">
        <v>7.57</v>
      </c>
      <c r="BN3681" s="4">
        <v>58.02</v>
      </c>
      <c r="BO3681" s="4">
        <v>58.02</v>
      </c>
      <c r="BQ3681" t="s">
        <v>121</v>
      </c>
      <c r="BR3681" t="s">
        <v>84</v>
      </c>
      <c r="BS3681" s="3">
        <v>43798</v>
      </c>
      <c r="BT3681" s="5">
        <v>0.3888888888888889</v>
      </c>
      <c r="BU3681" t="s">
        <v>182</v>
      </c>
      <c r="BV3681" t="s">
        <v>86</v>
      </c>
      <c r="BY3681">
        <v>1200</v>
      </c>
      <c r="CA3681" t="s">
        <v>183</v>
      </c>
      <c r="CC3681" t="s">
        <v>102</v>
      </c>
      <c r="CD3681">
        <v>200</v>
      </c>
      <c r="CE3681" t="s">
        <v>147</v>
      </c>
      <c r="CI3681">
        <v>1</v>
      </c>
      <c r="CJ3681">
        <v>1</v>
      </c>
      <c r="CK3681">
        <v>21</v>
      </c>
      <c r="CL3681" t="s">
        <v>89</v>
      </c>
    </row>
    <row r="3682" spans="1:90">
      <c r="A3682" t="s">
        <v>72</v>
      </c>
      <c r="B3682" t="s">
        <v>73</v>
      </c>
      <c r="C3682" t="s">
        <v>74</v>
      </c>
      <c r="E3682" t="str">
        <f>"FES1162725725"</f>
        <v>FES1162725725</v>
      </c>
      <c r="F3682" s="3">
        <v>43797</v>
      </c>
      <c r="G3682">
        <v>202005</v>
      </c>
      <c r="H3682" t="s">
        <v>75</v>
      </c>
      <c r="I3682" t="s">
        <v>76</v>
      </c>
      <c r="J3682" t="s">
        <v>77</v>
      </c>
      <c r="K3682" t="s">
        <v>78</v>
      </c>
      <c r="L3682" t="s">
        <v>1268</v>
      </c>
      <c r="M3682" t="s">
        <v>1269</v>
      </c>
      <c r="N3682" t="s">
        <v>1270</v>
      </c>
      <c r="O3682" t="s">
        <v>82</v>
      </c>
      <c r="P3682" t="str">
        <f>"2170717129                    "</f>
        <v xml:space="preserve">2170717129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8.58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 s="4">
        <v>50.45</v>
      </c>
      <c r="BM3682" s="4">
        <v>7.57</v>
      </c>
      <c r="BN3682" s="4">
        <v>58.02</v>
      </c>
      <c r="BO3682" s="4">
        <v>58.02</v>
      </c>
      <c r="BQ3682" t="s">
        <v>109</v>
      </c>
      <c r="BR3682" t="s">
        <v>84</v>
      </c>
      <c r="BS3682" s="3">
        <v>43798</v>
      </c>
      <c r="BT3682" s="5">
        <v>0.50902777777777775</v>
      </c>
      <c r="BU3682" t="s">
        <v>3354</v>
      </c>
      <c r="BV3682" t="s">
        <v>86</v>
      </c>
      <c r="BY3682">
        <v>1200</v>
      </c>
      <c r="CA3682" t="s">
        <v>1215</v>
      </c>
      <c r="CC3682" t="s">
        <v>1269</v>
      </c>
      <c r="CD3682">
        <v>3290</v>
      </c>
      <c r="CE3682" t="s">
        <v>147</v>
      </c>
      <c r="CI3682">
        <v>1</v>
      </c>
      <c r="CJ3682">
        <v>1</v>
      </c>
      <c r="CK3682">
        <v>21</v>
      </c>
      <c r="CL3682" t="s">
        <v>89</v>
      </c>
    </row>
    <row r="3683" spans="1:90">
      <c r="A3683" t="s">
        <v>72</v>
      </c>
      <c r="B3683" t="s">
        <v>73</v>
      </c>
      <c r="C3683" t="s">
        <v>74</v>
      </c>
      <c r="E3683" t="str">
        <f>"FES1162725766"</f>
        <v>FES1162725766</v>
      </c>
      <c r="F3683" s="3">
        <v>43797</v>
      </c>
      <c r="G3683">
        <v>202005</v>
      </c>
      <c r="H3683" t="s">
        <v>75</v>
      </c>
      <c r="I3683" t="s">
        <v>76</v>
      </c>
      <c r="J3683" t="s">
        <v>77</v>
      </c>
      <c r="K3683" t="s">
        <v>78</v>
      </c>
      <c r="L3683" t="s">
        <v>90</v>
      </c>
      <c r="M3683" t="s">
        <v>91</v>
      </c>
      <c r="N3683" t="s">
        <v>2887</v>
      </c>
      <c r="O3683" t="s">
        <v>82</v>
      </c>
      <c r="P3683" t="str">
        <f>"2170718591                    "</f>
        <v xml:space="preserve">2170718591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8.58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 s="4">
        <v>50.45</v>
      </c>
      <c r="BM3683" s="4">
        <v>7.57</v>
      </c>
      <c r="BN3683" s="4">
        <v>58.02</v>
      </c>
      <c r="BO3683" s="4">
        <v>58.02</v>
      </c>
      <c r="BQ3683" t="s">
        <v>142</v>
      </c>
      <c r="BR3683" t="s">
        <v>84</v>
      </c>
      <c r="BS3683" s="3">
        <v>43798</v>
      </c>
      <c r="BT3683" s="5">
        <v>0.38750000000000001</v>
      </c>
      <c r="BU3683" t="s">
        <v>2888</v>
      </c>
      <c r="BV3683" t="s">
        <v>86</v>
      </c>
      <c r="BY3683">
        <v>1200</v>
      </c>
      <c r="CA3683" t="s">
        <v>515</v>
      </c>
      <c r="CC3683" t="s">
        <v>91</v>
      </c>
      <c r="CD3683">
        <v>7493</v>
      </c>
      <c r="CE3683" t="s">
        <v>147</v>
      </c>
      <c r="CI3683">
        <v>1</v>
      </c>
      <c r="CJ3683">
        <v>1</v>
      </c>
      <c r="CK3683">
        <v>21</v>
      </c>
      <c r="CL3683" t="s">
        <v>89</v>
      </c>
    </row>
    <row r="3684" spans="1:90">
      <c r="A3684" t="s">
        <v>72</v>
      </c>
      <c r="B3684" t="s">
        <v>73</v>
      </c>
      <c r="C3684" t="s">
        <v>74</v>
      </c>
      <c r="E3684" t="str">
        <f>"FES1162725834"</f>
        <v>FES1162725834</v>
      </c>
      <c r="F3684" s="3">
        <v>43797</v>
      </c>
      <c r="G3684">
        <v>202005</v>
      </c>
      <c r="H3684" t="s">
        <v>75</v>
      </c>
      <c r="I3684" t="s">
        <v>76</v>
      </c>
      <c r="J3684" t="s">
        <v>77</v>
      </c>
      <c r="K3684" t="s">
        <v>78</v>
      </c>
      <c r="L3684" t="s">
        <v>112</v>
      </c>
      <c r="M3684" t="s">
        <v>113</v>
      </c>
      <c r="N3684" t="s">
        <v>427</v>
      </c>
      <c r="O3684" t="s">
        <v>82</v>
      </c>
      <c r="P3684" t="str">
        <f>"2170719412                    "</f>
        <v xml:space="preserve">2170719412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8.58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 s="4">
        <v>50.45</v>
      </c>
      <c r="BM3684" s="4">
        <v>7.57</v>
      </c>
      <c r="BN3684" s="4">
        <v>58.02</v>
      </c>
      <c r="BO3684" s="4">
        <v>58.02</v>
      </c>
      <c r="BQ3684" t="s">
        <v>121</v>
      </c>
      <c r="BR3684" t="s">
        <v>84</v>
      </c>
      <c r="BS3684" s="3">
        <v>43798</v>
      </c>
      <c r="BT3684" s="5">
        <v>0.35694444444444445</v>
      </c>
      <c r="BU3684" t="s">
        <v>2207</v>
      </c>
      <c r="BV3684" t="s">
        <v>86</v>
      </c>
      <c r="BY3684">
        <v>1200</v>
      </c>
      <c r="CA3684" t="s">
        <v>428</v>
      </c>
      <c r="CC3684" t="s">
        <v>113</v>
      </c>
      <c r="CD3684">
        <v>4052</v>
      </c>
      <c r="CE3684" t="s">
        <v>147</v>
      </c>
      <c r="CI3684">
        <v>1</v>
      </c>
      <c r="CJ3684">
        <v>1</v>
      </c>
      <c r="CK3684">
        <v>21</v>
      </c>
      <c r="CL3684" t="s">
        <v>89</v>
      </c>
    </row>
    <row r="3685" spans="1:90">
      <c r="A3685" t="s">
        <v>72</v>
      </c>
      <c r="B3685" t="s">
        <v>73</v>
      </c>
      <c r="C3685" t="s">
        <v>74</v>
      </c>
      <c r="E3685" t="str">
        <f>"FES1162725700"</f>
        <v>FES1162725700</v>
      </c>
      <c r="F3685" s="3">
        <v>43797</v>
      </c>
      <c r="G3685">
        <v>202005</v>
      </c>
      <c r="H3685" t="s">
        <v>75</v>
      </c>
      <c r="I3685" t="s">
        <v>76</v>
      </c>
      <c r="J3685" t="s">
        <v>77</v>
      </c>
      <c r="K3685" t="s">
        <v>78</v>
      </c>
      <c r="L3685" t="s">
        <v>214</v>
      </c>
      <c r="M3685" t="s">
        <v>214</v>
      </c>
      <c r="N3685" t="s">
        <v>314</v>
      </c>
      <c r="O3685" t="s">
        <v>82</v>
      </c>
      <c r="P3685" t="str">
        <f>"2170718582                    "</f>
        <v xml:space="preserve">2170718582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16.63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 s="4">
        <v>97.75</v>
      </c>
      <c r="BM3685" s="4">
        <v>14.66</v>
      </c>
      <c r="BN3685" s="4">
        <v>112.41</v>
      </c>
      <c r="BO3685" s="4">
        <v>112.41</v>
      </c>
      <c r="BQ3685" t="s">
        <v>109</v>
      </c>
      <c r="BR3685" t="s">
        <v>84</v>
      </c>
      <c r="BS3685" s="3">
        <v>43798</v>
      </c>
      <c r="BT3685" s="5">
        <v>0.49305555555555558</v>
      </c>
      <c r="BU3685" t="s">
        <v>3112</v>
      </c>
      <c r="BV3685" t="s">
        <v>86</v>
      </c>
      <c r="BY3685">
        <v>1200</v>
      </c>
      <c r="CA3685" t="s">
        <v>1643</v>
      </c>
      <c r="CC3685" t="s">
        <v>214</v>
      </c>
      <c r="CD3685">
        <v>7646</v>
      </c>
      <c r="CE3685" t="s">
        <v>147</v>
      </c>
      <c r="CI3685">
        <v>1</v>
      </c>
      <c r="CJ3685">
        <v>1</v>
      </c>
      <c r="CK3685">
        <v>23</v>
      </c>
      <c r="CL3685" t="s">
        <v>89</v>
      </c>
    </row>
    <row r="3686" spans="1:90">
      <c r="A3686" t="s">
        <v>72</v>
      </c>
      <c r="B3686" t="s">
        <v>73</v>
      </c>
      <c r="C3686" t="s">
        <v>74</v>
      </c>
      <c r="E3686" t="str">
        <f>"FES1162725894"</f>
        <v>FES1162725894</v>
      </c>
      <c r="F3686" s="3">
        <v>43797</v>
      </c>
      <c r="G3686">
        <v>202005</v>
      </c>
      <c r="H3686" t="s">
        <v>75</v>
      </c>
      <c r="I3686" t="s">
        <v>76</v>
      </c>
      <c r="J3686" t="s">
        <v>77</v>
      </c>
      <c r="K3686" t="s">
        <v>78</v>
      </c>
      <c r="L3686" t="s">
        <v>90</v>
      </c>
      <c r="M3686" t="s">
        <v>91</v>
      </c>
      <c r="N3686" t="s">
        <v>3238</v>
      </c>
      <c r="O3686" t="s">
        <v>82</v>
      </c>
      <c r="P3686" t="str">
        <f>"2170719190                    "</f>
        <v xml:space="preserve">2170719190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8.58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 s="4">
        <v>50.45</v>
      </c>
      <c r="BM3686" s="4">
        <v>7.57</v>
      </c>
      <c r="BN3686" s="4">
        <v>58.02</v>
      </c>
      <c r="BO3686" s="4">
        <v>58.02</v>
      </c>
      <c r="BQ3686" t="s">
        <v>109</v>
      </c>
      <c r="BR3686" t="s">
        <v>84</v>
      </c>
      <c r="BS3686" s="3">
        <v>43798</v>
      </c>
      <c r="BT3686" s="5">
        <v>0.31666666666666665</v>
      </c>
      <c r="BU3686" t="s">
        <v>3355</v>
      </c>
      <c r="BV3686" t="s">
        <v>86</v>
      </c>
      <c r="BY3686">
        <v>1200</v>
      </c>
      <c r="CA3686" t="s">
        <v>140</v>
      </c>
      <c r="CC3686" t="s">
        <v>91</v>
      </c>
      <c r="CD3686">
        <v>7530</v>
      </c>
      <c r="CE3686" t="s">
        <v>147</v>
      </c>
      <c r="CI3686">
        <v>1</v>
      </c>
      <c r="CJ3686">
        <v>1</v>
      </c>
      <c r="CK3686">
        <v>21</v>
      </c>
      <c r="CL3686" t="s">
        <v>89</v>
      </c>
    </row>
    <row r="3687" spans="1:90">
      <c r="A3687" t="s">
        <v>72</v>
      </c>
      <c r="B3687" t="s">
        <v>73</v>
      </c>
      <c r="C3687" t="s">
        <v>74</v>
      </c>
      <c r="E3687" t="str">
        <f>"FES1162725552"</f>
        <v>FES1162725552</v>
      </c>
      <c r="F3687" s="3">
        <v>43797</v>
      </c>
      <c r="G3687">
        <v>202005</v>
      </c>
      <c r="H3687" t="s">
        <v>75</v>
      </c>
      <c r="I3687" t="s">
        <v>76</v>
      </c>
      <c r="J3687" t="s">
        <v>77</v>
      </c>
      <c r="K3687" t="s">
        <v>78</v>
      </c>
      <c r="L3687" t="s">
        <v>106</v>
      </c>
      <c r="M3687" t="s">
        <v>107</v>
      </c>
      <c r="N3687" t="s">
        <v>700</v>
      </c>
      <c r="O3687" t="s">
        <v>82</v>
      </c>
      <c r="P3687" t="str">
        <f>"2170717466                    "</f>
        <v xml:space="preserve">2170717466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12.87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2.2999999999999998</v>
      </c>
      <c r="BJ3687">
        <v>3</v>
      </c>
      <c r="BK3687">
        <v>3</v>
      </c>
      <c r="BL3687" s="4">
        <v>75.66</v>
      </c>
      <c r="BM3687" s="4">
        <v>11.35</v>
      </c>
      <c r="BN3687" s="4">
        <v>87.01</v>
      </c>
      <c r="BO3687" s="4">
        <v>87.01</v>
      </c>
      <c r="BQ3687" t="s">
        <v>109</v>
      </c>
      <c r="BR3687" t="s">
        <v>84</v>
      </c>
      <c r="BS3687" s="3">
        <v>43798</v>
      </c>
      <c r="BT3687" s="5">
        <v>0.36805555555555558</v>
      </c>
      <c r="BU3687" t="s">
        <v>3356</v>
      </c>
      <c r="BV3687" t="s">
        <v>86</v>
      </c>
      <c r="BY3687">
        <v>14797.66</v>
      </c>
      <c r="CA3687" t="s">
        <v>773</v>
      </c>
      <c r="CC3687" t="s">
        <v>107</v>
      </c>
      <c r="CD3687">
        <v>6001</v>
      </c>
      <c r="CE3687" t="s">
        <v>88</v>
      </c>
      <c r="CI3687">
        <v>1</v>
      </c>
      <c r="CJ3687">
        <v>1</v>
      </c>
      <c r="CK3687">
        <v>21</v>
      </c>
      <c r="CL3687" t="s">
        <v>89</v>
      </c>
    </row>
    <row r="3688" spans="1:90">
      <c r="A3688" t="s">
        <v>72</v>
      </c>
      <c r="B3688" t="s">
        <v>73</v>
      </c>
      <c r="C3688" t="s">
        <v>74</v>
      </c>
      <c r="E3688" t="str">
        <f>"FES1162725943"</f>
        <v>FES1162725943</v>
      </c>
      <c r="F3688" s="3">
        <v>43797</v>
      </c>
      <c r="G3688">
        <v>202005</v>
      </c>
      <c r="H3688" t="s">
        <v>75</v>
      </c>
      <c r="I3688" t="s">
        <v>76</v>
      </c>
      <c r="J3688" t="s">
        <v>77</v>
      </c>
      <c r="K3688" t="s">
        <v>78</v>
      </c>
      <c r="L3688" t="s">
        <v>112</v>
      </c>
      <c r="M3688" t="s">
        <v>113</v>
      </c>
      <c r="N3688" t="s">
        <v>620</v>
      </c>
      <c r="O3688" t="s">
        <v>82</v>
      </c>
      <c r="P3688" t="str">
        <f>"2170717371                    "</f>
        <v xml:space="preserve">2170717371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8.58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2</v>
      </c>
      <c r="BJ3688">
        <v>1.8</v>
      </c>
      <c r="BK3688">
        <v>2</v>
      </c>
      <c r="BL3688" s="4">
        <v>50.45</v>
      </c>
      <c r="BM3688" s="4">
        <v>7.57</v>
      </c>
      <c r="BN3688" s="4">
        <v>58.02</v>
      </c>
      <c r="BO3688" s="4">
        <v>58.02</v>
      </c>
      <c r="BQ3688" t="s">
        <v>109</v>
      </c>
      <c r="BR3688" t="s">
        <v>84</v>
      </c>
      <c r="BS3688" s="3">
        <v>43798</v>
      </c>
      <c r="BT3688" s="5">
        <v>0.4284722222222222</v>
      </c>
      <c r="BU3688" t="s">
        <v>3324</v>
      </c>
      <c r="BV3688" t="s">
        <v>86</v>
      </c>
      <c r="BY3688">
        <v>9034.2000000000007</v>
      </c>
      <c r="CA3688" t="s">
        <v>448</v>
      </c>
      <c r="CC3688" t="s">
        <v>113</v>
      </c>
      <c r="CD3688">
        <v>4302</v>
      </c>
      <c r="CE3688" t="s">
        <v>1598</v>
      </c>
      <c r="CI3688">
        <v>1</v>
      </c>
      <c r="CJ3688">
        <v>1</v>
      </c>
      <c r="CK3688">
        <v>21</v>
      </c>
      <c r="CL3688" t="s">
        <v>89</v>
      </c>
    </row>
    <row r="3689" spans="1:90">
      <c r="A3689" t="s">
        <v>72</v>
      </c>
      <c r="B3689" t="s">
        <v>73</v>
      </c>
      <c r="C3689" t="s">
        <v>74</v>
      </c>
      <c r="E3689" t="str">
        <f>"FES1162725575"</f>
        <v>FES1162725575</v>
      </c>
      <c r="F3689" s="3">
        <v>43797</v>
      </c>
      <c r="G3689">
        <v>202005</v>
      </c>
      <c r="H3689" t="s">
        <v>75</v>
      </c>
      <c r="I3689" t="s">
        <v>76</v>
      </c>
      <c r="J3689" t="s">
        <v>77</v>
      </c>
      <c r="K3689" t="s">
        <v>78</v>
      </c>
      <c r="L3689" t="s">
        <v>522</v>
      </c>
      <c r="M3689" t="s">
        <v>523</v>
      </c>
      <c r="N3689" t="s">
        <v>1535</v>
      </c>
      <c r="O3689" t="s">
        <v>82</v>
      </c>
      <c r="P3689" t="str">
        <f>"2170717679                    "</f>
        <v xml:space="preserve">2170717679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16.63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1.6</v>
      </c>
      <c r="BJ3689">
        <v>0.8</v>
      </c>
      <c r="BK3689">
        <v>2</v>
      </c>
      <c r="BL3689" s="4">
        <v>97.75</v>
      </c>
      <c r="BM3689" s="4">
        <v>14.66</v>
      </c>
      <c r="BN3689" s="4">
        <v>112.41</v>
      </c>
      <c r="BO3689" s="4">
        <v>112.41</v>
      </c>
      <c r="BQ3689" t="s">
        <v>1536</v>
      </c>
      <c r="BR3689" t="s">
        <v>84</v>
      </c>
      <c r="BS3689" t="s">
        <v>201</v>
      </c>
      <c r="BW3689" t="s">
        <v>2735</v>
      </c>
      <c r="BX3689" t="s">
        <v>2576</v>
      </c>
      <c r="BY3689">
        <v>4099.4399999999996</v>
      </c>
      <c r="CC3689" t="s">
        <v>523</v>
      </c>
      <c r="CD3689">
        <v>1911</v>
      </c>
      <c r="CE3689" t="s">
        <v>1598</v>
      </c>
      <c r="CI3689">
        <v>1</v>
      </c>
      <c r="CJ3689" t="s">
        <v>201</v>
      </c>
      <c r="CK3689">
        <v>23</v>
      </c>
      <c r="CL3689" t="s">
        <v>89</v>
      </c>
    </row>
    <row r="3690" spans="1:90">
      <c r="A3690" t="s">
        <v>72</v>
      </c>
      <c r="B3690" t="s">
        <v>73</v>
      </c>
      <c r="C3690" t="s">
        <v>74</v>
      </c>
      <c r="E3690" t="str">
        <f>"FES1162725942"</f>
        <v>FES1162725942</v>
      </c>
      <c r="F3690" s="3">
        <v>43797</v>
      </c>
      <c r="G3690">
        <v>202005</v>
      </c>
      <c r="H3690" t="s">
        <v>75</v>
      </c>
      <c r="I3690" t="s">
        <v>76</v>
      </c>
      <c r="J3690" t="s">
        <v>77</v>
      </c>
      <c r="K3690" t="s">
        <v>78</v>
      </c>
      <c r="L3690" t="s">
        <v>112</v>
      </c>
      <c r="M3690" t="s">
        <v>113</v>
      </c>
      <c r="N3690" t="s">
        <v>620</v>
      </c>
      <c r="O3690" t="s">
        <v>82</v>
      </c>
      <c r="P3690" t="str">
        <f>"2170717350                    "</f>
        <v xml:space="preserve">2170717350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15.02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3.4</v>
      </c>
      <c r="BJ3690">
        <v>1.7</v>
      </c>
      <c r="BK3690">
        <v>3.5</v>
      </c>
      <c r="BL3690" s="4">
        <v>88.27</v>
      </c>
      <c r="BM3690" s="4">
        <v>13.24</v>
      </c>
      <c r="BN3690" s="4">
        <v>101.51</v>
      </c>
      <c r="BO3690" s="4">
        <v>101.51</v>
      </c>
      <c r="BQ3690" t="s">
        <v>109</v>
      </c>
      <c r="BR3690" t="s">
        <v>84</v>
      </c>
      <c r="BS3690" s="3">
        <v>43798</v>
      </c>
      <c r="BT3690" s="5">
        <v>0.4284722222222222</v>
      </c>
      <c r="BU3690" t="s">
        <v>3324</v>
      </c>
      <c r="BV3690" t="s">
        <v>86</v>
      </c>
      <c r="BY3690">
        <v>8694.6299999999992</v>
      </c>
      <c r="CA3690" t="s">
        <v>448</v>
      </c>
      <c r="CC3690" t="s">
        <v>113</v>
      </c>
      <c r="CD3690">
        <v>4302</v>
      </c>
      <c r="CE3690" t="s">
        <v>1598</v>
      </c>
      <c r="CI3690">
        <v>1</v>
      </c>
      <c r="CJ3690">
        <v>1</v>
      </c>
      <c r="CK3690">
        <v>21</v>
      </c>
      <c r="CL3690" t="s">
        <v>89</v>
      </c>
    </row>
    <row r="3691" spans="1:90">
      <c r="A3691" t="s">
        <v>72</v>
      </c>
      <c r="B3691" t="s">
        <v>73</v>
      </c>
      <c r="C3691" t="s">
        <v>74</v>
      </c>
      <c r="E3691" t="str">
        <f>"FES1162725676"</f>
        <v>FES1162725676</v>
      </c>
      <c r="F3691" s="3">
        <v>43797</v>
      </c>
      <c r="G3691">
        <v>202005</v>
      </c>
      <c r="H3691" t="s">
        <v>75</v>
      </c>
      <c r="I3691" t="s">
        <v>76</v>
      </c>
      <c r="J3691" t="s">
        <v>77</v>
      </c>
      <c r="K3691" t="s">
        <v>78</v>
      </c>
      <c r="L3691" t="s">
        <v>349</v>
      </c>
      <c r="M3691" t="s">
        <v>350</v>
      </c>
      <c r="N3691" t="s">
        <v>351</v>
      </c>
      <c r="O3691" t="s">
        <v>82</v>
      </c>
      <c r="P3691" t="str">
        <f>"2170719322                    "</f>
        <v xml:space="preserve">2170719322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8.58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 s="4">
        <v>50.45</v>
      </c>
      <c r="BM3691" s="4">
        <v>7.57</v>
      </c>
      <c r="BN3691" s="4">
        <v>58.02</v>
      </c>
      <c r="BO3691" s="4">
        <v>58.02</v>
      </c>
      <c r="BQ3691" t="s">
        <v>109</v>
      </c>
      <c r="BR3691" t="s">
        <v>84</v>
      </c>
      <c r="BS3691" s="3">
        <v>43798</v>
      </c>
      <c r="BT3691" s="5">
        <v>0.42777777777777781</v>
      </c>
      <c r="BU3691" t="s">
        <v>2526</v>
      </c>
      <c r="BV3691" t="s">
        <v>86</v>
      </c>
      <c r="BY3691">
        <v>1200</v>
      </c>
      <c r="CA3691" t="s">
        <v>123</v>
      </c>
      <c r="CC3691" t="s">
        <v>350</v>
      </c>
      <c r="CD3691">
        <v>6536</v>
      </c>
      <c r="CE3691" t="s">
        <v>147</v>
      </c>
      <c r="CI3691">
        <v>1</v>
      </c>
      <c r="CJ3691">
        <v>1</v>
      </c>
      <c r="CK3691">
        <v>21</v>
      </c>
      <c r="CL3691" t="s">
        <v>89</v>
      </c>
    </row>
    <row r="3692" spans="1:90">
      <c r="A3692" t="s">
        <v>72</v>
      </c>
      <c r="B3692" t="s">
        <v>73</v>
      </c>
      <c r="C3692" t="s">
        <v>74</v>
      </c>
      <c r="E3692" t="str">
        <f>"FES1162725819"</f>
        <v>FES1162725819</v>
      </c>
      <c r="F3692" s="3">
        <v>43797</v>
      </c>
      <c r="G3692">
        <v>202005</v>
      </c>
      <c r="H3692" t="s">
        <v>75</v>
      </c>
      <c r="I3692" t="s">
        <v>76</v>
      </c>
      <c r="J3692" t="s">
        <v>77</v>
      </c>
      <c r="K3692" t="s">
        <v>78</v>
      </c>
      <c r="L3692" t="s">
        <v>90</v>
      </c>
      <c r="M3692" t="s">
        <v>91</v>
      </c>
      <c r="N3692" t="s">
        <v>1825</v>
      </c>
      <c r="O3692" t="s">
        <v>82</v>
      </c>
      <c r="P3692" t="str">
        <f>"2170719390                    "</f>
        <v xml:space="preserve">2170719390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8.58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 s="4">
        <v>50.45</v>
      </c>
      <c r="BM3692" s="4">
        <v>7.57</v>
      </c>
      <c r="BN3692" s="4">
        <v>58.02</v>
      </c>
      <c r="BO3692" s="4">
        <v>58.02</v>
      </c>
      <c r="BQ3692" t="s">
        <v>121</v>
      </c>
      <c r="BR3692" t="s">
        <v>84</v>
      </c>
      <c r="BS3692" s="3">
        <v>43798</v>
      </c>
      <c r="BT3692" s="5">
        <v>0.40208333333333335</v>
      </c>
      <c r="BU3692" t="s">
        <v>3357</v>
      </c>
      <c r="BV3692" t="s">
        <v>86</v>
      </c>
      <c r="BY3692">
        <v>1200</v>
      </c>
      <c r="CA3692" t="s">
        <v>323</v>
      </c>
      <c r="CC3692" t="s">
        <v>91</v>
      </c>
      <c r="CD3692">
        <v>7460</v>
      </c>
      <c r="CE3692" t="s">
        <v>147</v>
      </c>
      <c r="CI3692">
        <v>1</v>
      </c>
      <c r="CJ3692">
        <v>1</v>
      </c>
      <c r="CK3692">
        <v>21</v>
      </c>
      <c r="CL3692" t="s">
        <v>89</v>
      </c>
    </row>
    <row r="3693" spans="1:90">
      <c r="A3693" t="s">
        <v>72</v>
      </c>
      <c r="B3693" t="s">
        <v>73</v>
      </c>
      <c r="C3693" t="s">
        <v>74</v>
      </c>
      <c r="E3693" t="str">
        <f>"FES1162725814"</f>
        <v>FES1162725814</v>
      </c>
      <c r="F3693" s="3">
        <v>43797</v>
      </c>
      <c r="G3693">
        <v>202005</v>
      </c>
      <c r="H3693" t="s">
        <v>75</v>
      </c>
      <c r="I3693" t="s">
        <v>76</v>
      </c>
      <c r="J3693" t="s">
        <v>77</v>
      </c>
      <c r="K3693" t="s">
        <v>78</v>
      </c>
      <c r="L3693" t="s">
        <v>176</v>
      </c>
      <c r="M3693" t="s">
        <v>177</v>
      </c>
      <c r="N3693" t="s">
        <v>947</v>
      </c>
      <c r="O3693" t="s">
        <v>82</v>
      </c>
      <c r="P3693" t="str">
        <f>"2170719384                    "</f>
        <v xml:space="preserve">2170719384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10.73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2.5</v>
      </c>
      <c r="BJ3693">
        <v>1.7</v>
      </c>
      <c r="BK3693">
        <v>2.5</v>
      </c>
      <c r="BL3693" s="4">
        <v>63.06</v>
      </c>
      <c r="BM3693" s="4">
        <v>9.4600000000000009</v>
      </c>
      <c r="BN3693" s="4">
        <v>72.52</v>
      </c>
      <c r="BO3693" s="4">
        <v>72.52</v>
      </c>
      <c r="BQ3693" t="s">
        <v>121</v>
      </c>
      <c r="BR3693" t="s">
        <v>84</v>
      </c>
      <c r="BS3693" s="3">
        <v>43798</v>
      </c>
      <c r="BT3693" s="5">
        <v>0.39930555555555558</v>
      </c>
      <c r="BU3693" t="s">
        <v>948</v>
      </c>
      <c r="BV3693" t="s">
        <v>86</v>
      </c>
      <c r="BY3693">
        <v>8741.4500000000007</v>
      </c>
      <c r="CA3693" t="s">
        <v>180</v>
      </c>
      <c r="CC3693" t="s">
        <v>177</v>
      </c>
      <c r="CD3693">
        <v>3610</v>
      </c>
      <c r="CE3693" t="s">
        <v>88</v>
      </c>
      <c r="CI3693">
        <v>1</v>
      </c>
      <c r="CJ3693">
        <v>1</v>
      </c>
      <c r="CK3693">
        <v>21</v>
      </c>
      <c r="CL3693" t="s">
        <v>89</v>
      </c>
    </row>
    <row r="3694" spans="1:90">
      <c r="A3694" t="s">
        <v>72</v>
      </c>
      <c r="B3694" t="s">
        <v>73</v>
      </c>
      <c r="C3694" t="s">
        <v>74</v>
      </c>
      <c r="E3694" t="str">
        <f>"FES1162725603"</f>
        <v>FES1162725603</v>
      </c>
      <c r="F3694" s="3">
        <v>43797</v>
      </c>
      <c r="G3694">
        <v>202005</v>
      </c>
      <c r="H3694" t="s">
        <v>75</v>
      </c>
      <c r="I3694" t="s">
        <v>76</v>
      </c>
      <c r="J3694" t="s">
        <v>77</v>
      </c>
      <c r="K3694" t="s">
        <v>78</v>
      </c>
      <c r="L3694" t="s">
        <v>101</v>
      </c>
      <c r="M3694" t="s">
        <v>102</v>
      </c>
      <c r="N3694" t="s">
        <v>3358</v>
      </c>
      <c r="O3694" t="s">
        <v>82</v>
      </c>
      <c r="P3694" t="str">
        <f>"2170717860                    "</f>
        <v xml:space="preserve">2170717860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15.02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3.4</v>
      </c>
      <c r="BJ3694">
        <v>3.5</v>
      </c>
      <c r="BK3694">
        <v>3.5</v>
      </c>
      <c r="BL3694" s="4">
        <v>88.27</v>
      </c>
      <c r="BM3694" s="4">
        <v>13.24</v>
      </c>
      <c r="BN3694" s="4">
        <v>101.51</v>
      </c>
      <c r="BO3694" s="4">
        <v>101.51</v>
      </c>
      <c r="BR3694" t="s">
        <v>84</v>
      </c>
      <c r="BS3694" t="s">
        <v>201</v>
      </c>
      <c r="BY3694">
        <v>17573.8</v>
      </c>
      <c r="CC3694" t="s">
        <v>102</v>
      </c>
      <c r="CD3694">
        <v>1</v>
      </c>
      <c r="CE3694" t="s">
        <v>88</v>
      </c>
      <c r="CI3694">
        <v>1</v>
      </c>
      <c r="CJ3694" t="s">
        <v>201</v>
      </c>
      <c r="CK3694">
        <v>21</v>
      </c>
      <c r="CL3694" t="s">
        <v>89</v>
      </c>
    </row>
    <row r="3695" spans="1:90">
      <c r="A3695" t="s">
        <v>72</v>
      </c>
      <c r="B3695" t="s">
        <v>73</v>
      </c>
      <c r="C3695" t="s">
        <v>74</v>
      </c>
      <c r="E3695" t="str">
        <f>"FES1162725740"</f>
        <v>FES1162725740</v>
      </c>
      <c r="F3695" s="3">
        <v>43797</v>
      </c>
      <c r="G3695">
        <v>202005</v>
      </c>
      <c r="H3695" t="s">
        <v>75</v>
      </c>
      <c r="I3695" t="s">
        <v>76</v>
      </c>
      <c r="J3695" t="s">
        <v>77</v>
      </c>
      <c r="K3695" t="s">
        <v>78</v>
      </c>
      <c r="L3695" t="s">
        <v>112</v>
      </c>
      <c r="M3695" t="s">
        <v>113</v>
      </c>
      <c r="N3695" t="s">
        <v>620</v>
      </c>
      <c r="O3695" t="s">
        <v>82</v>
      </c>
      <c r="P3695" t="str">
        <f>"2170717350                    "</f>
        <v xml:space="preserve">2170717350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8.58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0.5</v>
      </c>
      <c r="BJ3695">
        <v>1.2</v>
      </c>
      <c r="BK3695">
        <v>1.5</v>
      </c>
      <c r="BL3695" s="4">
        <v>50.45</v>
      </c>
      <c r="BM3695" s="4">
        <v>7.57</v>
      </c>
      <c r="BN3695" s="4">
        <v>58.02</v>
      </c>
      <c r="BO3695" s="4">
        <v>58.02</v>
      </c>
      <c r="BQ3695" t="s">
        <v>109</v>
      </c>
      <c r="BR3695" t="s">
        <v>84</v>
      </c>
      <c r="BS3695" s="3">
        <v>43798</v>
      </c>
      <c r="BT3695" s="5">
        <v>0.4284722222222222</v>
      </c>
      <c r="BU3695" t="s">
        <v>3324</v>
      </c>
      <c r="BV3695" t="s">
        <v>86</v>
      </c>
      <c r="BY3695">
        <v>6160.29</v>
      </c>
      <c r="CA3695" t="s">
        <v>448</v>
      </c>
      <c r="CC3695" t="s">
        <v>113</v>
      </c>
      <c r="CD3695">
        <v>4302</v>
      </c>
      <c r="CE3695" t="s">
        <v>88</v>
      </c>
      <c r="CI3695">
        <v>1</v>
      </c>
      <c r="CJ3695">
        <v>1</v>
      </c>
      <c r="CK3695">
        <v>21</v>
      </c>
      <c r="CL3695" t="s">
        <v>89</v>
      </c>
    </row>
    <row r="3696" spans="1:90">
      <c r="A3696" t="s">
        <v>72</v>
      </c>
      <c r="B3696" t="s">
        <v>73</v>
      </c>
      <c r="C3696" t="s">
        <v>74</v>
      </c>
      <c r="E3696" t="str">
        <f>"FES1162725735"</f>
        <v>FES1162725735</v>
      </c>
      <c r="F3696" s="3">
        <v>43797</v>
      </c>
      <c r="G3696">
        <v>202005</v>
      </c>
      <c r="H3696" t="s">
        <v>75</v>
      </c>
      <c r="I3696" t="s">
        <v>76</v>
      </c>
      <c r="J3696" t="s">
        <v>77</v>
      </c>
      <c r="K3696" t="s">
        <v>78</v>
      </c>
      <c r="L3696" t="s">
        <v>118</v>
      </c>
      <c r="M3696" t="s">
        <v>119</v>
      </c>
      <c r="N3696" t="s">
        <v>439</v>
      </c>
      <c r="O3696" t="s">
        <v>82</v>
      </c>
      <c r="P3696" t="str">
        <f>"217071295                     "</f>
        <v xml:space="preserve">217071295 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21.45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2.9</v>
      </c>
      <c r="BJ3696">
        <v>4.7</v>
      </c>
      <c r="BK3696">
        <v>5</v>
      </c>
      <c r="BL3696" s="4">
        <v>126.08</v>
      </c>
      <c r="BM3696" s="4">
        <v>18.91</v>
      </c>
      <c r="BN3696" s="4">
        <v>144.99</v>
      </c>
      <c r="BO3696" s="4">
        <v>144.99</v>
      </c>
      <c r="BQ3696" t="s">
        <v>121</v>
      </c>
      <c r="BR3696" t="s">
        <v>84</v>
      </c>
      <c r="BS3696" s="3">
        <v>43798</v>
      </c>
      <c r="BT3696" s="5">
        <v>0.4375</v>
      </c>
      <c r="BU3696" t="s">
        <v>3359</v>
      </c>
      <c r="BV3696" t="s">
        <v>86</v>
      </c>
      <c r="BY3696">
        <v>23692.03</v>
      </c>
      <c r="CA3696" t="s">
        <v>132</v>
      </c>
      <c r="CC3696" t="s">
        <v>119</v>
      </c>
      <c r="CD3696">
        <v>3201</v>
      </c>
      <c r="CE3696" t="s">
        <v>1598</v>
      </c>
      <c r="CI3696">
        <v>1</v>
      </c>
      <c r="CJ3696">
        <v>1</v>
      </c>
      <c r="CK3696">
        <v>21</v>
      </c>
      <c r="CL3696" t="s">
        <v>89</v>
      </c>
    </row>
    <row r="3697" spans="1:90">
      <c r="A3697" t="s">
        <v>72</v>
      </c>
      <c r="B3697" t="s">
        <v>73</v>
      </c>
      <c r="C3697" t="s">
        <v>74</v>
      </c>
      <c r="E3697" t="str">
        <f>"FES1162725765"</f>
        <v>FES1162725765</v>
      </c>
      <c r="F3697" s="3">
        <v>43797</v>
      </c>
      <c r="G3697">
        <v>202005</v>
      </c>
      <c r="H3697" t="s">
        <v>75</v>
      </c>
      <c r="I3697" t="s">
        <v>76</v>
      </c>
      <c r="J3697" t="s">
        <v>77</v>
      </c>
      <c r="K3697" t="s">
        <v>78</v>
      </c>
      <c r="L3697" t="s">
        <v>214</v>
      </c>
      <c r="M3697" t="s">
        <v>214</v>
      </c>
      <c r="N3697" t="s">
        <v>314</v>
      </c>
      <c r="O3697" t="s">
        <v>82</v>
      </c>
      <c r="P3697" t="str">
        <f>"2170718582                    "</f>
        <v xml:space="preserve">2170718582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16.63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 s="4">
        <v>97.75</v>
      </c>
      <c r="BM3697" s="4">
        <v>14.66</v>
      </c>
      <c r="BN3697" s="4">
        <v>112.41</v>
      </c>
      <c r="BO3697" s="4">
        <v>112.41</v>
      </c>
      <c r="BQ3697" t="s">
        <v>109</v>
      </c>
      <c r="BR3697" t="s">
        <v>84</v>
      </c>
      <c r="BS3697" s="3">
        <v>43798</v>
      </c>
      <c r="BT3697" s="5">
        <v>0.49305555555555558</v>
      </c>
      <c r="BU3697" t="s">
        <v>3112</v>
      </c>
      <c r="BV3697" t="s">
        <v>86</v>
      </c>
      <c r="BY3697">
        <v>1200</v>
      </c>
      <c r="CA3697" t="s">
        <v>1643</v>
      </c>
      <c r="CC3697" t="s">
        <v>214</v>
      </c>
      <c r="CD3697">
        <v>7646</v>
      </c>
      <c r="CE3697" t="s">
        <v>147</v>
      </c>
      <c r="CI3697">
        <v>1</v>
      </c>
      <c r="CJ3697">
        <v>1</v>
      </c>
      <c r="CK3697">
        <v>23</v>
      </c>
      <c r="CL3697" t="s">
        <v>89</v>
      </c>
    </row>
    <row r="3698" spans="1:90">
      <c r="A3698" t="s">
        <v>72</v>
      </c>
      <c r="B3698" t="s">
        <v>73</v>
      </c>
      <c r="C3698" t="s">
        <v>74</v>
      </c>
      <c r="E3698" t="str">
        <f>"FES1162725926"</f>
        <v>FES1162725926</v>
      </c>
      <c r="F3698" s="3">
        <v>43797</v>
      </c>
      <c r="G3698">
        <v>202005</v>
      </c>
      <c r="H3698" t="s">
        <v>75</v>
      </c>
      <c r="I3698" t="s">
        <v>76</v>
      </c>
      <c r="J3698" t="s">
        <v>77</v>
      </c>
      <c r="K3698" t="s">
        <v>78</v>
      </c>
      <c r="L3698" t="s">
        <v>90</v>
      </c>
      <c r="M3698" t="s">
        <v>91</v>
      </c>
      <c r="N3698" t="s">
        <v>527</v>
      </c>
      <c r="O3698" t="s">
        <v>82</v>
      </c>
      <c r="P3698" t="str">
        <f>"2170719466                    "</f>
        <v xml:space="preserve">2170719466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8.58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0.2</v>
      </c>
      <c r="BJ3698">
        <v>1.8</v>
      </c>
      <c r="BK3698">
        <v>2</v>
      </c>
      <c r="BL3698" s="4">
        <v>50.45</v>
      </c>
      <c r="BM3698" s="4">
        <v>7.57</v>
      </c>
      <c r="BN3698" s="4">
        <v>58.02</v>
      </c>
      <c r="BO3698" s="4">
        <v>58.02</v>
      </c>
      <c r="BQ3698" t="s">
        <v>109</v>
      </c>
      <c r="BR3698" t="s">
        <v>84</v>
      </c>
      <c r="BS3698" s="3">
        <v>43798</v>
      </c>
      <c r="BT3698" s="5">
        <v>0.33263888888888887</v>
      </c>
      <c r="BU3698" t="s">
        <v>3360</v>
      </c>
      <c r="BV3698" t="s">
        <v>86</v>
      </c>
      <c r="BY3698">
        <v>8850.93</v>
      </c>
      <c r="CA3698" t="s">
        <v>1942</v>
      </c>
      <c r="CC3698" t="s">
        <v>91</v>
      </c>
      <c r="CD3698">
        <v>7405</v>
      </c>
      <c r="CE3698" t="s">
        <v>88</v>
      </c>
      <c r="CI3698">
        <v>1</v>
      </c>
      <c r="CJ3698">
        <v>1</v>
      </c>
      <c r="CK3698">
        <v>21</v>
      </c>
      <c r="CL3698" t="s">
        <v>89</v>
      </c>
    </row>
    <row r="3699" spans="1:90">
      <c r="A3699" t="s">
        <v>72</v>
      </c>
      <c r="B3699" t="s">
        <v>73</v>
      </c>
      <c r="C3699" t="s">
        <v>74</v>
      </c>
      <c r="E3699" t="str">
        <f>"FES1162725640"</f>
        <v>FES1162725640</v>
      </c>
      <c r="F3699" s="3">
        <v>43797</v>
      </c>
      <c r="G3699">
        <v>202005</v>
      </c>
      <c r="H3699" t="s">
        <v>75</v>
      </c>
      <c r="I3699" t="s">
        <v>76</v>
      </c>
      <c r="J3699" t="s">
        <v>77</v>
      </c>
      <c r="K3699" t="s">
        <v>78</v>
      </c>
      <c r="L3699" t="s">
        <v>214</v>
      </c>
      <c r="M3699" t="s">
        <v>214</v>
      </c>
      <c r="N3699" t="s">
        <v>314</v>
      </c>
      <c r="O3699" t="s">
        <v>82</v>
      </c>
      <c r="P3699" t="str">
        <f>"2170713110                    "</f>
        <v xml:space="preserve">2170713110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144.32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18.899999999999999</v>
      </c>
      <c r="BJ3699">
        <v>11.6</v>
      </c>
      <c r="BK3699">
        <v>19</v>
      </c>
      <c r="BL3699" s="4">
        <v>848.32</v>
      </c>
      <c r="BM3699" s="4">
        <v>127.25</v>
      </c>
      <c r="BN3699" s="4">
        <v>975.57</v>
      </c>
      <c r="BO3699" s="4">
        <v>975.57</v>
      </c>
      <c r="BQ3699" t="s">
        <v>109</v>
      </c>
      <c r="BR3699" t="s">
        <v>84</v>
      </c>
      <c r="BS3699" s="3">
        <v>43798</v>
      </c>
      <c r="BT3699" s="5">
        <v>0.49305555555555558</v>
      </c>
      <c r="BU3699" t="s">
        <v>3112</v>
      </c>
      <c r="BV3699" t="s">
        <v>86</v>
      </c>
      <c r="BY3699">
        <v>57799.47</v>
      </c>
      <c r="CA3699" t="s">
        <v>1643</v>
      </c>
      <c r="CC3699" t="s">
        <v>214</v>
      </c>
      <c r="CD3699">
        <v>7646</v>
      </c>
      <c r="CE3699" t="s">
        <v>88</v>
      </c>
      <c r="CI3699">
        <v>1</v>
      </c>
      <c r="CJ3699">
        <v>1</v>
      </c>
      <c r="CK3699">
        <v>23</v>
      </c>
      <c r="CL3699" t="s">
        <v>89</v>
      </c>
    </row>
    <row r="3700" spans="1:90">
      <c r="A3700" t="s">
        <v>72</v>
      </c>
      <c r="B3700" t="s">
        <v>73</v>
      </c>
      <c r="C3700" t="s">
        <v>74</v>
      </c>
      <c r="E3700" t="str">
        <f>"FES1162725886"</f>
        <v>FES1162725886</v>
      </c>
      <c r="F3700" s="3">
        <v>43797</v>
      </c>
      <c r="G3700">
        <v>202005</v>
      </c>
      <c r="H3700" t="s">
        <v>75</v>
      </c>
      <c r="I3700" t="s">
        <v>76</v>
      </c>
      <c r="J3700" t="s">
        <v>77</v>
      </c>
      <c r="K3700" t="s">
        <v>78</v>
      </c>
      <c r="L3700" t="s">
        <v>90</v>
      </c>
      <c r="M3700" t="s">
        <v>91</v>
      </c>
      <c r="N3700" t="s">
        <v>1419</v>
      </c>
      <c r="O3700" t="s">
        <v>82</v>
      </c>
      <c r="P3700" t="str">
        <f>"2170717120                    "</f>
        <v xml:space="preserve">2170717120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8.58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 s="4">
        <v>50.45</v>
      </c>
      <c r="BM3700" s="4">
        <v>7.57</v>
      </c>
      <c r="BN3700" s="4">
        <v>58.02</v>
      </c>
      <c r="BO3700" s="4">
        <v>58.02</v>
      </c>
      <c r="BQ3700" t="s">
        <v>109</v>
      </c>
      <c r="BR3700" t="s">
        <v>84</v>
      </c>
      <c r="BS3700" s="3">
        <v>43798</v>
      </c>
      <c r="BT3700" s="5">
        <v>0.50138888888888888</v>
      </c>
      <c r="BU3700" t="s">
        <v>3361</v>
      </c>
      <c r="BV3700" t="s">
        <v>86</v>
      </c>
      <c r="BY3700">
        <v>1200</v>
      </c>
      <c r="CA3700" t="s">
        <v>677</v>
      </c>
      <c r="CC3700" t="s">
        <v>91</v>
      </c>
      <c r="CD3700">
        <v>7945</v>
      </c>
      <c r="CE3700" t="s">
        <v>147</v>
      </c>
      <c r="CI3700">
        <v>1</v>
      </c>
      <c r="CJ3700">
        <v>1</v>
      </c>
      <c r="CK3700">
        <v>21</v>
      </c>
      <c r="CL3700" t="s">
        <v>89</v>
      </c>
    </row>
    <row r="3701" spans="1:90">
      <c r="A3701" t="s">
        <v>72</v>
      </c>
      <c r="B3701" t="s">
        <v>73</v>
      </c>
      <c r="C3701" t="s">
        <v>74</v>
      </c>
      <c r="E3701" t="str">
        <f>"FES1162725774"</f>
        <v>FES1162725774</v>
      </c>
      <c r="F3701" s="3">
        <v>43797</v>
      </c>
      <c r="G3701">
        <v>202005</v>
      </c>
      <c r="H3701" t="s">
        <v>75</v>
      </c>
      <c r="I3701" t="s">
        <v>76</v>
      </c>
      <c r="J3701" t="s">
        <v>77</v>
      </c>
      <c r="K3701" t="s">
        <v>78</v>
      </c>
      <c r="L3701" t="s">
        <v>112</v>
      </c>
      <c r="M3701" t="s">
        <v>113</v>
      </c>
      <c r="N3701" t="s">
        <v>1380</v>
      </c>
      <c r="O3701" t="s">
        <v>82</v>
      </c>
      <c r="P3701" t="str">
        <f>"2170718855                    "</f>
        <v xml:space="preserve">2170718855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124.38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11.5</v>
      </c>
      <c r="BJ3701">
        <v>28.8</v>
      </c>
      <c r="BK3701">
        <v>29</v>
      </c>
      <c r="BL3701" s="4">
        <v>731.09</v>
      </c>
      <c r="BM3701" s="4">
        <v>109.66</v>
      </c>
      <c r="BN3701" s="4">
        <v>840.75</v>
      </c>
      <c r="BO3701" s="4">
        <v>840.75</v>
      </c>
      <c r="BQ3701" t="s">
        <v>121</v>
      </c>
      <c r="BR3701" t="s">
        <v>84</v>
      </c>
      <c r="BS3701" t="s">
        <v>201</v>
      </c>
      <c r="BW3701" t="s">
        <v>956</v>
      </c>
      <c r="BX3701" t="s">
        <v>2576</v>
      </c>
      <c r="BY3701">
        <v>144195.71</v>
      </c>
      <c r="CC3701" t="s">
        <v>113</v>
      </c>
      <c r="CD3701">
        <v>4051</v>
      </c>
      <c r="CE3701" t="s">
        <v>88</v>
      </c>
      <c r="CI3701">
        <v>1</v>
      </c>
      <c r="CJ3701" t="s">
        <v>201</v>
      </c>
      <c r="CK3701">
        <v>21</v>
      </c>
      <c r="CL3701" t="s">
        <v>89</v>
      </c>
    </row>
    <row r="3702" spans="1:90">
      <c r="A3702" t="s">
        <v>72</v>
      </c>
      <c r="B3702" t="s">
        <v>73</v>
      </c>
      <c r="C3702" t="s">
        <v>74</v>
      </c>
      <c r="E3702" t="str">
        <f>"FES1162725946"</f>
        <v>FES1162725946</v>
      </c>
      <c r="F3702" s="3">
        <v>43797</v>
      </c>
      <c r="G3702">
        <v>202005</v>
      </c>
      <c r="H3702" t="s">
        <v>75</v>
      </c>
      <c r="I3702" t="s">
        <v>76</v>
      </c>
      <c r="J3702" t="s">
        <v>77</v>
      </c>
      <c r="K3702" t="s">
        <v>78</v>
      </c>
      <c r="L3702" t="s">
        <v>176</v>
      </c>
      <c r="M3702" t="s">
        <v>177</v>
      </c>
      <c r="N3702" t="s">
        <v>611</v>
      </c>
      <c r="O3702" t="s">
        <v>82</v>
      </c>
      <c r="P3702" t="str">
        <f>"2170715363                    "</f>
        <v xml:space="preserve">2170715363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8.58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0.9</v>
      </c>
      <c r="BJ3702">
        <v>1.6</v>
      </c>
      <c r="BK3702">
        <v>2</v>
      </c>
      <c r="BL3702" s="4">
        <v>50.45</v>
      </c>
      <c r="BM3702" s="4">
        <v>7.57</v>
      </c>
      <c r="BN3702" s="4">
        <v>58.02</v>
      </c>
      <c r="BO3702" s="4">
        <v>58.02</v>
      </c>
      <c r="BQ3702" t="s">
        <v>121</v>
      </c>
      <c r="BR3702" t="s">
        <v>84</v>
      </c>
      <c r="BS3702" s="3">
        <v>43798</v>
      </c>
      <c r="BT3702" s="5">
        <v>0.39513888888888887</v>
      </c>
      <c r="BU3702" t="s">
        <v>3362</v>
      </c>
      <c r="BV3702" t="s">
        <v>86</v>
      </c>
      <c r="BY3702">
        <v>8118.9</v>
      </c>
      <c r="CA3702" t="s">
        <v>224</v>
      </c>
      <c r="CC3702" t="s">
        <v>177</v>
      </c>
      <c r="CD3702">
        <v>3610</v>
      </c>
      <c r="CE3702" t="s">
        <v>88</v>
      </c>
      <c r="CI3702">
        <v>1</v>
      </c>
      <c r="CJ3702">
        <v>1</v>
      </c>
      <c r="CK3702">
        <v>21</v>
      </c>
      <c r="CL3702" t="s">
        <v>89</v>
      </c>
    </row>
    <row r="3703" spans="1:90">
      <c r="A3703" t="s">
        <v>72</v>
      </c>
      <c r="B3703" t="s">
        <v>73</v>
      </c>
      <c r="C3703" t="s">
        <v>74</v>
      </c>
      <c r="E3703" t="str">
        <f>"FES1162725771"</f>
        <v>FES1162725771</v>
      </c>
      <c r="F3703" s="3">
        <v>43797</v>
      </c>
      <c r="G3703">
        <v>202005</v>
      </c>
      <c r="H3703" t="s">
        <v>75</v>
      </c>
      <c r="I3703" t="s">
        <v>76</v>
      </c>
      <c r="J3703" t="s">
        <v>77</v>
      </c>
      <c r="K3703" t="s">
        <v>78</v>
      </c>
      <c r="L3703" t="s">
        <v>90</v>
      </c>
      <c r="M3703" t="s">
        <v>91</v>
      </c>
      <c r="N3703" t="s">
        <v>1617</v>
      </c>
      <c r="O3703" t="s">
        <v>82</v>
      </c>
      <c r="P3703" t="str">
        <f>"2170718764                    "</f>
        <v xml:space="preserve">2170718764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8.58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1.5</v>
      </c>
      <c r="BJ3703">
        <v>1.9</v>
      </c>
      <c r="BK3703">
        <v>2</v>
      </c>
      <c r="BL3703" s="4">
        <v>50.45</v>
      </c>
      <c r="BM3703" s="4">
        <v>7.57</v>
      </c>
      <c r="BN3703" s="4">
        <v>58.02</v>
      </c>
      <c r="BO3703" s="4">
        <v>58.02</v>
      </c>
      <c r="BQ3703" t="s">
        <v>187</v>
      </c>
      <c r="BR3703" t="s">
        <v>84</v>
      </c>
      <c r="BS3703" s="3">
        <v>43798</v>
      </c>
      <c r="BT3703" s="5">
        <v>0.43194444444444446</v>
      </c>
      <c r="BU3703" t="s">
        <v>1618</v>
      </c>
      <c r="BV3703" t="s">
        <v>86</v>
      </c>
      <c r="BY3703">
        <v>9373.8700000000008</v>
      </c>
      <c r="CA3703" t="s">
        <v>1309</v>
      </c>
      <c r="CC3703" t="s">
        <v>91</v>
      </c>
      <c r="CD3703">
        <v>7580</v>
      </c>
      <c r="CE3703" t="s">
        <v>1598</v>
      </c>
      <c r="CI3703">
        <v>1</v>
      </c>
      <c r="CJ3703">
        <v>1</v>
      </c>
      <c r="CK3703">
        <v>21</v>
      </c>
      <c r="CL3703" t="s">
        <v>89</v>
      </c>
    </row>
    <row r="3704" spans="1:90">
      <c r="A3704" t="s">
        <v>72</v>
      </c>
      <c r="B3704" t="s">
        <v>73</v>
      </c>
      <c r="C3704" t="s">
        <v>74</v>
      </c>
      <c r="E3704" t="str">
        <f>"FES1162725945"</f>
        <v>FES1162725945</v>
      </c>
      <c r="F3704" s="3">
        <v>43797</v>
      </c>
      <c r="G3704">
        <v>202005</v>
      </c>
      <c r="H3704" t="s">
        <v>75</v>
      </c>
      <c r="I3704" t="s">
        <v>76</v>
      </c>
      <c r="J3704" t="s">
        <v>77</v>
      </c>
      <c r="K3704" t="s">
        <v>78</v>
      </c>
      <c r="L3704" t="s">
        <v>90</v>
      </c>
      <c r="M3704" t="s">
        <v>91</v>
      </c>
      <c r="N3704" t="s">
        <v>3363</v>
      </c>
      <c r="O3704" t="s">
        <v>82</v>
      </c>
      <c r="P3704" t="str">
        <f>"217071868                     "</f>
        <v xml:space="preserve">217071868 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8.58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0.7</v>
      </c>
      <c r="BJ3704">
        <v>1</v>
      </c>
      <c r="BK3704">
        <v>1</v>
      </c>
      <c r="BL3704" s="4">
        <v>50.45</v>
      </c>
      <c r="BM3704" s="4">
        <v>7.57</v>
      </c>
      <c r="BN3704" s="4">
        <v>58.02</v>
      </c>
      <c r="BO3704" s="4">
        <v>58.02</v>
      </c>
      <c r="BQ3704" t="s">
        <v>121</v>
      </c>
      <c r="BR3704" t="s">
        <v>84</v>
      </c>
      <c r="BS3704" s="3">
        <v>43798</v>
      </c>
      <c r="BT3704" s="5">
        <v>0.32083333333333336</v>
      </c>
      <c r="BU3704" t="s">
        <v>3364</v>
      </c>
      <c r="BV3704" t="s">
        <v>86</v>
      </c>
      <c r="BY3704">
        <v>4760.6400000000003</v>
      </c>
      <c r="CA3704" t="s">
        <v>1309</v>
      </c>
      <c r="CC3704" t="s">
        <v>91</v>
      </c>
      <c r="CD3704">
        <v>8001</v>
      </c>
      <c r="CE3704" t="s">
        <v>1598</v>
      </c>
      <c r="CI3704">
        <v>1</v>
      </c>
      <c r="CJ3704">
        <v>1</v>
      </c>
      <c r="CK3704">
        <v>21</v>
      </c>
      <c r="CL3704" t="s">
        <v>89</v>
      </c>
    </row>
    <row r="3705" spans="1:90">
      <c r="A3705" t="s">
        <v>72</v>
      </c>
      <c r="B3705" t="s">
        <v>73</v>
      </c>
      <c r="C3705" t="s">
        <v>74</v>
      </c>
      <c r="E3705" t="str">
        <f>"FES1162725761"</f>
        <v>FES1162725761</v>
      </c>
      <c r="F3705" s="3">
        <v>43797</v>
      </c>
      <c r="G3705">
        <v>202005</v>
      </c>
      <c r="H3705" t="s">
        <v>75</v>
      </c>
      <c r="I3705" t="s">
        <v>76</v>
      </c>
      <c r="J3705" t="s">
        <v>77</v>
      </c>
      <c r="K3705" t="s">
        <v>78</v>
      </c>
      <c r="L3705" t="s">
        <v>202</v>
      </c>
      <c r="M3705" t="s">
        <v>203</v>
      </c>
      <c r="N3705" t="s">
        <v>2240</v>
      </c>
      <c r="O3705" t="s">
        <v>82</v>
      </c>
      <c r="P3705" t="str">
        <f>"2170718211                    "</f>
        <v xml:space="preserve">2170718211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10.72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4.0999999999999996</v>
      </c>
      <c r="BJ3705">
        <v>3.7</v>
      </c>
      <c r="BK3705">
        <v>4.5</v>
      </c>
      <c r="BL3705" s="4">
        <v>63.03</v>
      </c>
      <c r="BM3705" s="4">
        <v>9.4499999999999993</v>
      </c>
      <c r="BN3705" s="4">
        <v>72.48</v>
      </c>
      <c r="BO3705" s="4">
        <v>72.48</v>
      </c>
      <c r="BQ3705" t="s">
        <v>2241</v>
      </c>
      <c r="BR3705" t="s">
        <v>84</v>
      </c>
      <c r="BS3705" s="3">
        <v>43798</v>
      </c>
      <c r="BT3705" s="5">
        <v>0.33333333333333331</v>
      </c>
      <c r="BU3705" t="s">
        <v>3365</v>
      </c>
      <c r="BV3705" t="s">
        <v>86</v>
      </c>
      <c r="BY3705">
        <v>18307.97</v>
      </c>
      <c r="CA3705" t="s">
        <v>1067</v>
      </c>
      <c r="CC3705" t="s">
        <v>203</v>
      </c>
      <c r="CD3705">
        <v>1406</v>
      </c>
      <c r="CE3705" t="s">
        <v>88</v>
      </c>
      <c r="CI3705">
        <v>1</v>
      </c>
      <c r="CJ3705">
        <v>1</v>
      </c>
      <c r="CK3705">
        <v>22</v>
      </c>
      <c r="CL3705" t="s">
        <v>89</v>
      </c>
    </row>
    <row r="3706" spans="1:90">
      <c r="A3706" t="s">
        <v>72</v>
      </c>
      <c r="B3706" t="s">
        <v>73</v>
      </c>
      <c r="C3706" t="s">
        <v>74</v>
      </c>
      <c r="E3706" t="str">
        <f>"FES1162725948"</f>
        <v>FES1162725948</v>
      </c>
      <c r="F3706" s="3">
        <v>43797</v>
      </c>
      <c r="G3706">
        <v>202005</v>
      </c>
      <c r="H3706" t="s">
        <v>75</v>
      </c>
      <c r="I3706" t="s">
        <v>76</v>
      </c>
      <c r="J3706" t="s">
        <v>77</v>
      </c>
      <c r="K3706" t="s">
        <v>78</v>
      </c>
      <c r="L3706" t="s">
        <v>79</v>
      </c>
      <c r="M3706" t="s">
        <v>80</v>
      </c>
      <c r="N3706" t="s">
        <v>3366</v>
      </c>
      <c r="O3706" t="s">
        <v>82</v>
      </c>
      <c r="P3706" t="str">
        <f>"2170715402                    "</f>
        <v xml:space="preserve">2170715402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8.58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0.2</v>
      </c>
      <c r="BJ3706">
        <v>0.9</v>
      </c>
      <c r="BK3706">
        <v>1</v>
      </c>
      <c r="BL3706" s="4">
        <v>50.45</v>
      </c>
      <c r="BM3706" s="4">
        <v>7.57</v>
      </c>
      <c r="BN3706" s="4">
        <v>58.02</v>
      </c>
      <c r="BO3706" s="4">
        <v>58.02</v>
      </c>
      <c r="BQ3706" t="s">
        <v>3367</v>
      </c>
      <c r="BR3706" t="s">
        <v>84</v>
      </c>
      <c r="BS3706" s="3">
        <v>43798</v>
      </c>
      <c r="BT3706" s="5">
        <v>0.3298611111111111</v>
      </c>
      <c r="BU3706" t="s">
        <v>3368</v>
      </c>
      <c r="BV3706" t="s">
        <v>86</v>
      </c>
      <c r="BY3706">
        <v>4474.12</v>
      </c>
      <c r="CA3706" t="s">
        <v>87</v>
      </c>
      <c r="CC3706" t="s">
        <v>80</v>
      </c>
      <c r="CD3706">
        <v>6230</v>
      </c>
      <c r="CE3706" t="s">
        <v>1598</v>
      </c>
      <c r="CI3706">
        <v>1</v>
      </c>
      <c r="CJ3706">
        <v>1</v>
      </c>
      <c r="CK3706">
        <v>21</v>
      </c>
      <c r="CL3706" t="s">
        <v>89</v>
      </c>
    </row>
    <row r="3707" spans="1:90">
      <c r="A3707" t="s">
        <v>72</v>
      </c>
      <c r="B3707" t="s">
        <v>73</v>
      </c>
      <c r="C3707" t="s">
        <v>74</v>
      </c>
      <c r="E3707" t="str">
        <f>"FES1162725571"</f>
        <v>FES1162725571</v>
      </c>
      <c r="F3707" s="3">
        <v>43797</v>
      </c>
      <c r="G3707">
        <v>202005</v>
      </c>
      <c r="H3707" t="s">
        <v>75</v>
      </c>
      <c r="I3707" t="s">
        <v>76</v>
      </c>
      <c r="J3707" t="s">
        <v>77</v>
      </c>
      <c r="K3707" t="s">
        <v>78</v>
      </c>
      <c r="L3707" t="s">
        <v>405</v>
      </c>
      <c r="M3707" t="s">
        <v>406</v>
      </c>
      <c r="N3707" t="s">
        <v>871</v>
      </c>
      <c r="O3707" t="s">
        <v>82</v>
      </c>
      <c r="P3707" t="str">
        <f>"2170717655                    "</f>
        <v xml:space="preserve">2170717655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12.07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0.6</v>
      </c>
      <c r="BJ3707">
        <v>1.1000000000000001</v>
      </c>
      <c r="BK3707">
        <v>1.5</v>
      </c>
      <c r="BL3707" s="4">
        <v>70.95</v>
      </c>
      <c r="BM3707" s="4">
        <v>10.64</v>
      </c>
      <c r="BN3707" s="4">
        <v>81.59</v>
      </c>
      <c r="BO3707" s="4">
        <v>81.59</v>
      </c>
      <c r="BQ3707" t="s">
        <v>121</v>
      </c>
      <c r="BR3707" t="s">
        <v>84</v>
      </c>
      <c r="BS3707" t="s">
        <v>201</v>
      </c>
      <c r="BY3707">
        <v>5724.53</v>
      </c>
      <c r="CC3707" t="s">
        <v>406</v>
      </c>
      <c r="CD3707">
        <v>250</v>
      </c>
      <c r="CE3707" t="s">
        <v>1598</v>
      </c>
      <c r="CI3707">
        <v>1</v>
      </c>
      <c r="CJ3707" t="s">
        <v>201</v>
      </c>
      <c r="CK3707">
        <v>24</v>
      </c>
      <c r="CL3707" t="s">
        <v>89</v>
      </c>
    </row>
    <row r="3708" spans="1:90">
      <c r="A3708" t="s">
        <v>72</v>
      </c>
      <c r="B3708" t="s">
        <v>73</v>
      </c>
      <c r="C3708" t="s">
        <v>74</v>
      </c>
      <c r="E3708" t="str">
        <f>"FES1162725885"</f>
        <v>FES1162725885</v>
      </c>
      <c r="F3708" s="3">
        <v>43797</v>
      </c>
      <c r="G3708">
        <v>202005</v>
      </c>
      <c r="H3708" t="s">
        <v>75</v>
      </c>
      <c r="I3708" t="s">
        <v>76</v>
      </c>
      <c r="J3708" t="s">
        <v>77</v>
      </c>
      <c r="K3708" t="s">
        <v>78</v>
      </c>
      <c r="L3708" t="s">
        <v>90</v>
      </c>
      <c r="M3708" t="s">
        <v>91</v>
      </c>
      <c r="N3708" t="s">
        <v>576</v>
      </c>
      <c r="O3708" t="s">
        <v>82</v>
      </c>
      <c r="P3708" t="str">
        <f>"2170717105                    "</f>
        <v xml:space="preserve">2170717105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8.58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 s="4">
        <v>50.45</v>
      </c>
      <c r="BM3708" s="4">
        <v>7.57</v>
      </c>
      <c r="BN3708" s="4">
        <v>58.02</v>
      </c>
      <c r="BO3708" s="4">
        <v>58.02</v>
      </c>
      <c r="BQ3708" t="s">
        <v>109</v>
      </c>
      <c r="BR3708" t="s">
        <v>84</v>
      </c>
      <c r="BS3708" s="3">
        <v>43798</v>
      </c>
      <c r="BT3708" s="5">
        <v>0.36874999999999997</v>
      </c>
      <c r="BU3708" t="s">
        <v>3353</v>
      </c>
      <c r="BV3708" t="s">
        <v>86</v>
      </c>
      <c r="BY3708">
        <v>1200</v>
      </c>
      <c r="CA3708" t="s">
        <v>1146</v>
      </c>
      <c r="CC3708" t="s">
        <v>91</v>
      </c>
      <c r="CD3708">
        <v>7441</v>
      </c>
      <c r="CE3708" t="s">
        <v>147</v>
      </c>
      <c r="CI3708">
        <v>1</v>
      </c>
      <c r="CJ3708">
        <v>1</v>
      </c>
      <c r="CK3708">
        <v>21</v>
      </c>
      <c r="CL3708" t="s">
        <v>89</v>
      </c>
    </row>
    <row r="3709" spans="1:90">
      <c r="A3709" t="s">
        <v>72</v>
      </c>
      <c r="B3709" t="s">
        <v>73</v>
      </c>
      <c r="C3709" t="s">
        <v>74</v>
      </c>
      <c r="E3709" t="str">
        <f>"FES1162725717"</f>
        <v>FES1162725717</v>
      </c>
      <c r="F3709" s="3">
        <v>43797</v>
      </c>
      <c r="G3709">
        <v>202005</v>
      </c>
      <c r="H3709" t="s">
        <v>75</v>
      </c>
      <c r="I3709" t="s">
        <v>76</v>
      </c>
      <c r="J3709" t="s">
        <v>77</v>
      </c>
      <c r="K3709" t="s">
        <v>78</v>
      </c>
      <c r="L3709" t="s">
        <v>90</v>
      </c>
      <c r="M3709" t="s">
        <v>91</v>
      </c>
      <c r="N3709" t="s">
        <v>1194</v>
      </c>
      <c r="O3709" t="s">
        <v>82</v>
      </c>
      <c r="P3709" t="str">
        <f>"2170716503                    "</f>
        <v xml:space="preserve">2170716503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8.58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 s="4">
        <v>50.45</v>
      </c>
      <c r="BM3709" s="4">
        <v>7.57</v>
      </c>
      <c r="BN3709" s="4">
        <v>58.02</v>
      </c>
      <c r="BO3709" s="4">
        <v>58.02</v>
      </c>
      <c r="BQ3709" t="s">
        <v>121</v>
      </c>
      <c r="BR3709" t="s">
        <v>84</v>
      </c>
      <c r="BS3709" s="3">
        <v>43798</v>
      </c>
      <c r="BT3709" s="5">
        <v>0.43194444444444446</v>
      </c>
      <c r="BU3709" t="s">
        <v>1618</v>
      </c>
      <c r="BV3709" t="s">
        <v>86</v>
      </c>
      <c r="BY3709">
        <v>1200</v>
      </c>
      <c r="CA3709" t="s">
        <v>1309</v>
      </c>
      <c r="CC3709" t="s">
        <v>91</v>
      </c>
      <c r="CD3709">
        <v>7580</v>
      </c>
      <c r="CE3709" t="s">
        <v>147</v>
      </c>
      <c r="CI3709">
        <v>1</v>
      </c>
      <c r="CJ3709">
        <v>1</v>
      </c>
      <c r="CK3709">
        <v>21</v>
      </c>
      <c r="CL3709" t="s">
        <v>89</v>
      </c>
    </row>
    <row r="3710" spans="1:90">
      <c r="A3710" t="s">
        <v>72</v>
      </c>
      <c r="B3710" t="s">
        <v>73</v>
      </c>
      <c r="C3710" t="s">
        <v>74</v>
      </c>
      <c r="E3710" t="str">
        <f>"FES1162725881"</f>
        <v>FES1162725881</v>
      </c>
      <c r="F3710" s="3">
        <v>43797</v>
      </c>
      <c r="G3710">
        <v>202005</v>
      </c>
      <c r="H3710" t="s">
        <v>75</v>
      </c>
      <c r="I3710" t="s">
        <v>76</v>
      </c>
      <c r="J3710" t="s">
        <v>77</v>
      </c>
      <c r="K3710" t="s">
        <v>78</v>
      </c>
      <c r="L3710" t="s">
        <v>90</v>
      </c>
      <c r="M3710" t="s">
        <v>91</v>
      </c>
      <c r="N3710" t="s">
        <v>401</v>
      </c>
      <c r="O3710" t="s">
        <v>82</v>
      </c>
      <c r="P3710" t="str">
        <f>"2170717076                    "</f>
        <v xml:space="preserve">2170717076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8.58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 s="4">
        <v>50.45</v>
      </c>
      <c r="BM3710" s="4">
        <v>7.57</v>
      </c>
      <c r="BN3710" s="4">
        <v>58.02</v>
      </c>
      <c r="BO3710" s="4">
        <v>58.02</v>
      </c>
      <c r="BQ3710" t="s">
        <v>109</v>
      </c>
      <c r="BR3710" t="s">
        <v>84</v>
      </c>
      <c r="BS3710" s="3">
        <v>43798</v>
      </c>
      <c r="BT3710" s="5">
        <v>0.35833333333333334</v>
      </c>
      <c r="BU3710" t="s">
        <v>1941</v>
      </c>
      <c r="BV3710" t="s">
        <v>86</v>
      </c>
      <c r="BY3710">
        <v>1200</v>
      </c>
      <c r="CA3710" t="s">
        <v>1942</v>
      </c>
      <c r="CC3710" t="s">
        <v>91</v>
      </c>
      <c r="CD3710">
        <v>7441</v>
      </c>
      <c r="CE3710" t="s">
        <v>147</v>
      </c>
      <c r="CI3710">
        <v>1</v>
      </c>
      <c r="CJ3710">
        <v>1</v>
      </c>
      <c r="CK3710">
        <v>21</v>
      </c>
      <c r="CL3710" t="s">
        <v>89</v>
      </c>
    </row>
    <row r="3711" spans="1:90">
      <c r="A3711" t="s">
        <v>72</v>
      </c>
      <c r="B3711" t="s">
        <v>73</v>
      </c>
      <c r="C3711" t="s">
        <v>74</v>
      </c>
      <c r="E3711" t="str">
        <f>"FES1162725783"</f>
        <v>FES1162725783</v>
      </c>
      <c r="F3711" s="3">
        <v>43797</v>
      </c>
      <c r="G3711">
        <v>202005</v>
      </c>
      <c r="H3711" t="s">
        <v>75</v>
      </c>
      <c r="I3711" t="s">
        <v>76</v>
      </c>
      <c r="J3711" t="s">
        <v>77</v>
      </c>
      <c r="K3711" t="s">
        <v>78</v>
      </c>
      <c r="L3711" t="s">
        <v>482</v>
      </c>
      <c r="M3711" t="s">
        <v>483</v>
      </c>
      <c r="N3711" t="s">
        <v>1442</v>
      </c>
      <c r="O3711" t="s">
        <v>82</v>
      </c>
      <c r="P3711" t="str">
        <f>"2170719344                    "</f>
        <v xml:space="preserve">2170719344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9.92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3.6</v>
      </c>
      <c r="BJ3711">
        <v>3</v>
      </c>
      <c r="BK3711">
        <v>4</v>
      </c>
      <c r="BL3711" s="4">
        <v>58.31</v>
      </c>
      <c r="BM3711" s="4">
        <v>8.75</v>
      </c>
      <c r="BN3711" s="4">
        <v>67.06</v>
      </c>
      <c r="BO3711" s="4">
        <v>67.06</v>
      </c>
      <c r="BR3711" t="s">
        <v>84</v>
      </c>
      <c r="BS3711" s="3">
        <v>43798</v>
      </c>
      <c r="BT3711" s="5">
        <v>0.28333333333333333</v>
      </c>
      <c r="BU3711" t="s">
        <v>3195</v>
      </c>
      <c r="BV3711" t="s">
        <v>86</v>
      </c>
      <c r="BY3711">
        <v>14987.2</v>
      </c>
      <c r="CA3711" t="s">
        <v>3369</v>
      </c>
      <c r="CC3711" t="s">
        <v>483</v>
      </c>
      <c r="CD3711">
        <v>1460</v>
      </c>
      <c r="CE3711" t="s">
        <v>88</v>
      </c>
      <c r="CI3711">
        <v>1</v>
      </c>
      <c r="CJ3711">
        <v>1</v>
      </c>
      <c r="CK3711">
        <v>22</v>
      </c>
      <c r="CL3711" t="s">
        <v>89</v>
      </c>
    </row>
    <row r="3712" spans="1:90">
      <c r="A3712" t="s">
        <v>72</v>
      </c>
      <c r="B3712" t="s">
        <v>73</v>
      </c>
      <c r="C3712" t="s">
        <v>74</v>
      </c>
      <c r="E3712" t="str">
        <f>"FES1162725893"</f>
        <v>FES1162725893</v>
      </c>
      <c r="F3712" s="3">
        <v>43797</v>
      </c>
      <c r="G3712">
        <v>202005</v>
      </c>
      <c r="H3712" t="s">
        <v>75</v>
      </c>
      <c r="I3712" t="s">
        <v>76</v>
      </c>
      <c r="J3712" t="s">
        <v>77</v>
      </c>
      <c r="K3712" t="s">
        <v>78</v>
      </c>
      <c r="L3712" t="s">
        <v>90</v>
      </c>
      <c r="M3712" t="s">
        <v>91</v>
      </c>
      <c r="N3712" t="s">
        <v>576</v>
      </c>
      <c r="O3712" t="s">
        <v>82</v>
      </c>
      <c r="P3712" t="str">
        <f>"2170719152                    "</f>
        <v xml:space="preserve">2170719152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8.58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 s="4">
        <v>50.45</v>
      </c>
      <c r="BM3712" s="4">
        <v>7.57</v>
      </c>
      <c r="BN3712" s="4">
        <v>58.02</v>
      </c>
      <c r="BO3712" s="4">
        <v>58.02</v>
      </c>
      <c r="BQ3712" t="s">
        <v>109</v>
      </c>
      <c r="BR3712" t="s">
        <v>84</v>
      </c>
      <c r="BS3712" s="3">
        <v>43798</v>
      </c>
      <c r="BT3712" s="5">
        <v>0.36874999999999997</v>
      </c>
      <c r="BU3712" t="s">
        <v>3353</v>
      </c>
      <c r="BV3712" t="s">
        <v>86</v>
      </c>
      <c r="BY3712">
        <v>1200</v>
      </c>
      <c r="CA3712" t="s">
        <v>1146</v>
      </c>
      <c r="CC3712" t="s">
        <v>91</v>
      </c>
      <c r="CD3712">
        <v>7441</v>
      </c>
      <c r="CE3712" t="s">
        <v>147</v>
      </c>
      <c r="CI3712">
        <v>1</v>
      </c>
      <c r="CJ3712">
        <v>1</v>
      </c>
      <c r="CK3712">
        <v>21</v>
      </c>
      <c r="CL3712" t="s">
        <v>89</v>
      </c>
    </row>
    <row r="3713" spans="1:90">
      <c r="A3713" t="s">
        <v>72</v>
      </c>
      <c r="B3713" t="s">
        <v>73</v>
      </c>
      <c r="C3713" t="s">
        <v>74</v>
      </c>
      <c r="E3713" t="str">
        <f>"FES1162725772"</f>
        <v>FES1162725772</v>
      </c>
      <c r="F3713" s="3">
        <v>43797</v>
      </c>
      <c r="G3713">
        <v>202005</v>
      </c>
      <c r="H3713" t="s">
        <v>75</v>
      </c>
      <c r="I3713" t="s">
        <v>76</v>
      </c>
      <c r="J3713" t="s">
        <v>77</v>
      </c>
      <c r="K3713" t="s">
        <v>78</v>
      </c>
      <c r="L3713" t="s">
        <v>90</v>
      </c>
      <c r="M3713" t="s">
        <v>91</v>
      </c>
      <c r="N3713" t="s">
        <v>1194</v>
      </c>
      <c r="O3713" t="s">
        <v>82</v>
      </c>
      <c r="P3713" t="str">
        <f>"2170718768                    "</f>
        <v xml:space="preserve">2170718768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8.58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 s="4">
        <v>50.45</v>
      </c>
      <c r="BM3713" s="4">
        <v>7.57</v>
      </c>
      <c r="BN3713" s="4">
        <v>58.02</v>
      </c>
      <c r="BO3713" s="4">
        <v>58.02</v>
      </c>
      <c r="BQ3713" t="s">
        <v>121</v>
      </c>
      <c r="BR3713" t="s">
        <v>84</v>
      </c>
      <c r="BS3713" s="3">
        <v>43798</v>
      </c>
      <c r="BT3713" s="5">
        <v>0.43194444444444446</v>
      </c>
      <c r="BU3713" t="s">
        <v>1618</v>
      </c>
      <c r="BV3713" t="s">
        <v>86</v>
      </c>
      <c r="BY3713">
        <v>1200</v>
      </c>
      <c r="CA3713" t="s">
        <v>1309</v>
      </c>
      <c r="CC3713" t="s">
        <v>91</v>
      </c>
      <c r="CD3713">
        <v>7580</v>
      </c>
      <c r="CE3713" t="s">
        <v>147</v>
      </c>
      <c r="CI3713">
        <v>1</v>
      </c>
      <c r="CJ3713">
        <v>1</v>
      </c>
      <c r="CK3713">
        <v>21</v>
      </c>
      <c r="CL3713" t="s">
        <v>89</v>
      </c>
    </row>
    <row r="3714" spans="1:90">
      <c r="A3714" t="s">
        <v>72</v>
      </c>
      <c r="B3714" t="s">
        <v>73</v>
      </c>
      <c r="C3714" t="s">
        <v>74</v>
      </c>
      <c r="E3714" t="str">
        <f>"FES1162725831"</f>
        <v>FES1162725831</v>
      </c>
      <c r="F3714" s="3">
        <v>43797</v>
      </c>
      <c r="G3714">
        <v>202005</v>
      </c>
      <c r="H3714" t="s">
        <v>75</v>
      </c>
      <c r="I3714" t="s">
        <v>76</v>
      </c>
      <c r="J3714" t="s">
        <v>77</v>
      </c>
      <c r="K3714" t="s">
        <v>78</v>
      </c>
      <c r="L3714" t="s">
        <v>90</v>
      </c>
      <c r="M3714" t="s">
        <v>91</v>
      </c>
      <c r="N3714" t="s">
        <v>533</v>
      </c>
      <c r="O3714" t="s">
        <v>82</v>
      </c>
      <c r="P3714" t="str">
        <f>"2170719407                    "</f>
        <v xml:space="preserve">2170719407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8.58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0.2</v>
      </c>
      <c r="BK3714">
        <v>1</v>
      </c>
      <c r="BL3714" s="4">
        <v>50.45</v>
      </c>
      <c r="BM3714" s="4">
        <v>7.57</v>
      </c>
      <c r="BN3714" s="4">
        <v>58.02</v>
      </c>
      <c r="BO3714" s="4">
        <v>58.02</v>
      </c>
      <c r="BQ3714" t="s">
        <v>161</v>
      </c>
      <c r="BR3714" t="s">
        <v>84</v>
      </c>
      <c r="BS3714" s="3">
        <v>43798</v>
      </c>
      <c r="BT3714" s="5">
        <v>0.37222222222222223</v>
      </c>
      <c r="BU3714" t="s">
        <v>2747</v>
      </c>
      <c r="BV3714" t="s">
        <v>86</v>
      </c>
      <c r="BY3714">
        <v>1200</v>
      </c>
      <c r="CA3714" t="s">
        <v>323</v>
      </c>
      <c r="CC3714" t="s">
        <v>91</v>
      </c>
      <c r="CD3714">
        <v>7460</v>
      </c>
      <c r="CE3714" t="s">
        <v>147</v>
      </c>
      <c r="CI3714">
        <v>1</v>
      </c>
      <c r="CJ3714">
        <v>1</v>
      </c>
      <c r="CK3714">
        <v>21</v>
      </c>
      <c r="CL3714" t="s">
        <v>89</v>
      </c>
    </row>
    <row r="3715" spans="1:90">
      <c r="A3715" t="s">
        <v>72</v>
      </c>
      <c r="B3715" t="s">
        <v>73</v>
      </c>
      <c r="C3715" t="s">
        <v>74</v>
      </c>
      <c r="E3715" t="str">
        <f>"FES1162725729"</f>
        <v>FES1162725729</v>
      </c>
      <c r="F3715" s="3">
        <v>43797</v>
      </c>
      <c r="G3715">
        <v>202005</v>
      </c>
      <c r="H3715" t="s">
        <v>75</v>
      </c>
      <c r="I3715" t="s">
        <v>76</v>
      </c>
      <c r="J3715" t="s">
        <v>77</v>
      </c>
      <c r="K3715" t="s">
        <v>78</v>
      </c>
      <c r="L3715" t="s">
        <v>155</v>
      </c>
      <c r="M3715" t="s">
        <v>156</v>
      </c>
      <c r="N3715" t="s">
        <v>3370</v>
      </c>
      <c r="O3715" t="s">
        <v>82</v>
      </c>
      <c r="P3715" t="str">
        <f>"2170717168                    "</f>
        <v xml:space="preserve">2170717168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6.71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 s="4">
        <v>39.42</v>
      </c>
      <c r="BM3715" s="4">
        <v>5.91</v>
      </c>
      <c r="BN3715" s="4">
        <v>45.33</v>
      </c>
      <c r="BO3715" s="4">
        <v>45.33</v>
      </c>
      <c r="BQ3715" t="s">
        <v>121</v>
      </c>
      <c r="BR3715" t="s">
        <v>84</v>
      </c>
      <c r="BS3715" s="3">
        <v>43798</v>
      </c>
      <c r="BT3715" s="5">
        <v>0.3611111111111111</v>
      </c>
      <c r="BU3715" t="s">
        <v>149</v>
      </c>
      <c r="BV3715" t="s">
        <v>86</v>
      </c>
      <c r="BY3715">
        <v>1200</v>
      </c>
      <c r="CC3715" t="s">
        <v>156</v>
      </c>
      <c r="CD3715">
        <v>1685</v>
      </c>
      <c r="CE3715" t="s">
        <v>147</v>
      </c>
      <c r="CI3715">
        <v>1</v>
      </c>
      <c r="CJ3715">
        <v>1</v>
      </c>
      <c r="CK3715">
        <v>22</v>
      </c>
      <c r="CL3715" t="s">
        <v>89</v>
      </c>
    </row>
    <row r="3716" spans="1:90">
      <c r="A3716" t="s">
        <v>72</v>
      </c>
      <c r="B3716" t="s">
        <v>73</v>
      </c>
      <c r="C3716" t="s">
        <v>74</v>
      </c>
      <c r="E3716" t="str">
        <f>"FES1162725880"</f>
        <v>FES1162725880</v>
      </c>
      <c r="F3716" s="3">
        <v>43797</v>
      </c>
      <c r="G3716">
        <v>202005</v>
      </c>
      <c r="H3716" t="s">
        <v>75</v>
      </c>
      <c r="I3716" t="s">
        <v>76</v>
      </c>
      <c r="J3716" t="s">
        <v>77</v>
      </c>
      <c r="K3716" t="s">
        <v>78</v>
      </c>
      <c r="L3716" t="s">
        <v>214</v>
      </c>
      <c r="M3716" t="s">
        <v>214</v>
      </c>
      <c r="N3716" t="s">
        <v>215</v>
      </c>
      <c r="O3716" t="s">
        <v>82</v>
      </c>
      <c r="P3716" t="str">
        <f>"2170717068                    "</f>
        <v xml:space="preserve">2170717068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16.63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 s="4">
        <v>97.75</v>
      </c>
      <c r="BM3716" s="4">
        <v>14.66</v>
      </c>
      <c r="BN3716" s="4">
        <v>112.41</v>
      </c>
      <c r="BO3716" s="4">
        <v>112.41</v>
      </c>
      <c r="BQ3716" t="s">
        <v>109</v>
      </c>
      <c r="BR3716" t="s">
        <v>84</v>
      </c>
      <c r="BS3716" s="3">
        <v>43798</v>
      </c>
      <c r="BT3716" s="5">
        <v>0.4861111111111111</v>
      </c>
      <c r="BU3716" t="s">
        <v>3346</v>
      </c>
      <c r="BV3716" t="s">
        <v>86</v>
      </c>
      <c r="BY3716">
        <v>1200</v>
      </c>
      <c r="CA3716" t="s">
        <v>1643</v>
      </c>
      <c r="CC3716" t="s">
        <v>214</v>
      </c>
      <c r="CD3716">
        <v>7646</v>
      </c>
      <c r="CE3716" t="s">
        <v>147</v>
      </c>
      <c r="CI3716">
        <v>1</v>
      </c>
      <c r="CJ3716">
        <v>1</v>
      </c>
      <c r="CK3716">
        <v>23</v>
      </c>
      <c r="CL3716" t="s">
        <v>89</v>
      </c>
    </row>
    <row r="3717" spans="1:90">
      <c r="A3717" t="s">
        <v>72</v>
      </c>
      <c r="B3717" t="s">
        <v>73</v>
      </c>
      <c r="C3717" t="s">
        <v>74</v>
      </c>
      <c r="E3717" t="str">
        <f>"FES1162725663"</f>
        <v>FES1162725663</v>
      </c>
      <c r="F3717" s="3">
        <v>43797</v>
      </c>
      <c r="G3717">
        <v>202005</v>
      </c>
      <c r="H3717" t="s">
        <v>75</v>
      </c>
      <c r="I3717" t="s">
        <v>76</v>
      </c>
      <c r="J3717" t="s">
        <v>77</v>
      </c>
      <c r="K3717" t="s">
        <v>78</v>
      </c>
      <c r="L3717" t="s">
        <v>90</v>
      </c>
      <c r="M3717" t="s">
        <v>91</v>
      </c>
      <c r="N3717" t="s">
        <v>533</v>
      </c>
      <c r="O3717" t="s">
        <v>82</v>
      </c>
      <c r="P3717" t="str">
        <f>"2170719305                    "</f>
        <v xml:space="preserve">2170719305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8.58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0.2</v>
      </c>
      <c r="BK3717">
        <v>1</v>
      </c>
      <c r="BL3717" s="4">
        <v>50.45</v>
      </c>
      <c r="BM3717" s="4">
        <v>7.57</v>
      </c>
      <c r="BN3717" s="4">
        <v>58.02</v>
      </c>
      <c r="BO3717" s="4">
        <v>58.02</v>
      </c>
      <c r="BQ3717" t="s">
        <v>161</v>
      </c>
      <c r="BR3717" t="s">
        <v>84</v>
      </c>
      <c r="BS3717" s="3">
        <v>43798</v>
      </c>
      <c r="BT3717" s="5">
        <v>0.37291666666666662</v>
      </c>
      <c r="BU3717" t="s">
        <v>2747</v>
      </c>
      <c r="BV3717" t="s">
        <v>86</v>
      </c>
      <c r="BY3717">
        <v>1200</v>
      </c>
      <c r="CA3717" t="s">
        <v>323</v>
      </c>
      <c r="CC3717" t="s">
        <v>91</v>
      </c>
      <c r="CD3717">
        <v>7460</v>
      </c>
      <c r="CE3717" t="s">
        <v>147</v>
      </c>
      <c r="CI3717">
        <v>1</v>
      </c>
      <c r="CJ3717">
        <v>1</v>
      </c>
      <c r="CK3717">
        <v>21</v>
      </c>
      <c r="CL3717" t="s">
        <v>89</v>
      </c>
    </row>
    <row r="3718" spans="1:90">
      <c r="A3718" t="s">
        <v>72</v>
      </c>
      <c r="B3718" t="s">
        <v>73</v>
      </c>
      <c r="C3718" t="s">
        <v>74</v>
      </c>
      <c r="E3718" t="str">
        <f>"FES1162725889"</f>
        <v>FES1162725889</v>
      </c>
      <c r="F3718" s="3">
        <v>43797</v>
      </c>
      <c r="G3718">
        <v>202005</v>
      </c>
      <c r="H3718" t="s">
        <v>75</v>
      </c>
      <c r="I3718" t="s">
        <v>76</v>
      </c>
      <c r="J3718" t="s">
        <v>77</v>
      </c>
      <c r="K3718" t="s">
        <v>78</v>
      </c>
      <c r="L3718" t="s">
        <v>214</v>
      </c>
      <c r="M3718" t="s">
        <v>214</v>
      </c>
      <c r="N3718" t="s">
        <v>215</v>
      </c>
      <c r="O3718" t="s">
        <v>82</v>
      </c>
      <c r="P3718" t="str">
        <f>"2170717620                    "</f>
        <v xml:space="preserve">2170717620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16.63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 s="4">
        <v>97.75</v>
      </c>
      <c r="BM3718" s="4">
        <v>14.66</v>
      </c>
      <c r="BN3718" s="4">
        <v>112.41</v>
      </c>
      <c r="BO3718" s="4">
        <v>112.41</v>
      </c>
      <c r="BQ3718" t="s">
        <v>109</v>
      </c>
      <c r="BR3718" t="s">
        <v>84</v>
      </c>
      <c r="BS3718" s="3">
        <v>43798</v>
      </c>
      <c r="BT3718" s="5">
        <v>0.4861111111111111</v>
      </c>
      <c r="BU3718" t="s">
        <v>3346</v>
      </c>
      <c r="BV3718" t="s">
        <v>86</v>
      </c>
      <c r="BY3718">
        <v>1200</v>
      </c>
      <c r="CA3718" t="s">
        <v>1643</v>
      </c>
      <c r="CC3718" t="s">
        <v>214</v>
      </c>
      <c r="CD3718">
        <v>7646</v>
      </c>
      <c r="CE3718" t="s">
        <v>147</v>
      </c>
      <c r="CI3718">
        <v>1</v>
      </c>
      <c r="CJ3718">
        <v>1</v>
      </c>
      <c r="CK3718">
        <v>23</v>
      </c>
      <c r="CL3718" t="s">
        <v>89</v>
      </c>
    </row>
    <row r="3719" spans="1:90">
      <c r="A3719" t="s">
        <v>72</v>
      </c>
      <c r="B3719" t="s">
        <v>73</v>
      </c>
      <c r="C3719" t="s">
        <v>74</v>
      </c>
      <c r="E3719" t="str">
        <f>"FES1162725600"</f>
        <v>FES1162725600</v>
      </c>
      <c r="F3719" s="3">
        <v>43797</v>
      </c>
      <c r="G3719">
        <v>202005</v>
      </c>
      <c r="H3719" t="s">
        <v>75</v>
      </c>
      <c r="I3719" t="s">
        <v>76</v>
      </c>
      <c r="J3719" t="s">
        <v>77</v>
      </c>
      <c r="K3719" t="s">
        <v>78</v>
      </c>
      <c r="L3719" t="s">
        <v>546</v>
      </c>
      <c r="M3719" t="s">
        <v>547</v>
      </c>
      <c r="N3719" t="s">
        <v>830</v>
      </c>
      <c r="O3719" t="s">
        <v>82</v>
      </c>
      <c r="P3719" t="str">
        <f>"2170717851                    "</f>
        <v xml:space="preserve">2170717851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6.71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 s="4">
        <v>39.42</v>
      </c>
      <c r="BM3719" s="4">
        <v>5.91</v>
      </c>
      <c r="BN3719" s="4">
        <v>45.33</v>
      </c>
      <c r="BO3719" s="4">
        <v>45.33</v>
      </c>
      <c r="BQ3719" t="s">
        <v>121</v>
      </c>
      <c r="BR3719" t="s">
        <v>84</v>
      </c>
      <c r="BS3719" s="3">
        <v>43798</v>
      </c>
      <c r="BT3719" s="5">
        <v>0.34027777777777773</v>
      </c>
      <c r="BU3719" t="s">
        <v>3339</v>
      </c>
      <c r="BV3719" t="s">
        <v>86</v>
      </c>
      <c r="BY3719">
        <v>1200</v>
      </c>
      <c r="CA3719" t="s">
        <v>123</v>
      </c>
      <c r="CC3719" t="s">
        <v>547</v>
      </c>
      <c r="CD3719">
        <v>1709</v>
      </c>
      <c r="CE3719" t="s">
        <v>147</v>
      </c>
      <c r="CI3719">
        <v>1</v>
      </c>
      <c r="CJ3719">
        <v>1</v>
      </c>
      <c r="CK3719">
        <v>22</v>
      </c>
      <c r="CL3719" t="s">
        <v>89</v>
      </c>
    </row>
    <row r="3720" spans="1:90">
      <c r="A3720" t="s">
        <v>72</v>
      </c>
      <c r="B3720" t="s">
        <v>73</v>
      </c>
      <c r="C3720" t="s">
        <v>74</v>
      </c>
      <c r="E3720" t="str">
        <f>"009935712082"</f>
        <v>009935712082</v>
      </c>
      <c r="F3720" s="3">
        <v>43797</v>
      </c>
      <c r="G3720">
        <v>202005</v>
      </c>
      <c r="H3720" t="s">
        <v>75</v>
      </c>
      <c r="I3720" t="s">
        <v>76</v>
      </c>
      <c r="J3720" t="s">
        <v>77</v>
      </c>
      <c r="K3720" t="s">
        <v>78</v>
      </c>
      <c r="L3720" t="s">
        <v>124</v>
      </c>
      <c r="M3720" t="s">
        <v>125</v>
      </c>
      <c r="N3720" t="s">
        <v>218</v>
      </c>
      <c r="O3720" t="s">
        <v>82</v>
      </c>
      <c r="P3720" t="str">
        <f>"1162725032                    "</f>
        <v xml:space="preserve">1162725032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9.92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3.7</v>
      </c>
      <c r="BJ3720">
        <v>3.3</v>
      </c>
      <c r="BK3720">
        <v>4</v>
      </c>
      <c r="BL3720" s="4">
        <v>58.31</v>
      </c>
      <c r="BM3720" s="4">
        <v>8.75</v>
      </c>
      <c r="BN3720" s="4">
        <v>67.06</v>
      </c>
      <c r="BO3720" s="4">
        <v>67.06</v>
      </c>
      <c r="BP3720" t="s">
        <v>219</v>
      </c>
      <c r="BQ3720" t="s">
        <v>121</v>
      </c>
      <c r="BR3720" t="s">
        <v>84</v>
      </c>
      <c r="BS3720" s="3">
        <v>43798</v>
      </c>
      <c r="BT3720" s="5">
        <v>0.42569444444444443</v>
      </c>
      <c r="BU3720" t="s">
        <v>694</v>
      </c>
      <c r="BV3720" t="s">
        <v>86</v>
      </c>
      <c r="BY3720">
        <v>16478.96</v>
      </c>
      <c r="CC3720" t="s">
        <v>125</v>
      </c>
      <c r="CD3720">
        <v>2094</v>
      </c>
      <c r="CE3720" t="s">
        <v>88</v>
      </c>
      <c r="CI3720">
        <v>1</v>
      </c>
      <c r="CJ3720">
        <v>1</v>
      </c>
      <c r="CK3720">
        <v>22</v>
      </c>
      <c r="CL3720" t="s">
        <v>89</v>
      </c>
    </row>
    <row r="3721" spans="1:90">
      <c r="A3721" t="s">
        <v>72</v>
      </c>
      <c r="B3721" t="s">
        <v>73</v>
      </c>
      <c r="C3721" t="s">
        <v>74</v>
      </c>
      <c r="E3721" t="str">
        <f>"FES1162725750"</f>
        <v>FES1162725750</v>
      </c>
      <c r="F3721" s="3">
        <v>43797</v>
      </c>
      <c r="G3721">
        <v>202005</v>
      </c>
      <c r="H3721" t="s">
        <v>75</v>
      </c>
      <c r="I3721" t="s">
        <v>76</v>
      </c>
      <c r="J3721" t="s">
        <v>77</v>
      </c>
      <c r="K3721" t="s">
        <v>78</v>
      </c>
      <c r="L3721" t="s">
        <v>90</v>
      </c>
      <c r="M3721" t="s">
        <v>91</v>
      </c>
      <c r="N3721" t="s">
        <v>527</v>
      </c>
      <c r="O3721" t="s">
        <v>82</v>
      </c>
      <c r="P3721" t="str">
        <f>"2170717444                    "</f>
        <v xml:space="preserve">2170717444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8.58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 s="4">
        <v>50.45</v>
      </c>
      <c r="BM3721" s="4">
        <v>7.57</v>
      </c>
      <c r="BN3721" s="4">
        <v>58.02</v>
      </c>
      <c r="BO3721" s="4">
        <v>58.02</v>
      </c>
      <c r="BQ3721" t="s">
        <v>109</v>
      </c>
      <c r="BR3721" t="s">
        <v>84</v>
      </c>
      <c r="BS3721" s="3">
        <v>43798</v>
      </c>
      <c r="BT3721" s="5">
        <v>0.33333333333333331</v>
      </c>
      <c r="BU3721" t="s">
        <v>2427</v>
      </c>
      <c r="BV3721" t="s">
        <v>86</v>
      </c>
      <c r="BY3721">
        <v>1200</v>
      </c>
      <c r="CA3721" t="s">
        <v>221</v>
      </c>
      <c r="CC3721" t="s">
        <v>91</v>
      </c>
      <c r="CD3721">
        <v>7405</v>
      </c>
      <c r="CE3721" t="s">
        <v>147</v>
      </c>
      <c r="CI3721">
        <v>1</v>
      </c>
      <c r="CJ3721">
        <v>1</v>
      </c>
      <c r="CK3721">
        <v>21</v>
      </c>
      <c r="CL3721" t="s">
        <v>89</v>
      </c>
    </row>
    <row r="3722" spans="1:90">
      <c r="A3722" t="s">
        <v>72</v>
      </c>
      <c r="B3722" t="s">
        <v>73</v>
      </c>
      <c r="C3722" t="s">
        <v>74</v>
      </c>
      <c r="E3722" t="str">
        <f>"FES1162725522"</f>
        <v>FES1162725522</v>
      </c>
      <c r="F3722" s="3">
        <v>43797</v>
      </c>
      <c r="G3722">
        <v>202005</v>
      </c>
      <c r="H3722" t="s">
        <v>75</v>
      </c>
      <c r="I3722" t="s">
        <v>76</v>
      </c>
      <c r="J3722" t="s">
        <v>77</v>
      </c>
      <c r="K3722" t="s">
        <v>78</v>
      </c>
      <c r="L3722" t="s">
        <v>90</v>
      </c>
      <c r="M3722" t="s">
        <v>91</v>
      </c>
      <c r="N3722" t="s">
        <v>2757</v>
      </c>
      <c r="O3722" t="s">
        <v>82</v>
      </c>
      <c r="P3722" t="str">
        <f>"2170718430                    "</f>
        <v xml:space="preserve">2170718430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40.75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8.6999999999999993</v>
      </c>
      <c r="BJ3722">
        <v>9.1999999999999993</v>
      </c>
      <c r="BK3722">
        <v>9.5</v>
      </c>
      <c r="BL3722" s="4">
        <v>239.52</v>
      </c>
      <c r="BM3722" s="4">
        <v>35.93</v>
      </c>
      <c r="BN3722" s="4">
        <v>275.45</v>
      </c>
      <c r="BO3722" s="4">
        <v>275.45</v>
      </c>
      <c r="BQ3722" t="s">
        <v>3371</v>
      </c>
      <c r="BR3722" t="s">
        <v>84</v>
      </c>
      <c r="BS3722" s="3">
        <v>43798</v>
      </c>
      <c r="BT3722" s="5">
        <v>0.39166666666666666</v>
      </c>
      <c r="BU3722" t="s">
        <v>2758</v>
      </c>
      <c r="BV3722" t="s">
        <v>86</v>
      </c>
      <c r="BY3722">
        <v>46065.599999999999</v>
      </c>
      <c r="CA3722" t="s">
        <v>515</v>
      </c>
      <c r="CC3722" t="s">
        <v>91</v>
      </c>
      <c r="CD3722">
        <v>7493</v>
      </c>
      <c r="CE3722" t="s">
        <v>88</v>
      </c>
      <c r="CI3722">
        <v>1</v>
      </c>
      <c r="CJ3722">
        <v>1</v>
      </c>
      <c r="CK3722">
        <v>21</v>
      </c>
      <c r="CL3722" t="s">
        <v>89</v>
      </c>
    </row>
    <row r="3723" spans="1:90">
      <c r="A3723" t="s">
        <v>72</v>
      </c>
      <c r="B3723" t="s">
        <v>73</v>
      </c>
      <c r="C3723" t="s">
        <v>74</v>
      </c>
      <c r="E3723" t="str">
        <f>"FES1162725782"</f>
        <v>FES1162725782</v>
      </c>
      <c r="F3723" s="3">
        <v>43797</v>
      </c>
      <c r="G3723">
        <v>202005</v>
      </c>
      <c r="H3723" t="s">
        <v>75</v>
      </c>
      <c r="I3723" t="s">
        <v>76</v>
      </c>
      <c r="J3723" t="s">
        <v>77</v>
      </c>
      <c r="K3723" t="s">
        <v>78</v>
      </c>
      <c r="L3723" t="s">
        <v>482</v>
      </c>
      <c r="M3723" t="s">
        <v>483</v>
      </c>
      <c r="N3723" t="s">
        <v>1442</v>
      </c>
      <c r="O3723" t="s">
        <v>82</v>
      </c>
      <c r="P3723" t="str">
        <f>"2170719342                    "</f>
        <v xml:space="preserve">2170719342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6.71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 s="4">
        <v>39.42</v>
      </c>
      <c r="BM3723" s="4">
        <v>5.91</v>
      </c>
      <c r="BN3723" s="4">
        <v>45.33</v>
      </c>
      <c r="BO3723" s="4">
        <v>45.33</v>
      </c>
      <c r="BQ3723" t="s">
        <v>121</v>
      </c>
      <c r="BR3723" t="s">
        <v>84</v>
      </c>
      <c r="BS3723" s="3">
        <v>43798</v>
      </c>
      <c r="BT3723" s="5">
        <v>0.28333333333333333</v>
      </c>
      <c r="BU3723" t="s">
        <v>3195</v>
      </c>
      <c r="BV3723" t="s">
        <v>86</v>
      </c>
      <c r="BY3723">
        <v>1200</v>
      </c>
      <c r="CA3723" t="s">
        <v>3369</v>
      </c>
      <c r="CC3723" t="s">
        <v>483</v>
      </c>
      <c r="CD3723">
        <v>1460</v>
      </c>
      <c r="CE3723" t="s">
        <v>147</v>
      </c>
      <c r="CI3723">
        <v>1</v>
      </c>
      <c r="CJ3723">
        <v>1</v>
      </c>
      <c r="CK3723">
        <v>22</v>
      </c>
      <c r="CL3723" t="s">
        <v>89</v>
      </c>
    </row>
    <row r="3724" spans="1:90">
      <c r="A3724" t="s">
        <v>72</v>
      </c>
      <c r="B3724" t="s">
        <v>73</v>
      </c>
      <c r="C3724" t="s">
        <v>74</v>
      </c>
      <c r="E3724" t="str">
        <f>"FES1162725484"</f>
        <v>FES1162725484</v>
      </c>
      <c r="F3724" s="3">
        <v>43797</v>
      </c>
      <c r="G3724">
        <v>202005</v>
      </c>
      <c r="H3724" t="s">
        <v>75</v>
      </c>
      <c r="I3724" t="s">
        <v>76</v>
      </c>
      <c r="J3724" t="s">
        <v>77</v>
      </c>
      <c r="K3724" t="s">
        <v>78</v>
      </c>
      <c r="L3724" t="s">
        <v>106</v>
      </c>
      <c r="M3724" t="s">
        <v>107</v>
      </c>
      <c r="N3724" t="s">
        <v>128</v>
      </c>
      <c r="O3724" t="s">
        <v>82</v>
      </c>
      <c r="P3724" t="str">
        <f>"2170718917                    "</f>
        <v xml:space="preserve">2170718917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100.79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4</v>
      </c>
      <c r="BJ3724">
        <v>23.3</v>
      </c>
      <c r="BK3724">
        <v>23.5</v>
      </c>
      <c r="BL3724" s="4">
        <v>592.44000000000005</v>
      </c>
      <c r="BM3724" s="4">
        <v>88.87</v>
      </c>
      <c r="BN3724" s="4">
        <v>681.31</v>
      </c>
      <c r="BO3724" s="4">
        <v>681.31</v>
      </c>
      <c r="BQ3724" t="s">
        <v>121</v>
      </c>
      <c r="BR3724" t="s">
        <v>84</v>
      </c>
      <c r="BS3724" s="3">
        <v>43798</v>
      </c>
      <c r="BT3724" s="5">
        <v>0.37152777777777773</v>
      </c>
      <c r="BU3724" t="s">
        <v>3372</v>
      </c>
      <c r="BV3724" t="s">
        <v>86</v>
      </c>
      <c r="BY3724">
        <v>116603</v>
      </c>
      <c r="CA3724" t="s">
        <v>111</v>
      </c>
      <c r="CC3724" t="s">
        <v>107</v>
      </c>
      <c r="CD3724">
        <v>6001</v>
      </c>
      <c r="CE3724" t="s">
        <v>1598</v>
      </c>
      <c r="CI3724">
        <v>1</v>
      </c>
      <c r="CJ3724">
        <v>1</v>
      </c>
      <c r="CK3724">
        <v>21</v>
      </c>
      <c r="CL3724" t="s">
        <v>89</v>
      </c>
    </row>
    <row r="3725" spans="1:90">
      <c r="A3725" t="s">
        <v>72</v>
      </c>
      <c r="B3725" t="s">
        <v>73</v>
      </c>
      <c r="C3725" t="s">
        <v>74</v>
      </c>
      <c r="E3725" t="str">
        <f>"FES1162725713"</f>
        <v>FES1162725713</v>
      </c>
      <c r="F3725" s="3">
        <v>43797</v>
      </c>
      <c r="G3725">
        <v>202005</v>
      </c>
      <c r="H3725" t="s">
        <v>75</v>
      </c>
      <c r="I3725" t="s">
        <v>76</v>
      </c>
      <c r="J3725" t="s">
        <v>77</v>
      </c>
      <c r="K3725" t="s">
        <v>78</v>
      </c>
      <c r="L3725" t="s">
        <v>118</v>
      </c>
      <c r="M3725" t="s">
        <v>119</v>
      </c>
      <c r="N3725" t="s">
        <v>2031</v>
      </c>
      <c r="O3725" t="s">
        <v>82</v>
      </c>
      <c r="P3725" t="str">
        <f>"2170714770                    "</f>
        <v xml:space="preserve">2170714770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8.58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0.5</v>
      </c>
      <c r="BJ3725">
        <v>0.9</v>
      </c>
      <c r="BK3725">
        <v>1</v>
      </c>
      <c r="BL3725" s="4">
        <v>50.45</v>
      </c>
      <c r="BM3725" s="4">
        <v>7.57</v>
      </c>
      <c r="BN3725" s="4">
        <v>58.02</v>
      </c>
      <c r="BO3725" s="4">
        <v>58.02</v>
      </c>
      <c r="BR3725" t="s">
        <v>84</v>
      </c>
      <c r="BS3725" s="3">
        <v>43798</v>
      </c>
      <c r="BT3725" s="5">
        <v>0.43263888888888885</v>
      </c>
      <c r="BU3725" t="s">
        <v>3373</v>
      </c>
      <c r="BV3725" t="s">
        <v>86</v>
      </c>
      <c r="BY3725">
        <v>4430.0600000000004</v>
      </c>
      <c r="CA3725" t="s">
        <v>171</v>
      </c>
      <c r="CC3725" t="s">
        <v>119</v>
      </c>
      <c r="CD3725">
        <v>3201</v>
      </c>
      <c r="CE3725" t="s">
        <v>88</v>
      </c>
      <c r="CI3725">
        <v>1</v>
      </c>
      <c r="CJ3725">
        <v>1</v>
      </c>
      <c r="CK3725">
        <v>21</v>
      </c>
      <c r="CL3725" t="s">
        <v>89</v>
      </c>
    </row>
    <row r="3726" spans="1:90">
      <c r="A3726" t="s">
        <v>72</v>
      </c>
      <c r="B3726" t="s">
        <v>73</v>
      </c>
      <c r="C3726" t="s">
        <v>74</v>
      </c>
      <c r="E3726" t="str">
        <f>"FES1162725921"</f>
        <v>FES1162725921</v>
      </c>
      <c r="F3726" s="3">
        <v>43797</v>
      </c>
      <c r="G3726">
        <v>202005</v>
      </c>
      <c r="H3726" t="s">
        <v>75</v>
      </c>
      <c r="I3726" t="s">
        <v>76</v>
      </c>
      <c r="J3726" t="s">
        <v>77</v>
      </c>
      <c r="K3726" t="s">
        <v>78</v>
      </c>
      <c r="L3726" t="s">
        <v>90</v>
      </c>
      <c r="M3726" t="s">
        <v>91</v>
      </c>
      <c r="N3726" t="s">
        <v>2502</v>
      </c>
      <c r="O3726" t="s">
        <v>82</v>
      </c>
      <c r="P3726" t="str">
        <f>"2170717703                    "</f>
        <v xml:space="preserve">2170717703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15.02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3.1</v>
      </c>
      <c r="BJ3726">
        <v>3.1</v>
      </c>
      <c r="BK3726">
        <v>3.5</v>
      </c>
      <c r="BL3726" s="4">
        <v>88.27</v>
      </c>
      <c r="BM3726" s="4">
        <v>13.24</v>
      </c>
      <c r="BN3726" s="4">
        <v>101.51</v>
      </c>
      <c r="BO3726" s="4">
        <v>101.51</v>
      </c>
      <c r="BQ3726" t="s">
        <v>3374</v>
      </c>
      <c r="BR3726" t="s">
        <v>84</v>
      </c>
      <c r="BS3726" s="3">
        <v>43798</v>
      </c>
      <c r="BT3726" s="5">
        <v>0.50902777777777775</v>
      </c>
      <c r="BU3726" t="s">
        <v>563</v>
      </c>
      <c r="BV3726" t="s">
        <v>89</v>
      </c>
      <c r="BW3726" t="s">
        <v>596</v>
      </c>
      <c r="BX3726" t="s">
        <v>365</v>
      </c>
      <c r="BY3726">
        <v>15728.35</v>
      </c>
      <c r="CA3726" t="s">
        <v>1281</v>
      </c>
      <c r="CC3726" t="s">
        <v>91</v>
      </c>
      <c r="CD3726">
        <v>8000</v>
      </c>
      <c r="CE3726" t="s">
        <v>88</v>
      </c>
      <c r="CI3726">
        <v>1</v>
      </c>
      <c r="CJ3726">
        <v>1</v>
      </c>
      <c r="CK3726">
        <v>21</v>
      </c>
      <c r="CL3726" t="s">
        <v>89</v>
      </c>
    </row>
    <row r="3727" spans="1:90">
      <c r="A3727" t="s">
        <v>72</v>
      </c>
      <c r="B3727" t="s">
        <v>73</v>
      </c>
      <c r="C3727" t="s">
        <v>74</v>
      </c>
      <c r="E3727" t="str">
        <f>"FES1162725604"</f>
        <v>FES1162725604</v>
      </c>
      <c r="F3727" s="3">
        <v>43797</v>
      </c>
      <c r="G3727">
        <v>202005</v>
      </c>
      <c r="H3727" t="s">
        <v>75</v>
      </c>
      <c r="I3727" t="s">
        <v>76</v>
      </c>
      <c r="J3727" t="s">
        <v>77</v>
      </c>
      <c r="K3727" t="s">
        <v>78</v>
      </c>
      <c r="L3727" t="s">
        <v>176</v>
      </c>
      <c r="M3727" t="s">
        <v>177</v>
      </c>
      <c r="N3727" t="s">
        <v>3375</v>
      </c>
      <c r="O3727" t="s">
        <v>82</v>
      </c>
      <c r="P3727" t="str">
        <f>"2170717895                    "</f>
        <v xml:space="preserve">2170717895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25.74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3.5</v>
      </c>
      <c r="BJ3727">
        <v>6</v>
      </c>
      <c r="BK3727">
        <v>6</v>
      </c>
      <c r="BL3727" s="4">
        <v>151.29</v>
      </c>
      <c r="BM3727" s="4">
        <v>22.69</v>
      </c>
      <c r="BN3727" s="4">
        <v>173.98</v>
      </c>
      <c r="BO3727" s="4">
        <v>173.98</v>
      </c>
      <c r="BQ3727" t="s">
        <v>109</v>
      </c>
      <c r="BR3727" t="s">
        <v>84</v>
      </c>
      <c r="BS3727" s="3">
        <v>43798</v>
      </c>
      <c r="BT3727" s="5">
        <v>0.4069444444444445</v>
      </c>
      <c r="BU3727" t="s">
        <v>3376</v>
      </c>
      <c r="BV3727" t="s">
        <v>86</v>
      </c>
      <c r="BY3727">
        <v>30038.18</v>
      </c>
      <c r="CA3727" t="s">
        <v>180</v>
      </c>
      <c r="CC3727" t="s">
        <v>177</v>
      </c>
      <c r="CD3727">
        <v>3600</v>
      </c>
      <c r="CE3727" t="s">
        <v>1598</v>
      </c>
      <c r="CI3727">
        <v>1</v>
      </c>
      <c r="CJ3727">
        <v>1</v>
      </c>
      <c r="CK3727">
        <v>21</v>
      </c>
      <c r="CL3727" t="s">
        <v>89</v>
      </c>
    </row>
    <row r="3728" spans="1:90">
      <c r="A3728" t="s">
        <v>72</v>
      </c>
      <c r="B3728" t="s">
        <v>73</v>
      </c>
      <c r="C3728" t="s">
        <v>74</v>
      </c>
      <c r="E3728" t="str">
        <f>"FES1162725860"</f>
        <v>FES1162725860</v>
      </c>
      <c r="F3728" s="3">
        <v>43797</v>
      </c>
      <c r="G3728">
        <v>202005</v>
      </c>
      <c r="H3728" t="s">
        <v>75</v>
      </c>
      <c r="I3728" t="s">
        <v>76</v>
      </c>
      <c r="J3728" t="s">
        <v>77</v>
      </c>
      <c r="K3728" t="s">
        <v>78</v>
      </c>
      <c r="L3728" t="s">
        <v>124</v>
      </c>
      <c r="M3728" t="s">
        <v>125</v>
      </c>
      <c r="N3728" t="s">
        <v>1928</v>
      </c>
      <c r="O3728" t="s">
        <v>82</v>
      </c>
      <c r="P3728" t="str">
        <f>"2170716913                    "</f>
        <v xml:space="preserve">2170716913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6.71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 s="4">
        <v>39.42</v>
      </c>
      <c r="BM3728" s="4">
        <v>5.91</v>
      </c>
      <c r="BN3728" s="4">
        <v>45.33</v>
      </c>
      <c r="BO3728" s="4">
        <v>45.33</v>
      </c>
      <c r="BQ3728" t="s">
        <v>121</v>
      </c>
      <c r="BR3728" t="s">
        <v>84</v>
      </c>
      <c r="BS3728" s="3">
        <v>43798</v>
      </c>
      <c r="BT3728" s="5">
        <v>0.40069444444444446</v>
      </c>
      <c r="BU3728" t="s">
        <v>2583</v>
      </c>
      <c r="BV3728" t="s">
        <v>86</v>
      </c>
      <c r="BY3728">
        <v>1200</v>
      </c>
      <c r="CC3728" t="s">
        <v>125</v>
      </c>
      <c r="CD3728">
        <v>2091</v>
      </c>
      <c r="CE3728" t="s">
        <v>147</v>
      </c>
      <c r="CI3728">
        <v>1</v>
      </c>
      <c r="CJ3728">
        <v>1</v>
      </c>
      <c r="CK3728">
        <v>22</v>
      </c>
      <c r="CL3728" t="s">
        <v>89</v>
      </c>
    </row>
    <row r="3729" spans="1:90">
      <c r="A3729" t="s">
        <v>72</v>
      </c>
      <c r="B3729" t="s">
        <v>73</v>
      </c>
      <c r="C3729" t="s">
        <v>74</v>
      </c>
      <c r="E3729" t="str">
        <f>"FES1162725661"</f>
        <v>FES1162725661</v>
      </c>
      <c r="F3729" s="3">
        <v>43797</v>
      </c>
      <c r="G3729">
        <v>202005</v>
      </c>
      <c r="H3729" t="s">
        <v>75</v>
      </c>
      <c r="I3729" t="s">
        <v>76</v>
      </c>
      <c r="J3729" t="s">
        <v>77</v>
      </c>
      <c r="K3729" t="s">
        <v>78</v>
      </c>
      <c r="L3729" t="s">
        <v>90</v>
      </c>
      <c r="M3729" t="s">
        <v>91</v>
      </c>
      <c r="N3729" t="s">
        <v>2775</v>
      </c>
      <c r="O3729" t="s">
        <v>82</v>
      </c>
      <c r="P3729" t="str">
        <f>"2170718329                    "</f>
        <v xml:space="preserve">2170718329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8.58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1.2</v>
      </c>
      <c r="BJ3729">
        <v>1.9</v>
      </c>
      <c r="BK3729">
        <v>2</v>
      </c>
      <c r="BL3729" s="4">
        <v>50.45</v>
      </c>
      <c r="BM3729" s="4">
        <v>7.57</v>
      </c>
      <c r="BN3729" s="4">
        <v>58.02</v>
      </c>
      <c r="BO3729" s="4">
        <v>58.02</v>
      </c>
      <c r="BQ3729" t="s">
        <v>109</v>
      </c>
      <c r="BR3729" t="s">
        <v>84</v>
      </c>
      <c r="BS3729" s="3">
        <v>43798</v>
      </c>
      <c r="BT3729" s="5">
        <v>0.41597222222222219</v>
      </c>
      <c r="BU3729" t="s">
        <v>3377</v>
      </c>
      <c r="BV3729" t="s">
        <v>86</v>
      </c>
      <c r="BY3729">
        <v>9540.1299999999992</v>
      </c>
      <c r="CA3729" t="s">
        <v>3378</v>
      </c>
      <c r="CC3729" t="s">
        <v>91</v>
      </c>
      <c r="CD3729">
        <v>7550</v>
      </c>
      <c r="CE3729" t="s">
        <v>1598</v>
      </c>
      <c r="CI3729">
        <v>1</v>
      </c>
      <c r="CJ3729">
        <v>1</v>
      </c>
      <c r="CK3729">
        <v>21</v>
      </c>
      <c r="CL3729" t="s">
        <v>89</v>
      </c>
    </row>
    <row r="3730" spans="1:90">
      <c r="A3730" t="s">
        <v>72</v>
      </c>
      <c r="B3730" t="s">
        <v>73</v>
      </c>
      <c r="C3730" t="s">
        <v>74</v>
      </c>
      <c r="E3730" t="str">
        <f>"FES1162725521"</f>
        <v>FES1162725521</v>
      </c>
      <c r="F3730" s="3">
        <v>43797</v>
      </c>
      <c r="G3730">
        <v>202005</v>
      </c>
      <c r="H3730" t="s">
        <v>75</v>
      </c>
      <c r="I3730" t="s">
        <v>76</v>
      </c>
      <c r="J3730" t="s">
        <v>77</v>
      </c>
      <c r="K3730" t="s">
        <v>78</v>
      </c>
      <c r="L3730" t="s">
        <v>90</v>
      </c>
      <c r="M3730" t="s">
        <v>91</v>
      </c>
      <c r="N3730" t="s">
        <v>715</v>
      </c>
      <c r="O3730" t="s">
        <v>82</v>
      </c>
      <c r="P3730" t="str">
        <f>"2170716440                    "</f>
        <v xml:space="preserve">2170716440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8.58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1.5</v>
      </c>
      <c r="BJ3730">
        <v>0.9</v>
      </c>
      <c r="BK3730">
        <v>1.5</v>
      </c>
      <c r="BL3730" s="4">
        <v>50.45</v>
      </c>
      <c r="BM3730" s="4">
        <v>7.57</v>
      </c>
      <c r="BN3730" s="4">
        <v>58.02</v>
      </c>
      <c r="BO3730" s="4">
        <v>58.02</v>
      </c>
      <c r="BQ3730" t="s">
        <v>109</v>
      </c>
      <c r="BR3730" t="s">
        <v>84</v>
      </c>
      <c r="BS3730" s="3">
        <v>43798</v>
      </c>
      <c r="BT3730" s="5">
        <v>0.3520833333333333</v>
      </c>
      <c r="BU3730" t="s">
        <v>3379</v>
      </c>
      <c r="BV3730" t="s">
        <v>86</v>
      </c>
      <c r="BY3730">
        <v>4601.2</v>
      </c>
      <c r="CA3730" t="s">
        <v>717</v>
      </c>
      <c r="CC3730" t="s">
        <v>91</v>
      </c>
      <c r="CD3730">
        <v>7925</v>
      </c>
      <c r="CE3730" t="s">
        <v>88</v>
      </c>
      <c r="CI3730">
        <v>1</v>
      </c>
      <c r="CJ3730">
        <v>1</v>
      </c>
      <c r="CK3730">
        <v>21</v>
      </c>
      <c r="CL3730" t="s">
        <v>89</v>
      </c>
    </row>
    <row r="3731" spans="1:90">
      <c r="A3731" t="s">
        <v>72</v>
      </c>
      <c r="B3731" t="s">
        <v>73</v>
      </c>
      <c r="C3731" t="s">
        <v>74</v>
      </c>
      <c r="E3731" t="str">
        <f>"FES1162725531"</f>
        <v>FES1162725531</v>
      </c>
      <c r="F3731" s="3">
        <v>43797</v>
      </c>
      <c r="G3731">
        <v>202005</v>
      </c>
      <c r="H3731" t="s">
        <v>75</v>
      </c>
      <c r="I3731" t="s">
        <v>76</v>
      </c>
      <c r="J3731" t="s">
        <v>77</v>
      </c>
      <c r="K3731" t="s">
        <v>78</v>
      </c>
      <c r="L3731" t="s">
        <v>124</v>
      </c>
      <c r="M3731" t="s">
        <v>125</v>
      </c>
      <c r="N3731" t="s">
        <v>218</v>
      </c>
      <c r="O3731" t="s">
        <v>82</v>
      </c>
      <c r="P3731" t="str">
        <f>"2170716329                    "</f>
        <v xml:space="preserve">2170716329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6.71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 s="4">
        <v>39.42</v>
      </c>
      <c r="BM3731" s="4">
        <v>5.91</v>
      </c>
      <c r="BN3731" s="4">
        <v>45.33</v>
      </c>
      <c r="BO3731" s="4">
        <v>45.33</v>
      </c>
      <c r="BQ3731" t="s">
        <v>121</v>
      </c>
      <c r="BR3731" t="s">
        <v>84</v>
      </c>
      <c r="BS3731" s="3">
        <v>43798</v>
      </c>
      <c r="BT3731" s="5">
        <v>0.4284722222222222</v>
      </c>
      <c r="BU3731" t="s">
        <v>2809</v>
      </c>
      <c r="BV3731" t="s">
        <v>86</v>
      </c>
      <c r="BY3731">
        <v>1200</v>
      </c>
      <c r="CA3731" t="s">
        <v>837</v>
      </c>
      <c r="CC3731" t="s">
        <v>125</v>
      </c>
      <c r="CD3731">
        <v>2094</v>
      </c>
      <c r="CE3731" t="s">
        <v>147</v>
      </c>
      <c r="CI3731">
        <v>1</v>
      </c>
      <c r="CJ3731">
        <v>1</v>
      </c>
      <c r="CK3731">
        <v>22</v>
      </c>
      <c r="CL3731" t="s">
        <v>89</v>
      </c>
    </row>
    <row r="3732" spans="1:90">
      <c r="A3732" t="s">
        <v>72</v>
      </c>
      <c r="B3732" t="s">
        <v>73</v>
      </c>
      <c r="C3732" t="s">
        <v>74</v>
      </c>
      <c r="E3732" t="str">
        <f>"FES1162725739"</f>
        <v>FES1162725739</v>
      </c>
      <c r="F3732" s="3">
        <v>43797</v>
      </c>
      <c r="G3732">
        <v>202005</v>
      </c>
      <c r="H3732" t="s">
        <v>75</v>
      </c>
      <c r="I3732" t="s">
        <v>76</v>
      </c>
      <c r="J3732" t="s">
        <v>77</v>
      </c>
      <c r="K3732" t="s">
        <v>78</v>
      </c>
      <c r="L3732" t="s">
        <v>112</v>
      </c>
      <c r="M3732" t="s">
        <v>113</v>
      </c>
      <c r="N3732" t="s">
        <v>1337</v>
      </c>
      <c r="O3732" t="s">
        <v>82</v>
      </c>
      <c r="P3732" t="str">
        <f>"2170717349                    "</f>
        <v xml:space="preserve">2170717349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10.73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2.1</v>
      </c>
      <c r="BJ3732">
        <v>1.4</v>
      </c>
      <c r="BK3732">
        <v>2.5</v>
      </c>
      <c r="BL3732" s="4">
        <v>63.06</v>
      </c>
      <c r="BM3732" s="4">
        <v>9.4600000000000009</v>
      </c>
      <c r="BN3732" s="4">
        <v>72.52</v>
      </c>
      <c r="BO3732" s="4">
        <v>72.52</v>
      </c>
      <c r="BR3732" t="s">
        <v>84</v>
      </c>
      <c r="BS3732" s="3">
        <v>43798</v>
      </c>
      <c r="BT3732" s="5">
        <v>0.46666666666666662</v>
      </c>
      <c r="BU3732" t="s">
        <v>1338</v>
      </c>
      <c r="BV3732" t="s">
        <v>89</v>
      </c>
      <c r="BW3732" t="s">
        <v>144</v>
      </c>
      <c r="BX3732" t="s">
        <v>145</v>
      </c>
      <c r="BY3732">
        <v>6822.04</v>
      </c>
      <c r="CA3732" t="s">
        <v>1339</v>
      </c>
      <c r="CC3732" t="s">
        <v>113</v>
      </c>
      <c r="CD3732">
        <v>4051</v>
      </c>
      <c r="CE3732" t="s">
        <v>88</v>
      </c>
      <c r="CI3732">
        <v>1</v>
      </c>
      <c r="CJ3732">
        <v>1</v>
      </c>
      <c r="CK3732">
        <v>21</v>
      </c>
      <c r="CL3732" t="s">
        <v>89</v>
      </c>
    </row>
    <row r="3733" spans="1:90">
      <c r="A3733" t="s">
        <v>72</v>
      </c>
      <c r="B3733" t="s">
        <v>73</v>
      </c>
      <c r="C3733" t="s">
        <v>74</v>
      </c>
      <c r="E3733" t="str">
        <f>"FES1162725607"</f>
        <v>FES1162725607</v>
      </c>
      <c r="F3733" s="3">
        <v>43797</v>
      </c>
      <c r="G3733">
        <v>202005</v>
      </c>
      <c r="H3733" t="s">
        <v>75</v>
      </c>
      <c r="I3733" t="s">
        <v>76</v>
      </c>
      <c r="J3733" t="s">
        <v>77</v>
      </c>
      <c r="K3733" t="s">
        <v>78</v>
      </c>
      <c r="L3733" t="s">
        <v>482</v>
      </c>
      <c r="M3733" t="s">
        <v>483</v>
      </c>
      <c r="N3733" t="s">
        <v>3274</v>
      </c>
      <c r="O3733" t="s">
        <v>82</v>
      </c>
      <c r="P3733" t="str">
        <f>"2170717909                    "</f>
        <v xml:space="preserve">2170717909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6.71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 s="4">
        <v>39.42</v>
      </c>
      <c r="BM3733" s="4">
        <v>5.91</v>
      </c>
      <c r="BN3733" s="4">
        <v>45.33</v>
      </c>
      <c r="BO3733" s="4">
        <v>45.33</v>
      </c>
      <c r="BQ3733" t="s">
        <v>121</v>
      </c>
      <c r="BR3733" t="s">
        <v>84</v>
      </c>
      <c r="BS3733" t="s">
        <v>201</v>
      </c>
      <c r="BY3733">
        <v>1200</v>
      </c>
      <c r="CC3733" t="s">
        <v>483</v>
      </c>
      <c r="CD3733">
        <v>1460</v>
      </c>
      <c r="CE3733" t="s">
        <v>147</v>
      </c>
      <c r="CI3733">
        <v>1</v>
      </c>
      <c r="CJ3733" t="s">
        <v>201</v>
      </c>
      <c r="CK3733">
        <v>22</v>
      </c>
      <c r="CL3733" t="s">
        <v>89</v>
      </c>
    </row>
    <row r="3734" spans="1:90">
      <c r="A3734" t="s">
        <v>72</v>
      </c>
      <c r="B3734" t="s">
        <v>73</v>
      </c>
      <c r="C3734" t="s">
        <v>74</v>
      </c>
      <c r="E3734" t="str">
        <f>"FES1162725851"</f>
        <v>FES1162725851</v>
      </c>
      <c r="F3734" s="3">
        <v>43797</v>
      </c>
      <c r="G3734">
        <v>202005</v>
      </c>
      <c r="H3734" t="s">
        <v>75</v>
      </c>
      <c r="I3734" t="s">
        <v>76</v>
      </c>
      <c r="J3734" t="s">
        <v>77</v>
      </c>
      <c r="K3734" t="s">
        <v>78</v>
      </c>
      <c r="L3734" t="s">
        <v>2722</v>
      </c>
      <c r="M3734" t="s">
        <v>2723</v>
      </c>
      <c r="N3734" t="s">
        <v>2724</v>
      </c>
      <c r="O3734" t="s">
        <v>82</v>
      </c>
      <c r="P3734" t="str">
        <f>"2170719437                    "</f>
        <v xml:space="preserve">2170719437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12.87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2.7</v>
      </c>
      <c r="BJ3734">
        <v>0.9</v>
      </c>
      <c r="BK3734">
        <v>3</v>
      </c>
      <c r="BL3734" s="4">
        <v>75.66</v>
      </c>
      <c r="BM3734" s="4">
        <v>11.35</v>
      </c>
      <c r="BN3734" s="4">
        <v>87.01</v>
      </c>
      <c r="BO3734" s="4">
        <v>87.01</v>
      </c>
      <c r="BQ3734" t="s">
        <v>109</v>
      </c>
      <c r="BR3734" t="s">
        <v>84</v>
      </c>
      <c r="BS3734" s="3">
        <v>43798</v>
      </c>
      <c r="BT3734" s="5">
        <v>0.39097222222222222</v>
      </c>
      <c r="BU3734" t="s">
        <v>2207</v>
      </c>
      <c r="BV3734" t="s">
        <v>86</v>
      </c>
      <c r="BY3734">
        <v>4638.25</v>
      </c>
      <c r="CA3734" t="s">
        <v>1052</v>
      </c>
      <c r="CC3734" t="s">
        <v>2723</v>
      </c>
      <c r="CD3734">
        <v>4126</v>
      </c>
      <c r="CE3734" t="s">
        <v>88</v>
      </c>
      <c r="CI3734">
        <v>1</v>
      </c>
      <c r="CJ3734">
        <v>1</v>
      </c>
      <c r="CK3734">
        <v>21</v>
      </c>
      <c r="CL3734" t="s">
        <v>89</v>
      </c>
    </row>
    <row r="3735" spans="1:90">
      <c r="A3735" t="s">
        <v>72</v>
      </c>
      <c r="B3735" t="s">
        <v>73</v>
      </c>
      <c r="C3735" t="s">
        <v>74</v>
      </c>
      <c r="E3735" t="str">
        <f>"FES1162725536"</f>
        <v>FES1162725536</v>
      </c>
      <c r="F3735" s="3">
        <v>43797</v>
      </c>
      <c r="G3735">
        <v>202005</v>
      </c>
      <c r="H3735" t="s">
        <v>75</v>
      </c>
      <c r="I3735" t="s">
        <v>76</v>
      </c>
      <c r="J3735" t="s">
        <v>77</v>
      </c>
      <c r="K3735" t="s">
        <v>78</v>
      </c>
      <c r="L3735" t="s">
        <v>124</v>
      </c>
      <c r="M3735" t="s">
        <v>125</v>
      </c>
      <c r="N3735" t="s">
        <v>218</v>
      </c>
      <c r="O3735" t="s">
        <v>82</v>
      </c>
      <c r="P3735" t="str">
        <f>"2170717062                    "</f>
        <v xml:space="preserve">2170717062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8.31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1.8</v>
      </c>
      <c r="BJ3735">
        <v>3</v>
      </c>
      <c r="BK3735">
        <v>3</v>
      </c>
      <c r="BL3735" s="4">
        <v>48.86</v>
      </c>
      <c r="BM3735" s="4">
        <v>7.33</v>
      </c>
      <c r="BN3735" s="4">
        <v>56.19</v>
      </c>
      <c r="BO3735" s="4">
        <v>56.19</v>
      </c>
      <c r="BQ3735" t="s">
        <v>121</v>
      </c>
      <c r="BR3735" t="s">
        <v>84</v>
      </c>
      <c r="BS3735" s="3">
        <v>43798</v>
      </c>
      <c r="BT3735" s="5">
        <v>0.42499999999999999</v>
      </c>
      <c r="BU3735" t="s">
        <v>2809</v>
      </c>
      <c r="BV3735" t="s">
        <v>86</v>
      </c>
      <c r="BY3735">
        <v>15231.31</v>
      </c>
      <c r="CA3735" t="s">
        <v>837</v>
      </c>
      <c r="CC3735" t="s">
        <v>125</v>
      </c>
      <c r="CD3735">
        <v>2094</v>
      </c>
      <c r="CE3735" t="s">
        <v>88</v>
      </c>
      <c r="CI3735">
        <v>1</v>
      </c>
      <c r="CJ3735">
        <v>1</v>
      </c>
      <c r="CK3735">
        <v>22</v>
      </c>
      <c r="CL3735" t="s">
        <v>89</v>
      </c>
    </row>
    <row r="3736" spans="1:90">
      <c r="A3736" t="s">
        <v>72</v>
      </c>
      <c r="B3736" t="s">
        <v>73</v>
      </c>
      <c r="C3736" t="s">
        <v>74</v>
      </c>
      <c r="E3736" t="str">
        <f>"FES1162725803"</f>
        <v>FES1162725803</v>
      </c>
      <c r="F3736" s="3">
        <v>43797</v>
      </c>
      <c r="G3736">
        <v>202005</v>
      </c>
      <c r="H3736" t="s">
        <v>75</v>
      </c>
      <c r="I3736" t="s">
        <v>76</v>
      </c>
      <c r="J3736" t="s">
        <v>77</v>
      </c>
      <c r="K3736" t="s">
        <v>78</v>
      </c>
      <c r="L3736" t="s">
        <v>101</v>
      </c>
      <c r="M3736" t="s">
        <v>102</v>
      </c>
      <c r="N3736" t="s">
        <v>1857</v>
      </c>
      <c r="O3736" t="s">
        <v>82</v>
      </c>
      <c r="P3736" t="str">
        <f>"2170719367                    "</f>
        <v xml:space="preserve">2170719367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8.58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 s="4">
        <v>50.45</v>
      </c>
      <c r="BM3736" s="4">
        <v>7.57</v>
      </c>
      <c r="BN3736" s="4">
        <v>58.02</v>
      </c>
      <c r="BO3736" s="4">
        <v>58.02</v>
      </c>
      <c r="BQ3736" t="s">
        <v>109</v>
      </c>
      <c r="BR3736" t="s">
        <v>84</v>
      </c>
      <c r="BS3736" s="3">
        <v>43798</v>
      </c>
      <c r="BT3736" s="5">
        <v>0.38541666666666669</v>
      </c>
      <c r="BU3736" t="s">
        <v>3380</v>
      </c>
      <c r="BV3736" t="s">
        <v>86</v>
      </c>
      <c r="BY3736">
        <v>1200</v>
      </c>
      <c r="CA3736" t="s">
        <v>183</v>
      </c>
      <c r="CC3736" t="s">
        <v>102</v>
      </c>
      <c r="CD3736">
        <v>200</v>
      </c>
      <c r="CE3736" t="s">
        <v>147</v>
      </c>
      <c r="CI3736">
        <v>1</v>
      </c>
      <c r="CJ3736">
        <v>1</v>
      </c>
      <c r="CK3736">
        <v>21</v>
      </c>
      <c r="CL3736" t="s">
        <v>89</v>
      </c>
    </row>
    <row r="3737" spans="1:90">
      <c r="A3737" t="s">
        <v>72</v>
      </c>
      <c r="B3737" t="s">
        <v>73</v>
      </c>
      <c r="C3737" t="s">
        <v>74</v>
      </c>
      <c r="E3737" t="str">
        <f>"FES1162725705"</f>
        <v>FES1162725705</v>
      </c>
      <c r="F3737" s="3">
        <v>43797</v>
      </c>
      <c r="G3737">
        <v>202005</v>
      </c>
      <c r="H3737" t="s">
        <v>75</v>
      </c>
      <c r="I3737" t="s">
        <v>76</v>
      </c>
      <c r="J3737" t="s">
        <v>77</v>
      </c>
      <c r="K3737" t="s">
        <v>78</v>
      </c>
      <c r="L3737" t="s">
        <v>106</v>
      </c>
      <c r="M3737" t="s">
        <v>107</v>
      </c>
      <c r="N3737" t="s">
        <v>108</v>
      </c>
      <c r="O3737" t="s">
        <v>82</v>
      </c>
      <c r="P3737" t="str">
        <f>"2170719332                    "</f>
        <v xml:space="preserve">2170719332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8.58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 s="4">
        <v>50.45</v>
      </c>
      <c r="BM3737" s="4">
        <v>7.57</v>
      </c>
      <c r="BN3737" s="4">
        <v>58.02</v>
      </c>
      <c r="BO3737" s="4">
        <v>58.02</v>
      </c>
      <c r="BQ3737" t="s">
        <v>109</v>
      </c>
      <c r="BR3737" t="s">
        <v>84</v>
      </c>
      <c r="BS3737" s="3">
        <v>43798</v>
      </c>
      <c r="BT3737" s="5">
        <v>0.37847222222222227</v>
      </c>
      <c r="BU3737" t="s">
        <v>2881</v>
      </c>
      <c r="BV3737" t="s">
        <v>86</v>
      </c>
      <c r="BY3737">
        <v>1200</v>
      </c>
      <c r="CA3737" t="s">
        <v>111</v>
      </c>
      <c r="CC3737" t="s">
        <v>107</v>
      </c>
      <c r="CD3737">
        <v>6001</v>
      </c>
      <c r="CE3737" t="s">
        <v>147</v>
      </c>
      <c r="CI3737">
        <v>1</v>
      </c>
      <c r="CJ3737">
        <v>1</v>
      </c>
      <c r="CK3737">
        <v>21</v>
      </c>
      <c r="CL3737" t="s">
        <v>89</v>
      </c>
    </row>
    <row r="3738" spans="1:90">
      <c r="A3738" t="s">
        <v>72</v>
      </c>
      <c r="B3738" t="s">
        <v>73</v>
      </c>
      <c r="C3738" t="s">
        <v>74</v>
      </c>
      <c r="E3738" t="str">
        <f>"FES1162725933"</f>
        <v>FES1162725933</v>
      </c>
      <c r="F3738" s="3">
        <v>43797</v>
      </c>
      <c r="G3738">
        <v>202005</v>
      </c>
      <c r="H3738" t="s">
        <v>75</v>
      </c>
      <c r="I3738" t="s">
        <v>76</v>
      </c>
      <c r="J3738" t="s">
        <v>77</v>
      </c>
      <c r="K3738" t="s">
        <v>78</v>
      </c>
      <c r="L3738" t="s">
        <v>112</v>
      </c>
      <c r="M3738" t="s">
        <v>113</v>
      </c>
      <c r="N3738" t="s">
        <v>1080</v>
      </c>
      <c r="O3738" t="s">
        <v>82</v>
      </c>
      <c r="P3738" t="str">
        <f>"2170719472                    "</f>
        <v xml:space="preserve">2170719472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8.58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0.9</v>
      </c>
      <c r="BK3738">
        <v>1</v>
      </c>
      <c r="BL3738" s="4">
        <v>50.45</v>
      </c>
      <c r="BM3738" s="4">
        <v>7.57</v>
      </c>
      <c r="BN3738" s="4">
        <v>58.02</v>
      </c>
      <c r="BO3738" s="4">
        <v>58.02</v>
      </c>
      <c r="BQ3738" t="s">
        <v>1081</v>
      </c>
      <c r="BR3738" t="s">
        <v>84</v>
      </c>
      <c r="BS3738" s="3">
        <v>43798</v>
      </c>
      <c r="BT3738" s="5">
        <v>0.34791666666666665</v>
      </c>
      <c r="BU3738" t="s">
        <v>1082</v>
      </c>
      <c r="BV3738" t="s">
        <v>86</v>
      </c>
      <c r="BY3738">
        <v>4570.0200000000004</v>
      </c>
      <c r="CA3738" t="s">
        <v>229</v>
      </c>
      <c r="CC3738" t="s">
        <v>113</v>
      </c>
      <c r="CD3738">
        <v>4052</v>
      </c>
      <c r="CE3738" t="s">
        <v>88</v>
      </c>
      <c r="CI3738">
        <v>1</v>
      </c>
      <c r="CJ3738">
        <v>1</v>
      </c>
      <c r="CK3738">
        <v>21</v>
      </c>
      <c r="CL3738" t="s">
        <v>89</v>
      </c>
    </row>
    <row r="3739" spans="1:90">
      <c r="A3739" t="s">
        <v>72</v>
      </c>
      <c r="B3739" t="s">
        <v>73</v>
      </c>
      <c r="C3739" t="s">
        <v>74</v>
      </c>
      <c r="E3739" t="str">
        <f>"FES1162725595"</f>
        <v>FES1162725595</v>
      </c>
      <c r="F3739" s="3">
        <v>43797</v>
      </c>
      <c r="G3739">
        <v>202005</v>
      </c>
      <c r="H3739" t="s">
        <v>75</v>
      </c>
      <c r="I3739" t="s">
        <v>76</v>
      </c>
      <c r="J3739" t="s">
        <v>77</v>
      </c>
      <c r="K3739" t="s">
        <v>78</v>
      </c>
      <c r="L3739" t="s">
        <v>106</v>
      </c>
      <c r="M3739" t="s">
        <v>107</v>
      </c>
      <c r="N3739" t="s">
        <v>128</v>
      </c>
      <c r="O3739" t="s">
        <v>82</v>
      </c>
      <c r="P3739" t="str">
        <f>"2170717806                    "</f>
        <v xml:space="preserve">2170717806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8.58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 s="4">
        <v>50.45</v>
      </c>
      <c r="BM3739" s="4">
        <v>7.57</v>
      </c>
      <c r="BN3739" s="4">
        <v>58.02</v>
      </c>
      <c r="BO3739" s="4">
        <v>58.02</v>
      </c>
      <c r="BQ3739" t="s">
        <v>121</v>
      </c>
      <c r="BR3739" t="s">
        <v>84</v>
      </c>
      <c r="BS3739" s="3">
        <v>43798</v>
      </c>
      <c r="BT3739" s="5">
        <v>0.33402777777777781</v>
      </c>
      <c r="BU3739" t="s">
        <v>2450</v>
      </c>
      <c r="BV3739" t="s">
        <v>86</v>
      </c>
      <c r="BY3739">
        <v>1200</v>
      </c>
      <c r="CA3739" t="s">
        <v>854</v>
      </c>
      <c r="CC3739" t="s">
        <v>107</v>
      </c>
      <c r="CD3739">
        <v>6001</v>
      </c>
      <c r="CE3739" t="s">
        <v>147</v>
      </c>
      <c r="CI3739">
        <v>1</v>
      </c>
      <c r="CJ3739">
        <v>1</v>
      </c>
      <c r="CK3739">
        <v>21</v>
      </c>
      <c r="CL3739" t="s">
        <v>89</v>
      </c>
    </row>
    <row r="3740" spans="1:90">
      <c r="A3740" t="s">
        <v>72</v>
      </c>
      <c r="B3740" t="s">
        <v>73</v>
      </c>
      <c r="C3740" t="s">
        <v>74</v>
      </c>
      <c r="E3740" t="str">
        <f>"FES1162725793"</f>
        <v>FES1162725793</v>
      </c>
      <c r="F3740" s="3">
        <v>43797</v>
      </c>
      <c r="G3740">
        <v>202005</v>
      </c>
      <c r="H3740" t="s">
        <v>75</v>
      </c>
      <c r="I3740" t="s">
        <v>76</v>
      </c>
      <c r="J3740" t="s">
        <v>77</v>
      </c>
      <c r="K3740" t="s">
        <v>78</v>
      </c>
      <c r="L3740" t="s">
        <v>112</v>
      </c>
      <c r="M3740" t="s">
        <v>113</v>
      </c>
      <c r="N3740" t="s">
        <v>1445</v>
      </c>
      <c r="O3740" t="s">
        <v>82</v>
      </c>
      <c r="P3740" t="str">
        <f>"21707198358                   "</f>
        <v xml:space="preserve">21707198358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12.87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1.1000000000000001</v>
      </c>
      <c r="BJ3740">
        <v>2.9</v>
      </c>
      <c r="BK3740">
        <v>3</v>
      </c>
      <c r="BL3740" s="4">
        <v>75.66</v>
      </c>
      <c r="BM3740" s="4">
        <v>11.35</v>
      </c>
      <c r="BN3740" s="4">
        <v>87.01</v>
      </c>
      <c r="BO3740" s="4">
        <v>87.01</v>
      </c>
      <c r="BR3740" t="s">
        <v>84</v>
      </c>
      <c r="BS3740" s="3">
        <v>43798</v>
      </c>
      <c r="BT3740" s="5">
        <v>0.41666666666666669</v>
      </c>
      <c r="BU3740" t="s">
        <v>3381</v>
      </c>
      <c r="BV3740" t="s">
        <v>86</v>
      </c>
      <c r="BY3740">
        <v>14637.9</v>
      </c>
      <c r="CA3740" t="s">
        <v>448</v>
      </c>
      <c r="CC3740" t="s">
        <v>113</v>
      </c>
      <c r="CD3740">
        <v>4156</v>
      </c>
      <c r="CE3740" t="s">
        <v>88</v>
      </c>
      <c r="CI3740">
        <v>1</v>
      </c>
      <c r="CJ3740">
        <v>1</v>
      </c>
      <c r="CK3740">
        <v>21</v>
      </c>
      <c r="CL3740" t="s">
        <v>89</v>
      </c>
    </row>
    <row r="3741" spans="1:90">
      <c r="A3741" t="s">
        <v>72</v>
      </c>
      <c r="B3741" t="s">
        <v>73</v>
      </c>
      <c r="C3741" t="s">
        <v>74</v>
      </c>
      <c r="E3741" t="str">
        <f>"FES1162725651"</f>
        <v>FES1162725651</v>
      </c>
      <c r="F3741" s="3">
        <v>43797</v>
      </c>
      <c r="G3741">
        <v>202005</v>
      </c>
      <c r="H3741" t="s">
        <v>75</v>
      </c>
      <c r="I3741" t="s">
        <v>76</v>
      </c>
      <c r="J3741" t="s">
        <v>77</v>
      </c>
      <c r="K3741" t="s">
        <v>78</v>
      </c>
      <c r="L3741" t="s">
        <v>112</v>
      </c>
      <c r="M3741" t="s">
        <v>113</v>
      </c>
      <c r="N3741" t="s">
        <v>887</v>
      </c>
      <c r="O3741" t="s">
        <v>82</v>
      </c>
      <c r="P3741" t="str">
        <f>"2170715688                    "</f>
        <v xml:space="preserve">2170715688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15.02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2.6</v>
      </c>
      <c r="BJ3741">
        <v>3.1</v>
      </c>
      <c r="BK3741">
        <v>3.5</v>
      </c>
      <c r="BL3741" s="4">
        <v>88.27</v>
      </c>
      <c r="BM3741" s="4">
        <v>13.24</v>
      </c>
      <c r="BN3741" s="4">
        <v>101.51</v>
      </c>
      <c r="BO3741" s="4">
        <v>101.51</v>
      </c>
      <c r="BQ3741" t="s">
        <v>121</v>
      </c>
      <c r="BR3741" t="s">
        <v>84</v>
      </c>
      <c r="BS3741" s="3">
        <v>43798</v>
      </c>
      <c r="BT3741" s="5">
        <v>0.34722222222222227</v>
      </c>
      <c r="BU3741" t="s">
        <v>1670</v>
      </c>
      <c r="BV3741" t="s">
        <v>86</v>
      </c>
      <c r="BY3741">
        <v>15345.29</v>
      </c>
      <c r="CA3741" t="s">
        <v>180</v>
      </c>
      <c r="CC3741" t="s">
        <v>113</v>
      </c>
      <c r="CD3741">
        <v>4001</v>
      </c>
      <c r="CE3741" t="s">
        <v>1598</v>
      </c>
      <c r="CI3741">
        <v>1</v>
      </c>
      <c r="CJ3741">
        <v>1</v>
      </c>
      <c r="CK3741">
        <v>21</v>
      </c>
      <c r="CL3741" t="s">
        <v>89</v>
      </c>
    </row>
    <row r="3742" spans="1:90">
      <c r="A3742" t="s">
        <v>72</v>
      </c>
      <c r="B3742" t="s">
        <v>73</v>
      </c>
      <c r="C3742" t="s">
        <v>74</v>
      </c>
      <c r="E3742" t="str">
        <f>"FES1162725753"</f>
        <v>FES1162725753</v>
      </c>
      <c r="F3742" s="3">
        <v>43797</v>
      </c>
      <c r="G3742">
        <v>202005</v>
      </c>
      <c r="H3742" t="s">
        <v>75</v>
      </c>
      <c r="I3742" t="s">
        <v>76</v>
      </c>
      <c r="J3742" t="s">
        <v>77</v>
      </c>
      <c r="K3742" t="s">
        <v>78</v>
      </c>
      <c r="L3742" t="s">
        <v>118</v>
      </c>
      <c r="M3742" t="s">
        <v>119</v>
      </c>
      <c r="N3742" t="s">
        <v>248</v>
      </c>
      <c r="O3742" t="s">
        <v>82</v>
      </c>
      <c r="P3742" t="str">
        <f>"217071651                     "</f>
        <v xml:space="preserve">217071651 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8.58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0.9</v>
      </c>
      <c r="BJ3742">
        <v>1.6</v>
      </c>
      <c r="BK3742">
        <v>2</v>
      </c>
      <c r="BL3742" s="4">
        <v>50.45</v>
      </c>
      <c r="BM3742" s="4">
        <v>7.57</v>
      </c>
      <c r="BN3742" s="4">
        <v>58.02</v>
      </c>
      <c r="BO3742" s="4">
        <v>58.02</v>
      </c>
      <c r="BQ3742" t="s">
        <v>121</v>
      </c>
      <c r="BR3742" t="s">
        <v>84</v>
      </c>
      <c r="BS3742" s="3">
        <v>43798</v>
      </c>
      <c r="BT3742" s="5">
        <v>0.38194444444444442</v>
      </c>
      <c r="BU3742" t="s">
        <v>623</v>
      </c>
      <c r="BV3742" t="s">
        <v>86</v>
      </c>
      <c r="BY3742">
        <v>7817.47</v>
      </c>
      <c r="CA3742" t="s">
        <v>435</v>
      </c>
      <c r="CC3742" t="s">
        <v>119</v>
      </c>
      <c r="CD3742">
        <v>3212</v>
      </c>
      <c r="CE3742" t="s">
        <v>1598</v>
      </c>
      <c r="CI3742">
        <v>1</v>
      </c>
      <c r="CJ3742">
        <v>1</v>
      </c>
      <c r="CK3742">
        <v>21</v>
      </c>
      <c r="CL3742" t="s">
        <v>89</v>
      </c>
    </row>
    <row r="3743" spans="1:90">
      <c r="A3743" t="s">
        <v>72</v>
      </c>
      <c r="B3743" t="s">
        <v>73</v>
      </c>
      <c r="C3743" t="s">
        <v>74</v>
      </c>
      <c r="E3743" t="str">
        <f>"FES1162725699"</f>
        <v>FES1162725699</v>
      </c>
      <c r="F3743" s="3">
        <v>43797</v>
      </c>
      <c r="G3743">
        <v>202005</v>
      </c>
      <c r="H3743" t="s">
        <v>75</v>
      </c>
      <c r="I3743" t="s">
        <v>76</v>
      </c>
      <c r="J3743" t="s">
        <v>77</v>
      </c>
      <c r="K3743" t="s">
        <v>78</v>
      </c>
      <c r="L3743" t="s">
        <v>95</v>
      </c>
      <c r="M3743" t="s">
        <v>96</v>
      </c>
      <c r="N3743" t="s">
        <v>330</v>
      </c>
      <c r="O3743" t="s">
        <v>82</v>
      </c>
      <c r="P3743" t="str">
        <f>"2170717858                    "</f>
        <v xml:space="preserve">2170717858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6.71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 s="4">
        <v>39.42</v>
      </c>
      <c r="BM3743" s="4">
        <v>5.91</v>
      </c>
      <c r="BN3743" s="4">
        <v>45.33</v>
      </c>
      <c r="BO3743" s="4">
        <v>45.33</v>
      </c>
      <c r="BQ3743" t="s">
        <v>109</v>
      </c>
      <c r="BR3743" t="s">
        <v>84</v>
      </c>
      <c r="BS3743" s="3">
        <v>43798</v>
      </c>
      <c r="BT3743" s="5">
        <v>0.35069444444444442</v>
      </c>
      <c r="BU3743" t="s">
        <v>3382</v>
      </c>
      <c r="BV3743" t="s">
        <v>86</v>
      </c>
      <c r="BY3743">
        <v>1200</v>
      </c>
      <c r="CC3743" t="s">
        <v>96</v>
      </c>
      <c r="CD3743">
        <v>1451</v>
      </c>
      <c r="CE3743" t="s">
        <v>147</v>
      </c>
      <c r="CI3743">
        <v>1</v>
      </c>
      <c r="CJ3743">
        <v>1</v>
      </c>
      <c r="CK3743">
        <v>22</v>
      </c>
      <c r="CL3743" t="s">
        <v>89</v>
      </c>
    </row>
    <row r="3744" spans="1:90">
      <c r="A3744" t="s">
        <v>72</v>
      </c>
      <c r="B3744" t="s">
        <v>73</v>
      </c>
      <c r="C3744" t="s">
        <v>74</v>
      </c>
      <c r="E3744" t="str">
        <f>"FES1162725856"</f>
        <v>FES1162725856</v>
      </c>
      <c r="F3744" s="3">
        <v>43797</v>
      </c>
      <c r="G3744">
        <v>202005</v>
      </c>
      <c r="H3744" t="s">
        <v>75</v>
      </c>
      <c r="I3744" t="s">
        <v>76</v>
      </c>
      <c r="J3744" t="s">
        <v>77</v>
      </c>
      <c r="K3744" t="s">
        <v>78</v>
      </c>
      <c r="L3744" t="s">
        <v>202</v>
      </c>
      <c r="M3744" t="s">
        <v>203</v>
      </c>
      <c r="N3744" t="s">
        <v>1440</v>
      </c>
      <c r="O3744" t="s">
        <v>82</v>
      </c>
      <c r="P3744" t="str">
        <f>"2170712749                    "</f>
        <v xml:space="preserve">2170712749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6.71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 s="4">
        <v>39.42</v>
      </c>
      <c r="BM3744" s="4">
        <v>5.91</v>
      </c>
      <c r="BN3744" s="4">
        <v>45.33</v>
      </c>
      <c r="BO3744" s="4">
        <v>45.33</v>
      </c>
      <c r="BQ3744" t="s">
        <v>109</v>
      </c>
      <c r="BR3744" t="s">
        <v>84</v>
      </c>
      <c r="BS3744" s="3">
        <v>43798</v>
      </c>
      <c r="BT3744" s="5">
        <v>0.40277777777777773</v>
      </c>
      <c r="BU3744" t="s">
        <v>3383</v>
      </c>
      <c r="BV3744" t="s">
        <v>86</v>
      </c>
      <c r="BY3744">
        <v>1200</v>
      </c>
      <c r="CC3744" t="s">
        <v>203</v>
      </c>
      <c r="CD3744">
        <v>1428</v>
      </c>
      <c r="CE3744" t="s">
        <v>147</v>
      </c>
      <c r="CI3744">
        <v>1</v>
      </c>
      <c r="CJ3744">
        <v>1</v>
      </c>
      <c r="CK3744">
        <v>22</v>
      </c>
      <c r="CL3744" t="s">
        <v>89</v>
      </c>
    </row>
    <row r="3745" spans="1:90">
      <c r="A3745" t="s">
        <v>72</v>
      </c>
      <c r="B3745" t="s">
        <v>73</v>
      </c>
      <c r="C3745" t="s">
        <v>74</v>
      </c>
      <c r="E3745" t="str">
        <f>"FES1162725675"</f>
        <v>FES1162725675</v>
      </c>
      <c r="F3745" s="3">
        <v>43797</v>
      </c>
      <c r="G3745">
        <v>202005</v>
      </c>
      <c r="H3745" t="s">
        <v>75</v>
      </c>
      <c r="I3745" t="s">
        <v>76</v>
      </c>
      <c r="J3745" t="s">
        <v>77</v>
      </c>
      <c r="K3745" t="s">
        <v>78</v>
      </c>
      <c r="L3745" t="s">
        <v>546</v>
      </c>
      <c r="M3745" t="s">
        <v>547</v>
      </c>
      <c r="N3745" t="s">
        <v>979</v>
      </c>
      <c r="O3745" t="s">
        <v>82</v>
      </c>
      <c r="P3745" t="str">
        <f>"2170719321                    "</f>
        <v xml:space="preserve">2170719321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6.71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 s="4">
        <v>39.42</v>
      </c>
      <c r="BM3745" s="4">
        <v>5.91</v>
      </c>
      <c r="BN3745" s="4">
        <v>45.33</v>
      </c>
      <c r="BO3745" s="4">
        <v>45.33</v>
      </c>
      <c r="BQ3745" t="s">
        <v>121</v>
      </c>
      <c r="BR3745" t="s">
        <v>84</v>
      </c>
      <c r="BS3745" s="3">
        <v>43798</v>
      </c>
      <c r="BT3745" s="5">
        <v>0.33680555555555558</v>
      </c>
      <c r="BU3745" t="s">
        <v>3384</v>
      </c>
      <c r="BV3745" t="s">
        <v>86</v>
      </c>
      <c r="BY3745">
        <v>1200</v>
      </c>
      <c r="CA3745" t="s">
        <v>123</v>
      </c>
      <c r="CC3745" t="s">
        <v>547</v>
      </c>
      <c r="CD3745">
        <v>1709</v>
      </c>
      <c r="CE3745" t="s">
        <v>147</v>
      </c>
      <c r="CI3745">
        <v>1</v>
      </c>
      <c r="CJ3745">
        <v>1</v>
      </c>
      <c r="CK3745">
        <v>22</v>
      </c>
      <c r="CL3745" t="s">
        <v>89</v>
      </c>
    </row>
    <row r="3746" spans="1:90">
      <c r="A3746" t="s">
        <v>72</v>
      </c>
      <c r="B3746" t="s">
        <v>73</v>
      </c>
      <c r="C3746" t="s">
        <v>74</v>
      </c>
      <c r="E3746" t="str">
        <f>"FES1162725812"</f>
        <v>FES1162725812</v>
      </c>
      <c r="F3746" s="3">
        <v>43797</v>
      </c>
      <c r="G3746">
        <v>202005</v>
      </c>
      <c r="H3746" t="s">
        <v>75</v>
      </c>
      <c r="I3746" t="s">
        <v>76</v>
      </c>
      <c r="J3746" t="s">
        <v>77</v>
      </c>
      <c r="K3746" t="s">
        <v>78</v>
      </c>
      <c r="L3746" t="s">
        <v>112</v>
      </c>
      <c r="M3746" t="s">
        <v>113</v>
      </c>
      <c r="N3746" t="s">
        <v>790</v>
      </c>
      <c r="O3746" t="s">
        <v>82</v>
      </c>
      <c r="P3746" t="str">
        <f>"2170719383                    "</f>
        <v xml:space="preserve">2170719383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17.16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3.8</v>
      </c>
      <c r="BJ3746">
        <v>3.1</v>
      </c>
      <c r="BK3746">
        <v>4</v>
      </c>
      <c r="BL3746" s="4">
        <v>100.87</v>
      </c>
      <c r="BM3746" s="4">
        <v>15.13</v>
      </c>
      <c r="BN3746" s="4">
        <v>116</v>
      </c>
      <c r="BO3746" s="4">
        <v>116</v>
      </c>
      <c r="BQ3746" t="s">
        <v>121</v>
      </c>
      <c r="BR3746" t="s">
        <v>84</v>
      </c>
      <c r="BS3746" s="3">
        <v>43798</v>
      </c>
      <c r="BT3746" s="5">
        <v>0.41666666666666669</v>
      </c>
      <c r="BU3746" t="s">
        <v>3385</v>
      </c>
      <c r="BV3746" t="s">
        <v>86</v>
      </c>
      <c r="BY3746">
        <v>15295.76</v>
      </c>
      <c r="CA3746" t="s">
        <v>448</v>
      </c>
      <c r="CC3746" t="s">
        <v>113</v>
      </c>
      <c r="CD3746">
        <v>4068</v>
      </c>
      <c r="CE3746" t="s">
        <v>88</v>
      </c>
      <c r="CI3746">
        <v>1</v>
      </c>
      <c r="CJ3746">
        <v>1</v>
      </c>
      <c r="CK3746">
        <v>21</v>
      </c>
      <c r="CL3746" t="s">
        <v>89</v>
      </c>
    </row>
    <row r="3747" spans="1:90">
      <c r="A3747" t="s">
        <v>72</v>
      </c>
      <c r="B3747" t="s">
        <v>73</v>
      </c>
      <c r="C3747" t="s">
        <v>74</v>
      </c>
      <c r="E3747" t="str">
        <f>"FES1162725559"</f>
        <v>FES1162725559</v>
      </c>
      <c r="F3747" s="3">
        <v>43797</v>
      </c>
      <c r="G3747">
        <v>202005</v>
      </c>
      <c r="H3747" t="s">
        <v>75</v>
      </c>
      <c r="I3747" t="s">
        <v>76</v>
      </c>
      <c r="J3747" t="s">
        <v>77</v>
      </c>
      <c r="K3747" t="s">
        <v>78</v>
      </c>
      <c r="L3747" t="s">
        <v>118</v>
      </c>
      <c r="M3747" t="s">
        <v>119</v>
      </c>
      <c r="N3747" t="s">
        <v>439</v>
      </c>
      <c r="O3747" t="s">
        <v>82</v>
      </c>
      <c r="P3747" t="str">
        <f>"217071518                     "</f>
        <v xml:space="preserve">217071518 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8.58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1.8</v>
      </c>
      <c r="BJ3747">
        <v>1.5</v>
      </c>
      <c r="BK3747">
        <v>2</v>
      </c>
      <c r="BL3747" s="4">
        <v>50.45</v>
      </c>
      <c r="BM3747" s="4">
        <v>7.57</v>
      </c>
      <c r="BN3747" s="4">
        <v>58.02</v>
      </c>
      <c r="BO3747" s="4">
        <v>58.02</v>
      </c>
      <c r="BQ3747" t="s">
        <v>121</v>
      </c>
      <c r="BR3747" t="s">
        <v>84</v>
      </c>
      <c r="BS3747" s="3">
        <v>43798</v>
      </c>
      <c r="BT3747" s="5">
        <v>0.44097222222222227</v>
      </c>
      <c r="BU3747" t="s">
        <v>3386</v>
      </c>
      <c r="BV3747" t="s">
        <v>89</v>
      </c>
      <c r="BW3747" t="s">
        <v>144</v>
      </c>
      <c r="BX3747" t="s">
        <v>3387</v>
      </c>
      <c r="BY3747">
        <v>7377.48</v>
      </c>
      <c r="CA3747" t="s">
        <v>441</v>
      </c>
      <c r="CC3747" t="s">
        <v>119</v>
      </c>
      <c r="CD3747">
        <v>3201</v>
      </c>
      <c r="CE3747" t="s">
        <v>88</v>
      </c>
      <c r="CI3747">
        <v>1</v>
      </c>
      <c r="CJ3747">
        <v>1</v>
      </c>
      <c r="CK3747">
        <v>21</v>
      </c>
      <c r="CL3747" t="s">
        <v>89</v>
      </c>
    </row>
    <row r="3748" spans="1:90">
      <c r="A3748" t="s">
        <v>72</v>
      </c>
      <c r="B3748" t="s">
        <v>73</v>
      </c>
      <c r="C3748" t="s">
        <v>74</v>
      </c>
      <c r="E3748" t="str">
        <f>"FES1162725870"</f>
        <v>FES1162725870</v>
      </c>
      <c r="F3748" s="3">
        <v>43797</v>
      </c>
      <c r="G3748">
        <v>202005</v>
      </c>
      <c r="H3748" t="s">
        <v>75</v>
      </c>
      <c r="I3748" t="s">
        <v>76</v>
      </c>
      <c r="J3748" t="s">
        <v>77</v>
      </c>
      <c r="K3748" t="s">
        <v>78</v>
      </c>
      <c r="L3748" t="s">
        <v>202</v>
      </c>
      <c r="M3748" t="s">
        <v>203</v>
      </c>
      <c r="N3748" t="s">
        <v>3388</v>
      </c>
      <c r="O3748" t="s">
        <v>82</v>
      </c>
      <c r="P3748" t="str">
        <f>"2170716989                    "</f>
        <v xml:space="preserve">2170716989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6.71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0.2</v>
      </c>
      <c r="BJ3748">
        <v>0.8</v>
      </c>
      <c r="BK3748">
        <v>1</v>
      </c>
      <c r="BL3748" s="4">
        <v>39.42</v>
      </c>
      <c r="BM3748" s="4">
        <v>5.91</v>
      </c>
      <c r="BN3748" s="4">
        <v>45.33</v>
      </c>
      <c r="BO3748" s="4">
        <v>45.33</v>
      </c>
      <c r="BQ3748" t="s">
        <v>3389</v>
      </c>
      <c r="BR3748" t="s">
        <v>84</v>
      </c>
      <c r="BS3748" s="3">
        <v>43798</v>
      </c>
      <c r="BT3748" s="5">
        <v>0.39583333333333331</v>
      </c>
      <c r="BU3748" t="s">
        <v>3390</v>
      </c>
      <c r="BV3748" t="s">
        <v>86</v>
      </c>
      <c r="BY3748">
        <v>3996.43</v>
      </c>
      <c r="CA3748" t="s">
        <v>3391</v>
      </c>
      <c r="CC3748" t="s">
        <v>203</v>
      </c>
      <c r="CD3748">
        <v>1401</v>
      </c>
      <c r="CE3748" t="s">
        <v>1598</v>
      </c>
      <c r="CI3748">
        <v>1</v>
      </c>
      <c r="CJ3748">
        <v>1</v>
      </c>
      <c r="CK3748">
        <v>22</v>
      </c>
      <c r="CL3748" t="s">
        <v>89</v>
      </c>
    </row>
    <row r="3749" spans="1:90">
      <c r="A3749" t="s">
        <v>72</v>
      </c>
      <c r="B3749" t="s">
        <v>73</v>
      </c>
      <c r="C3749" t="s">
        <v>74</v>
      </c>
      <c r="E3749" t="str">
        <f>"FES1162725746"</f>
        <v>FES1162725746</v>
      </c>
      <c r="F3749" s="3">
        <v>43797</v>
      </c>
      <c r="G3749">
        <v>202005</v>
      </c>
      <c r="H3749" t="s">
        <v>75</v>
      </c>
      <c r="I3749" t="s">
        <v>76</v>
      </c>
      <c r="J3749" t="s">
        <v>77</v>
      </c>
      <c r="K3749" t="s">
        <v>78</v>
      </c>
      <c r="L3749" t="s">
        <v>133</v>
      </c>
      <c r="M3749" t="s">
        <v>134</v>
      </c>
      <c r="N3749" t="s">
        <v>310</v>
      </c>
      <c r="O3749" t="s">
        <v>82</v>
      </c>
      <c r="P3749" t="str">
        <f>"21707171416                   "</f>
        <v xml:space="preserve">21707171416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8.58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 s="4">
        <v>50.45</v>
      </c>
      <c r="BM3749" s="4">
        <v>7.57</v>
      </c>
      <c r="BN3749" s="4">
        <v>58.02</v>
      </c>
      <c r="BO3749" s="4">
        <v>58.02</v>
      </c>
      <c r="BQ3749" t="s">
        <v>121</v>
      </c>
      <c r="BR3749" t="s">
        <v>84</v>
      </c>
      <c r="BS3749" s="3">
        <v>43798</v>
      </c>
      <c r="BT3749" s="5">
        <v>0.3659722222222222</v>
      </c>
      <c r="BU3749" t="s">
        <v>1108</v>
      </c>
      <c r="BV3749" t="s">
        <v>86</v>
      </c>
      <c r="BY3749">
        <v>1200</v>
      </c>
      <c r="CA3749" t="s">
        <v>912</v>
      </c>
      <c r="CC3749" t="s">
        <v>134</v>
      </c>
      <c r="CD3749">
        <v>5201</v>
      </c>
      <c r="CE3749" t="s">
        <v>147</v>
      </c>
      <c r="CI3749">
        <v>1</v>
      </c>
      <c r="CJ3749">
        <v>1</v>
      </c>
      <c r="CK3749">
        <v>21</v>
      </c>
      <c r="CL3749" t="s">
        <v>89</v>
      </c>
    </row>
    <row r="3750" spans="1:90">
      <c r="A3750" t="s">
        <v>72</v>
      </c>
      <c r="B3750" t="s">
        <v>73</v>
      </c>
      <c r="C3750" t="s">
        <v>74</v>
      </c>
      <c r="E3750" t="str">
        <f>"FES1162725562"</f>
        <v>FES1162725562</v>
      </c>
      <c r="F3750" s="3">
        <v>43797</v>
      </c>
      <c r="G3750">
        <v>202005</v>
      </c>
      <c r="H3750" t="s">
        <v>75</v>
      </c>
      <c r="I3750" t="s">
        <v>76</v>
      </c>
      <c r="J3750" t="s">
        <v>77</v>
      </c>
      <c r="K3750" t="s">
        <v>78</v>
      </c>
      <c r="L3750" t="s">
        <v>202</v>
      </c>
      <c r="M3750" t="s">
        <v>203</v>
      </c>
      <c r="N3750" t="s">
        <v>1170</v>
      </c>
      <c r="O3750" t="s">
        <v>82</v>
      </c>
      <c r="P3750" t="str">
        <f>"2170717550                    "</f>
        <v xml:space="preserve">2170717550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7.51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2.4</v>
      </c>
      <c r="BJ3750">
        <v>1.4</v>
      </c>
      <c r="BK3750">
        <v>2.5</v>
      </c>
      <c r="BL3750" s="4">
        <v>44.14</v>
      </c>
      <c r="BM3750" s="4">
        <v>6.62</v>
      </c>
      <c r="BN3750" s="4">
        <v>50.76</v>
      </c>
      <c r="BO3750" s="4">
        <v>50.76</v>
      </c>
      <c r="BQ3750" t="s">
        <v>337</v>
      </c>
      <c r="BR3750" t="s">
        <v>84</v>
      </c>
      <c r="BS3750" s="3">
        <v>43798</v>
      </c>
      <c r="BT3750" s="5">
        <v>0.43402777777777773</v>
      </c>
      <c r="BU3750" t="s">
        <v>3392</v>
      </c>
      <c r="BV3750" t="s">
        <v>86</v>
      </c>
      <c r="BY3750">
        <v>7002.83</v>
      </c>
      <c r="CC3750" t="s">
        <v>203</v>
      </c>
      <c r="CD3750">
        <v>1401</v>
      </c>
      <c r="CE3750" t="s">
        <v>88</v>
      </c>
      <c r="CI3750">
        <v>1</v>
      </c>
      <c r="CJ3750">
        <v>1</v>
      </c>
      <c r="CK3750">
        <v>22</v>
      </c>
      <c r="CL3750" t="s">
        <v>89</v>
      </c>
    </row>
    <row r="3751" spans="1:90">
      <c r="A3751" t="s">
        <v>72</v>
      </c>
      <c r="B3751" t="s">
        <v>73</v>
      </c>
      <c r="C3751" t="s">
        <v>74</v>
      </c>
      <c r="E3751" t="str">
        <f>"FES1162725703"</f>
        <v>FES1162725703</v>
      </c>
      <c r="F3751" s="3">
        <v>43797</v>
      </c>
      <c r="G3751">
        <v>202005</v>
      </c>
      <c r="H3751" t="s">
        <v>75</v>
      </c>
      <c r="I3751" t="s">
        <v>76</v>
      </c>
      <c r="J3751" t="s">
        <v>77</v>
      </c>
      <c r="K3751" t="s">
        <v>78</v>
      </c>
      <c r="L3751" t="s">
        <v>90</v>
      </c>
      <c r="M3751" t="s">
        <v>91</v>
      </c>
      <c r="N3751" t="s">
        <v>1897</v>
      </c>
      <c r="O3751" t="s">
        <v>82</v>
      </c>
      <c r="P3751" t="str">
        <f>"2170719329                    "</f>
        <v xml:space="preserve">2170719329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12.87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3</v>
      </c>
      <c r="BJ3751">
        <v>0.2</v>
      </c>
      <c r="BK3751">
        <v>3</v>
      </c>
      <c r="BL3751" s="4">
        <v>75.66</v>
      </c>
      <c r="BM3751" s="4">
        <v>11.35</v>
      </c>
      <c r="BN3751" s="4">
        <v>87.01</v>
      </c>
      <c r="BO3751" s="4">
        <v>87.01</v>
      </c>
      <c r="BQ3751" t="s">
        <v>121</v>
      </c>
      <c r="BR3751" t="s">
        <v>84</v>
      </c>
      <c r="BS3751" s="3">
        <v>43798</v>
      </c>
      <c r="BT3751" s="5">
        <v>0.42291666666666666</v>
      </c>
      <c r="BU3751" t="s">
        <v>3345</v>
      </c>
      <c r="BV3751" t="s">
        <v>86</v>
      </c>
      <c r="BY3751">
        <v>1200</v>
      </c>
      <c r="CA3751" t="s">
        <v>1309</v>
      </c>
      <c r="CC3751" t="s">
        <v>91</v>
      </c>
      <c r="CD3751">
        <v>7580</v>
      </c>
      <c r="CE3751" t="s">
        <v>147</v>
      </c>
      <c r="CI3751">
        <v>1</v>
      </c>
      <c r="CJ3751">
        <v>1</v>
      </c>
      <c r="CK3751">
        <v>21</v>
      </c>
      <c r="CL3751" t="s">
        <v>89</v>
      </c>
    </row>
    <row r="3752" spans="1:90">
      <c r="A3752" t="s">
        <v>72</v>
      </c>
      <c r="B3752" t="s">
        <v>73</v>
      </c>
      <c r="C3752" t="s">
        <v>74</v>
      </c>
      <c r="E3752" t="str">
        <f>"FES1162725719"</f>
        <v>FES1162725719</v>
      </c>
      <c r="F3752" s="3">
        <v>43797</v>
      </c>
      <c r="G3752">
        <v>202005</v>
      </c>
      <c r="H3752" t="s">
        <v>75</v>
      </c>
      <c r="I3752" t="s">
        <v>76</v>
      </c>
      <c r="J3752" t="s">
        <v>77</v>
      </c>
      <c r="K3752" t="s">
        <v>78</v>
      </c>
      <c r="L3752" t="s">
        <v>482</v>
      </c>
      <c r="M3752" t="s">
        <v>483</v>
      </c>
      <c r="N3752" t="s">
        <v>3393</v>
      </c>
      <c r="O3752" t="s">
        <v>82</v>
      </c>
      <c r="P3752" t="str">
        <f>"2170716548                    "</f>
        <v xml:space="preserve">2170716548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6.71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 s="4">
        <v>39.42</v>
      </c>
      <c r="BM3752" s="4">
        <v>5.91</v>
      </c>
      <c r="BN3752" s="4">
        <v>45.33</v>
      </c>
      <c r="BO3752" s="4">
        <v>45.33</v>
      </c>
      <c r="BQ3752" t="s">
        <v>121</v>
      </c>
      <c r="BR3752" t="s">
        <v>84</v>
      </c>
      <c r="BS3752" s="3">
        <v>43798</v>
      </c>
      <c r="BT3752" s="5">
        <v>0.3659722222222222</v>
      </c>
      <c r="BU3752" t="s">
        <v>3394</v>
      </c>
      <c r="BV3752" t="s">
        <v>86</v>
      </c>
      <c r="BY3752">
        <v>1200</v>
      </c>
      <c r="CA3752" t="s">
        <v>123</v>
      </c>
      <c r="CC3752" t="s">
        <v>483</v>
      </c>
      <c r="CD3752">
        <v>1459</v>
      </c>
      <c r="CE3752" t="s">
        <v>147</v>
      </c>
      <c r="CI3752">
        <v>1</v>
      </c>
      <c r="CJ3752">
        <v>1</v>
      </c>
      <c r="CK3752">
        <v>22</v>
      </c>
      <c r="CL3752" t="s">
        <v>89</v>
      </c>
    </row>
    <row r="3753" spans="1:90">
      <c r="A3753" t="s">
        <v>72</v>
      </c>
      <c r="B3753" t="s">
        <v>73</v>
      </c>
      <c r="C3753" t="s">
        <v>74</v>
      </c>
      <c r="E3753" t="str">
        <f>"FES1162725627"</f>
        <v>FES1162725627</v>
      </c>
      <c r="F3753" s="3">
        <v>43797</v>
      </c>
      <c r="G3753">
        <v>202005</v>
      </c>
      <c r="H3753" t="s">
        <v>75</v>
      </c>
      <c r="I3753" t="s">
        <v>76</v>
      </c>
      <c r="J3753" t="s">
        <v>77</v>
      </c>
      <c r="K3753" t="s">
        <v>78</v>
      </c>
      <c r="L3753" t="s">
        <v>106</v>
      </c>
      <c r="M3753" t="s">
        <v>107</v>
      </c>
      <c r="N3753" t="s">
        <v>108</v>
      </c>
      <c r="O3753" t="s">
        <v>82</v>
      </c>
      <c r="P3753" t="str">
        <f>"2170718832                    "</f>
        <v xml:space="preserve">2170718832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38.6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8.6999999999999993</v>
      </c>
      <c r="BJ3753">
        <v>2.9</v>
      </c>
      <c r="BK3753">
        <v>9</v>
      </c>
      <c r="BL3753" s="4">
        <v>226.91</v>
      </c>
      <c r="BM3753" s="4">
        <v>34.04</v>
      </c>
      <c r="BN3753" s="4">
        <v>260.95</v>
      </c>
      <c r="BO3753" s="4">
        <v>260.95</v>
      </c>
      <c r="BQ3753" t="s">
        <v>109</v>
      </c>
      <c r="BR3753" t="s">
        <v>84</v>
      </c>
      <c r="BS3753" s="3">
        <v>43798</v>
      </c>
      <c r="BT3753" s="5">
        <v>0.37847222222222227</v>
      </c>
      <c r="BU3753" t="s">
        <v>2881</v>
      </c>
      <c r="BV3753" t="s">
        <v>86</v>
      </c>
      <c r="BY3753">
        <v>14747.65</v>
      </c>
      <c r="CA3753" t="s">
        <v>111</v>
      </c>
      <c r="CC3753" t="s">
        <v>107</v>
      </c>
      <c r="CD3753">
        <v>6001</v>
      </c>
      <c r="CE3753" t="s">
        <v>88</v>
      </c>
      <c r="CI3753">
        <v>1</v>
      </c>
      <c r="CJ3753">
        <v>1</v>
      </c>
      <c r="CK3753">
        <v>21</v>
      </c>
      <c r="CL3753" t="s">
        <v>89</v>
      </c>
    </row>
    <row r="3754" spans="1:90">
      <c r="A3754" t="s">
        <v>72</v>
      </c>
      <c r="B3754" t="s">
        <v>73</v>
      </c>
      <c r="C3754" t="s">
        <v>74</v>
      </c>
      <c r="E3754" t="str">
        <f>"FES1162725815"</f>
        <v>FES1162725815</v>
      </c>
      <c r="F3754" s="3">
        <v>43797</v>
      </c>
      <c r="G3754">
        <v>202005</v>
      </c>
      <c r="H3754" t="s">
        <v>75</v>
      </c>
      <c r="I3754" t="s">
        <v>76</v>
      </c>
      <c r="J3754" t="s">
        <v>77</v>
      </c>
      <c r="K3754" t="s">
        <v>78</v>
      </c>
      <c r="L3754" t="s">
        <v>296</v>
      </c>
      <c r="M3754" t="s">
        <v>297</v>
      </c>
      <c r="N3754" t="s">
        <v>672</v>
      </c>
      <c r="O3754" t="s">
        <v>82</v>
      </c>
      <c r="P3754" t="str">
        <f>"2170719385                    "</f>
        <v xml:space="preserve">2170719385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16.63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 s="4">
        <v>97.75</v>
      </c>
      <c r="BM3754" s="4">
        <v>14.66</v>
      </c>
      <c r="BN3754" s="4">
        <v>112.41</v>
      </c>
      <c r="BO3754" s="4">
        <v>112.41</v>
      </c>
      <c r="BQ3754" t="s">
        <v>142</v>
      </c>
      <c r="BR3754" t="s">
        <v>84</v>
      </c>
      <c r="BS3754" t="s">
        <v>201</v>
      </c>
      <c r="BY3754">
        <v>1200</v>
      </c>
      <c r="CC3754" t="s">
        <v>297</v>
      </c>
      <c r="CD3754">
        <v>6850</v>
      </c>
      <c r="CE3754" t="s">
        <v>147</v>
      </c>
      <c r="CI3754">
        <v>3</v>
      </c>
      <c r="CJ3754" t="s">
        <v>201</v>
      </c>
      <c r="CK3754">
        <v>23</v>
      </c>
      <c r="CL3754" t="s">
        <v>89</v>
      </c>
    </row>
    <row r="3755" spans="1:90">
      <c r="A3755" t="s">
        <v>72</v>
      </c>
      <c r="B3755" t="s">
        <v>73</v>
      </c>
      <c r="C3755" t="s">
        <v>74</v>
      </c>
      <c r="E3755" t="str">
        <f>"FES1162725797"</f>
        <v>FES1162725797</v>
      </c>
      <c r="F3755" s="3">
        <v>43797</v>
      </c>
      <c r="G3755">
        <v>202005</v>
      </c>
      <c r="H3755" t="s">
        <v>75</v>
      </c>
      <c r="I3755" t="s">
        <v>76</v>
      </c>
      <c r="J3755" t="s">
        <v>77</v>
      </c>
      <c r="K3755" t="s">
        <v>78</v>
      </c>
      <c r="L3755" t="s">
        <v>133</v>
      </c>
      <c r="M3755" t="s">
        <v>134</v>
      </c>
      <c r="N3755" t="s">
        <v>2457</v>
      </c>
      <c r="O3755" t="s">
        <v>82</v>
      </c>
      <c r="P3755" t="str">
        <f>"2170719362                    "</f>
        <v xml:space="preserve">2170719362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8.58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1.1000000000000001</v>
      </c>
      <c r="BK3755">
        <v>1.5</v>
      </c>
      <c r="BL3755" s="4">
        <v>50.45</v>
      </c>
      <c r="BM3755" s="4">
        <v>7.57</v>
      </c>
      <c r="BN3755" s="4">
        <v>58.02</v>
      </c>
      <c r="BO3755" s="4">
        <v>58.02</v>
      </c>
      <c r="BQ3755" t="s">
        <v>121</v>
      </c>
      <c r="BR3755" t="s">
        <v>84</v>
      </c>
      <c r="BS3755" s="3">
        <v>43798</v>
      </c>
      <c r="BT3755" s="5">
        <v>0.4236111111111111</v>
      </c>
      <c r="BU3755" t="s">
        <v>2899</v>
      </c>
      <c r="BV3755" t="s">
        <v>86</v>
      </c>
      <c r="BY3755">
        <v>5274.67</v>
      </c>
      <c r="CA3755" t="s">
        <v>698</v>
      </c>
      <c r="CC3755" t="s">
        <v>134</v>
      </c>
      <c r="CD3755">
        <v>5201</v>
      </c>
      <c r="CE3755" t="s">
        <v>1598</v>
      </c>
      <c r="CI3755">
        <v>1</v>
      </c>
      <c r="CJ3755">
        <v>1</v>
      </c>
      <c r="CK3755">
        <v>21</v>
      </c>
      <c r="CL3755" t="s">
        <v>89</v>
      </c>
    </row>
    <row r="3756" spans="1:90">
      <c r="A3756" t="s">
        <v>72</v>
      </c>
      <c r="B3756" t="s">
        <v>73</v>
      </c>
      <c r="C3756" t="s">
        <v>74</v>
      </c>
      <c r="E3756" t="str">
        <f>"FES1162725879"</f>
        <v>FES1162725879</v>
      </c>
      <c r="F3756" s="3">
        <v>43797</v>
      </c>
      <c r="G3756">
        <v>202005</v>
      </c>
      <c r="H3756" t="s">
        <v>75</v>
      </c>
      <c r="I3756" t="s">
        <v>76</v>
      </c>
      <c r="J3756" t="s">
        <v>77</v>
      </c>
      <c r="K3756" t="s">
        <v>78</v>
      </c>
      <c r="L3756" t="s">
        <v>124</v>
      </c>
      <c r="M3756" t="s">
        <v>125</v>
      </c>
      <c r="N3756" t="s">
        <v>218</v>
      </c>
      <c r="O3756" t="s">
        <v>82</v>
      </c>
      <c r="P3756" t="str">
        <f>"2170717062                    "</f>
        <v xml:space="preserve">2170717062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6.71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 s="4">
        <v>39.42</v>
      </c>
      <c r="BM3756" s="4">
        <v>5.91</v>
      </c>
      <c r="BN3756" s="4">
        <v>45.33</v>
      </c>
      <c r="BO3756" s="4">
        <v>45.33</v>
      </c>
      <c r="BQ3756" t="s">
        <v>121</v>
      </c>
      <c r="BR3756" t="s">
        <v>84</v>
      </c>
      <c r="BS3756" s="3">
        <v>43798</v>
      </c>
      <c r="BT3756" s="5">
        <v>0.42638888888888887</v>
      </c>
      <c r="BU3756" t="s">
        <v>3395</v>
      </c>
      <c r="BV3756" t="s">
        <v>86</v>
      </c>
      <c r="BY3756">
        <v>1200</v>
      </c>
      <c r="CA3756" t="s">
        <v>837</v>
      </c>
      <c r="CC3756" t="s">
        <v>125</v>
      </c>
      <c r="CD3756">
        <v>2094</v>
      </c>
      <c r="CE3756" t="s">
        <v>147</v>
      </c>
      <c r="CI3756">
        <v>1</v>
      </c>
      <c r="CJ3756">
        <v>1</v>
      </c>
      <c r="CK3756">
        <v>22</v>
      </c>
      <c r="CL3756" t="s">
        <v>89</v>
      </c>
    </row>
    <row r="3757" spans="1:90">
      <c r="A3757" t="s">
        <v>72</v>
      </c>
      <c r="B3757" t="s">
        <v>73</v>
      </c>
      <c r="C3757" t="s">
        <v>74</v>
      </c>
      <c r="E3757" t="str">
        <f>"FES21162725538"</f>
        <v>FES21162725538</v>
      </c>
      <c r="F3757" s="3">
        <v>43797</v>
      </c>
      <c r="G3757">
        <v>202005</v>
      </c>
      <c r="H3757" t="s">
        <v>75</v>
      </c>
      <c r="I3757" t="s">
        <v>76</v>
      </c>
      <c r="J3757" t="s">
        <v>77</v>
      </c>
      <c r="K3757" t="s">
        <v>78</v>
      </c>
      <c r="L3757" t="s">
        <v>79</v>
      </c>
      <c r="M3757" t="s">
        <v>80</v>
      </c>
      <c r="N3757" t="s">
        <v>458</v>
      </c>
      <c r="O3757" t="s">
        <v>82</v>
      </c>
      <c r="P3757" t="str">
        <f>"2170717096                    "</f>
        <v xml:space="preserve">2170717096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27.88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3.5</v>
      </c>
      <c r="BJ3757">
        <v>6.1</v>
      </c>
      <c r="BK3757">
        <v>6.5</v>
      </c>
      <c r="BL3757" s="4">
        <v>163.89</v>
      </c>
      <c r="BM3757" s="4">
        <v>24.58</v>
      </c>
      <c r="BN3757" s="4">
        <v>188.47</v>
      </c>
      <c r="BO3757" s="4">
        <v>188.47</v>
      </c>
      <c r="BQ3757" t="s">
        <v>109</v>
      </c>
      <c r="BR3757" t="s">
        <v>84</v>
      </c>
      <c r="BS3757" s="3">
        <v>43798</v>
      </c>
      <c r="BT3757" s="5">
        <v>0.31597222222222221</v>
      </c>
      <c r="BU3757" t="s">
        <v>3335</v>
      </c>
      <c r="BV3757" t="s">
        <v>86</v>
      </c>
      <c r="BY3757">
        <v>30493.360000000001</v>
      </c>
      <c r="CA3757" t="s">
        <v>87</v>
      </c>
      <c r="CC3757" t="s">
        <v>80</v>
      </c>
      <c r="CD3757">
        <v>6230</v>
      </c>
      <c r="CE3757" t="s">
        <v>1598</v>
      </c>
      <c r="CI3757">
        <v>1</v>
      </c>
      <c r="CJ3757">
        <v>1</v>
      </c>
      <c r="CK3757">
        <v>21</v>
      </c>
      <c r="CL3757" t="s">
        <v>89</v>
      </c>
    </row>
    <row r="3758" spans="1:90">
      <c r="A3758" t="s">
        <v>72</v>
      </c>
      <c r="B3758" t="s">
        <v>73</v>
      </c>
      <c r="C3758" t="s">
        <v>74</v>
      </c>
      <c r="E3758" t="str">
        <f>"FES1162725598"</f>
        <v>FES1162725598</v>
      </c>
      <c r="F3758" s="3">
        <v>43797</v>
      </c>
      <c r="G3758">
        <v>202005</v>
      </c>
      <c r="H3758" t="s">
        <v>75</v>
      </c>
      <c r="I3758" t="s">
        <v>76</v>
      </c>
      <c r="J3758" t="s">
        <v>77</v>
      </c>
      <c r="K3758" t="s">
        <v>78</v>
      </c>
      <c r="L3758" t="s">
        <v>75</v>
      </c>
      <c r="M3758" t="s">
        <v>76</v>
      </c>
      <c r="N3758" t="s">
        <v>360</v>
      </c>
      <c r="O3758" t="s">
        <v>82</v>
      </c>
      <c r="P3758" t="str">
        <f>"2170717825                    "</f>
        <v xml:space="preserve">2170717825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6.71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 s="4">
        <v>39.42</v>
      </c>
      <c r="BM3758" s="4">
        <v>5.91</v>
      </c>
      <c r="BN3758" s="4">
        <v>45.33</v>
      </c>
      <c r="BO3758" s="4">
        <v>45.33</v>
      </c>
      <c r="BQ3758" t="s">
        <v>109</v>
      </c>
      <c r="BR3758" t="s">
        <v>84</v>
      </c>
      <c r="BS3758" s="3">
        <v>43798</v>
      </c>
      <c r="BT3758" s="5">
        <v>0.32291666666666669</v>
      </c>
      <c r="BU3758" t="s">
        <v>710</v>
      </c>
      <c r="BV3758" t="s">
        <v>86</v>
      </c>
      <c r="BY3758">
        <v>1200</v>
      </c>
      <c r="CA3758" t="s">
        <v>797</v>
      </c>
      <c r="CC3758" t="s">
        <v>76</v>
      </c>
      <c r="CD3758">
        <v>1645</v>
      </c>
      <c r="CE3758" t="s">
        <v>147</v>
      </c>
      <c r="CI3758">
        <v>1</v>
      </c>
      <c r="CJ3758">
        <v>1</v>
      </c>
      <c r="CK3758">
        <v>22</v>
      </c>
      <c r="CL3758" t="s">
        <v>89</v>
      </c>
    </row>
    <row r="3759" spans="1:90">
      <c r="A3759" t="s">
        <v>72</v>
      </c>
      <c r="B3759" t="s">
        <v>73</v>
      </c>
      <c r="C3759" t="s">
        <v>74</v>
      </c>
      <c r="E3759" t="str">
        <f>"FES1162725662"</f>
        <v>FES1162725662</v>
      </c>
      <c r="F3759" s="3">
        <v>43797</v>
      </c>
      <c r="G3759">
        <v>202005</v>
      </c>
      <c r="H3759" t="s">
        <v>75</v>
      </c>
      <c r="I3759" t="s">
        <v>76</v>
      </c>
      <c r="J3759" t="s">
        <v>77</v>
      </c>
      <c r="K3759" t="s">
        <v>78</v>
      </c>
      <c r="L3759" t="s">
        <v>90</v>
      </c>
      <c r="M3759" t="s">
        <v>91</v>
      </c>
      <c r="N3759" t="s">
        <v>2775</v>
      </c>
      <c r="O3759" t="s">
        <v>82</v>
      </c>
      <c r="P3759" t="str">
        <f>"2170718336                    "</f>
        <v xml:space="preserve">2170718336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8.58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0.9</v>
      </c>
      <c r="BJ3759">
        <v>2</v>
      </c>
      <c r="BK3759">
        <v>2</v>
      </c>
      <c r="BL3759" s="4">
        <v>50.45</v>
      </c>
      <c r="BM3759" s="4">
        <v>7.57</v>
      </c>
      <c r="BN3759" s="4">
        <v>58.02</v>
      </c>
      <c r="BO3759" s="4">
        <v>58.02</v>
      </c>
      <c r="BQ3759" t="s">
        <v>109</v>
      </c>
      <c r="BR3759" t="s">
        <v>84</v>
      </c>
      <c r="BS3759" s="3">
        <v>43798</v>
      </c>
      <c r="BT3759" s="5">
        <v>0.41597222222222219</v>
      </c>
      <c r="BU3759" t="s">
        <v>3377</v>
      </c>
      <c r="BV3759" t="s">
        <v>86</v>
      </c>
      <c r="BY3759">
        <v>9752.56</v>
      </c>
      <c r="CA3759" t="s">
        <v>3378</v>
      </c>
      <c r="CC3759" t="s">
        <v>91</v>
      </c>
      <c r="CD3759">
        <v>7550</v>
      </c>
      <c r="CE3759" t="s">
        <v>1598</v>
      </c>
      <c r="CI3759">
        <v>1</v>
      </c>
      <c r="CJ3759">
        <v>1</v>
      </c>
      <c r="CK3759">
        <v>21</v>
      </c>
      <c r="CL3759" t="s">
        <v>89</v>
      </c>
    </row>
    <row r="3760" spans="1:90">
      <c r="A3760" t="s">
        <v>72</v>
      </c>
      <c r="B3760" t="s">
        <v>73</v>
      </c>
      <c r="C3760" t="s">
        <v>74</v>
      </c>
      <c r="E3760" t="str">
        <f>"FES1162725488"</f>
        <v>FES1162725488</v>
      </c>
      <c r="F3760" s="3">
        <v>43797</v>
      </c>
      <c r="G3760">
        <v>202005</v>
      </c>
      <c r="H3760" t="s">
        <v>75</v>
      </c>
      <c r="I3760" t="s">
        <v>76</v>
      </c>
      <c r="J3760" t="s">
        <v>77</v>
      </c>
      <c r="K3760" t="s">
        <v>78</v>
      </c>
      <c r="L3760" t="s">
        <v>124</v>
      </c>
      <c r="M3760" t="s">
        <v>125</v>
      </c>
      <c r="N3760" t="s">
        <v>218</v>
      </c>
      <c r="O3760" t="s">
        <v>82</v>
      </c>
      <c r="P3760" t="str">
        <f>"2170719259                    "</f>
        <v xml:space="preserve">2170719259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6.71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 s="4">
        <v>39.42</v>
      </c>
      <c r="BM3760" s="4">
        <v>5.91</v>
      </c>
      <c r="BN3760" s="4">
        <v>45.33</v>
      </c>
      <c r="BO3760" s="4">
        <v>45.33</v>
      </c>
      <c r="BQ3760" t="s">
        <v>121</v>
      </c>
      <c r="BR3760" t="s">
        <v>84</v>
      </c>
      <c r="BS3760" s="3">
        <v>43798</v>
      </c>
      <c r="BT3760" s="5">
        <v>0.42777777777777781</v>
      </c>
      <c r="BU3760" t="s">
        <v>2809</v>
      </c>
      <c r="BV3760" t="s">
        <v>86</v>
      </c>
      <c r="BY3760">
        <v>1200</v>
      </c>
      <c r="CA3760" t="s">
        <v>837</v>
      </c>
      <c r="CC3760" t="s">
        <v>125</v>
      </c>
      <c r="CD3760">
        <v>2094</v>
      </c>
      <c r="CE3760" t="s">
        <v>147</v>
      </c>
      <c r="CI3760">
        <v>1</v>
      </c>
      <c r="CJ3760">
        <v>1</v>
      </c>
      <c r="CK3760">
        <v>22</v>
      </c>
      <c r="CL3760" t="s">
        <v>89</v>
      </c>
    </row>
    <row r="3761" spans="1:90">
      <c r="A3761" t="s">
        <v>72</v>
      </c>
      <c r="B3761" t="s">
        <v>73</v>
      </c>
      <c r="C3761" t="s">
        <v>74</v>
      </c>
      <c r="E3761" t="str">
        <f>"FES21162725722"</f>
        <v>FES21162725722</v>
      </c>
      <c r="F3761" s="3">
        <v>43797</v>
      </c>
      <c r="G3761">
        <v>202005</v>
      </c>
      <c r="H3761" t="s">
        <v>75</v>
      </c>
      <c r="I3761" t="s">
        <v>76</v>
      </c>
      <c r="J3761" t="s">
        <v>77</v>
      </c>
      <c r="K3761" t="s">
        <v>78</v>
      </c>
      <c r="L3761" t="s">
        <v>124</v>
      </c>
      <c r="M3761" t="s">
        <v>125</v>
      </c>
      <c r="N3761" t="s">
        <v>218</v>
      </c>
      <c r="O3761" t="s">
        <v>82</v>
      </c>
      <c r="P3761" t="str">
        <f>"217071062                     "</f>
        <v xml:space="preserve">217071062 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24.38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7.6</v>
      </c>
      <c r="BJ3761">
        <v>12.7</v>
      </c>
      <c r="BK3761">
        <v>13</v>
      </c>
      <c r="BL3761" s="4">
        <v>143.33000000000001</v>
      </c>
      <c r="BM3761" s="4">
        <v>21.5</v>
      </c>
      <c r="BN3761" s="4">
        <v>164.83</v>
      </c>
      <c r="BO3761" s="4">
        <v>164.83</v>
      </c>
      <c r="BQ3761" t="s">
        <v>121</v>
      </c>
      <c r="BR3761" t="s">
        <v>84</v>
      </c>
      <c r="BS3761" s="3">
        <v>43798</v>
      </c>
      <c r="BT3761" s="5">
        <v>0.4291666666666667</v>
      </c>
      <c r="BU3761" t="s">
        <v>2809</v>
      </c>
      <c r="BV3761" t="s">
        <v>86</v>
      </c>
      <c r="BY3761">
        <v>63408.55</v>
      </c>
      <c r="CA3761" t="s">
        <v>837</v>
      </c>
      <c r="CC3761" t="s">
        <v>125</v>
      </c>
      <c r="CD3761">
        <v>2094</v>
      </c>
      <c r="CE3761" t="s">
        <v>1598</v>
      </c>
      <c r="CI3761">
        <v>1</v>
      </c>
      <c r="CJ3761">
        <v>1</v>
      </c>
      <c r="CK3761">
        <v>22</v>
      </c>
      <c r="CL3761" t="s">
        <v>89</v>
      </c>
    </row>
    <row r="3762" spans="1:90">
      <c r="A3762" t="s">
        <v>72</v>
      </c>
      <c r="B3762" t="s">
        <v>73</v>
      </c>
      <c r="C3762" t="s">
        <v>74</v>
      </c>
      <c r="E3762" t="str">
        <f>"FES1162725583"</f>
        <v>FES1162725583</v>
      </c>
      <c r="F3762" s="3">
        <v>43797</v>
      </c>
      <c r="G3762">
        <v>202005</v>
      </c>
      <c r="H3762" t="s">
        <v>75</v>
      </c>
      <c r="I3762" t="s">
        <v>76</v>
      </c>
      <c r="J3762" t="s">
        <v>77</v>
      </c>
      <c r="K3762" t="s">
        <v>78</v>
      </c>
      <c r="L3762" t="s">
        <v>95</v>
      </c>
      <c r="M3762" t="s">
        <v>96</v>
      </c>
      <c r="N3762" t="s">
        <v>2561</v>
      </c>
      <c r="O3762" t="s">
        <v>82</v>
      </c>
      <c r="P3762" t="str">
        <f>"2170717727                    "</f>
        <v xml:space="preserve">2170717727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6.71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 s="4">
        <v>39.42</v>
      </c>
      <c r="BM3762" s="4">
        <v>5.91</v>
      </c>
      <c r="BN3762" s="4">
        <v>45.33</v>
      </c>
      <c r="BO3762" s="4">
        <v>45.33</v>
      </c>
      <c r="BQ3762" t="s">
        <v>121</v>
      </c>
      <c r="BR3762" t="s">
        <v>84</v>
      </c>
      <c r="BS3762" s="3">
        <v>43798</v>
      </c>
      <c r="BT3762" s="5">
        <v>0.34375</v>
      </c>
      <c r="BU3762" t="s">
        <v>3396</v>
      </c>
      <c r="BV3762" t="s">
        <v>86</v>
      </c>
      <c r="BY3762">
        <v>1200</v>
      </c>
      <c r="CC3762" t="s">
        <v>96</v>
      </c>
      <c r="CD3762">
        <v>1451</v>
      </c>
      <c r="CE3762" t="s">
        <v>147</v>
      </c>
      <c r="CI3762">
        <v>1</v>
      </c>
      <c r="CJ3762">
        <v>1</v>
      </c>
      <c r="CK3762">
        <v>22</v>
      </c>
      <c r="CL3762" t="s">
        <v>89</v>
      </c>
    </row>
    <row r="3763" spans="1:90">
      <c r="A3763" t="s">
        <v>72</v>
      </c>
      <c r="B3763" t="s">
        <v>73</v>
      </c>
      <c r="C3763" t="s">
        <v>74</v>
      </c>
      <c r="E3763" t="str">
        <f>"FES1162725608"</f>
        <v>FES1162725608</v>
      </c>
      <c r="F3763" s="3">
        <v>43797</v>
      </c>
      <c r="G3763">
        <v>202005</v>
      </c>
      <c r="H3763" t="s">
        <v>75</v>
      </c>
      <c r="I3763" t="s">
        <v>76</v>
      </c>
      <c r="J3763" t="s">
        <v>77</v>
      </c>
      <c r="K3763" t="s">
        <v>78</v>
      </c>
      <c r="L3763" t="s">
        <v>214</v>
      </c>
      <c r="M3763" t="s">
        <v>214</v>
      </c>
      <c r="N3763" t="s">
        <v>314</v>
      </c>
      <c r="O3763" t="s">
        <v>82</v>
      </c>
      <c r="P3763" t="str">
        <f>"2170719170                    "</f>
        <v xml:space="preserve">2170719170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16.63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1.9</v>
      </c>
      <c r="BJ3763">
        <v>1.5</v>
      </c>
      <c r="BK3763">
        <v>2</v>
      </c>
      <c r="BL3763" s="4">
        <v>97.75</v>
      </c>
      <c r="BM3763" s="4">
        <v>14.66</v>
      </c>
      <c r="BN3763" s="4">
        <v>112.41</v>
      </c>
      <c r="BO3763" s="4">
        <v>112.41</v>
      </c>
      <c r="BQ3763" t="s">
        <v>109</v>
      </c>
      <c r="BR3763" t="s">
        <v>84</v>
      </c>
      <c r="BS3763" s="3">
        <v>43798</v>
      </c>
      <c r="BT3763" s="5">
        <v>0.49305555555555558</v>
      </c>
      <c r="BU3763" t="s">
        <v>3112</v>
      </c>
      <c r="BV3763" t="s">
        <v>86</v>
      </c>
      <c r="BY3763">
        <v>7691.43</v>
      </c>
      <c r="CA3763" t="s">
        <v>1643</v>
      </c>
      <c r="CC3763" t="s">
        <v>214</v>
      </c>
      <c r="CD3763">
        <v>7646</v>
      </c>
      <c r="CE3763" t="s">
        <v>1598</v>
      </c>
      <c r="CI3763">
        <v>1</v>
      </c>
      <c r="CJ3763">
        <v>1</v>
      </c>
      <c r="CK3763">
        <v>23</v>
      </c>
      <c r="CL3763" t="s">
        <v>89</v>
      </c>
    </row>
    <row r="3764" spans="1:90">
      <c r="A3764" t="s">
        <v>72</v>
      </c>
      <c r="B3764" t="s">
        <v>73</v>
      </c>
      <c r="C3764" t="s">
        <v>74</v>
      </c>
      <c r="E3764" t="str">
        <f>"FES1162725845"</f>
        <v>FES1162725845</v>
      </c>
      <c r="F3764" s="3">
        <v>43797</v>
      </c>
      <c r="G3764">
        <v>202005</v>
      </c>
      <c r="H3764" t="s">
        <v>75</v>
      </c>
      <c r="I3764" t="s">
        <v>76</v>
      </c>
      <c r="J3764" t="s">
        <v>77</v>
      </c>
      <c r="K3764" t="s">
        <v>78</v>
      </c>
      <c r="L3764" t="s">
        <v>106</v>
      </c>
      <c r="M3764" t="s">
        <v>107</v>
      </c>
      <c r="N3764" t="s">
        <v>3397</v>
      </c>
      <c r="O3764" t="s">
        <v>82</v>
      </c>
      <c r="P3764" t="str">
        <f>"2170719430                    "</f>
        <v xml:space="preserve">2170719430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8.58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 s="4">
        <v>50.45</v>
      </c>
      <c r="BM3764" s="4">
        <v>7.57</v>
      </c>
      <c r="BN3764" s="4">
        <v>58.02</v>
      </c>
      <c r="BO3764" s="4">
        <v>58.02</v>
      </c>
      <c r="BQ3764" t="s">
        <v>109</v>
      </c>
      <c r="BR3764" t="s">
        <v>84</v>
      </c>
      <c r="BS3764" s="3">
        <v>43798</v>
      </c>
      <c r="BT3764" s="5">
        <v>0.41250000000000003</v>
      </c>
      <c r="BU3764" t="s">
        <v>3398</v>
      </c>
      <c r="BV3764" t="s">
        <v>86</v>
      </c>
      <c r="BY3764">
        <v>1200</v>
      </c>
      <c r="CA3764" t="s">
        <v>111</v>
      </c>
      <c r="CC3764" t="s">
        <v>107</v>
      </c>
      <c r="CD3764">
        <v>6000</v>
      </c>
      <c r="CE3764" t="s">
        <v>147</v>
      </c>
      <c r="CI3764">
        <v>1</v>
      </c>
      <c r="CJ3764">
        <v>1</v>
      </c>
      <c r="CK3764">
        <v>21</v>
      </c>
      <c r="CL3764" t="s">
        <v>89</v>
      </c>
    </row>
    <row r="3765" spans="1:90">
      <c r="A3765" t="s">
        <v>72</v>
      </c>
      <c r="B3765" t="s">
        <v>73</v>
      </c>
      <c r="C3765" t="s">
        <v>74</v>
      </c>
      <c r="E3765" t="str">
        <f>"FES1162725777"</f>
        <v>FES1162725777</v>
      </c>
      <c r="F3765" s="3">
        <v>43797</v>
      </c>
      <c r="G3765">
        <v>202005</v>
      </c>
      <c r="H3765" t="s">
        <v>75</v>
      </c>
      <c r="I3765" t="s">
        <v>76</v>
      </c>
      <c r="J3765" t="s">
        <v>77</v>
      </c>
      <c r="K3765" t="s">
        <v>78</v>
      </c>
      <c r="L3765" t="s">
        <v>90</v>
      </c>
      <c r="M3765" t="s">
        <v>91</v>
      </c>
      <c r="N3765" t="s">
        <v>2775</v>
      </c>
      <c r="O3765" t="s">
        <v>82</v>
      </c>
      <c r="P3765" t="str">
        <f>"2170718328                    "</f>
        <v xml:space="preserve">2170718328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12.87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3</v>
      </c>
      <c r="BJ3765">
        <v>2.9</v>
      </c>
      <c r="BK3765">
        <v>3</v>
      </c>
      <c r="BL3765" s="4">
        <v>75.66</v>
      </c>
      <c r="BM3765" s="4">
        <v>11.35</v>
      </c>
      <c r="BN3765" s="4">
        <v>87.01</v>
      </c>
      <c r="BO3765" s="4">
        <v>87.01</v>
      </c>
      <c r="BQ3765" t="s">
        <v>109</v>
      </c>
      <c r="BR3765" t="s">
        <v>84</v>
      </c>
      <c r="BS3765" s="3">
        <v>43798</v>
      </c>
      <c r="BT3765" s="5">
        <v>0.41597222222222219</v>
      </c>
      <c r="BU3765" t="s">
        <v>3377</v>
      </c>
      <c r="BV3765" t="s">
        <v>86</v>
      </c>
      <c r="BY3765">
        <v>14276.45</v>
      </c>
      <c r="CA3765" t="s">
        <v>3378</v>
      </c>
      <c r="CC3765" t="s">
        <v>91</v>
      </c>
      <c r="CD3765">
        <v>7550</v>
      </c>
      <c r="CE3765" t="s">
        <v>1598</v>
      </c>
      <c r="CI3765">
        <v>1</v>
      </c>
      <c r="CJ3765">
        <v>1</v>
      </c>
      <c r="CK3765">
        <v>21</v>
      </c>
      <c r="CL3765" t="s">
        <v>89</v>
      </c>
    </row>
    <row r="3766" spans="1:90">
      <c r="A3766" t="s">
        <v>72</v>
      </c>
      <c r="B3766" t="s">
        <v>73</v>
      </c>
      <c r="C3766" t="s">
        <v>74</v>
      </c>
      <c r="E3766" t="str">
        <f>"FES1162725726"</f>
        <v>FES1162725726</v>
      </c>
      <c r="F3766" s="3">
        <v>43797</v>
      </c>
      <c r="G3766">
        <v>202005</v>
      </c>
      <c r="H3766" t="s">
        <v>75</v>
      </c>
      <c r="I3766" t="s">
        <v>76</v>
      </c>
      <c r="J3766" t="s">
        <v>77</v>
      </c>
      <c r="K3766" t="s">
        <v>78</v>
      </c>
      <c r="L3766" t="s">
        <v>79</v>
      </c>
      <c r="M3766" t="s">
        <v>80</v>
      </c>
      <c r="N3766" t="s">
        <v>458</v>
      </c>
      <c r="O3766" t="s">
        <v>82</v>
      </c>
      <c r="P3766" t="str">
        <f>"2170717136                    "</f>
        <v xml:space="preserve">2170717136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8.58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 s="4">
        <v>50.45</v>
      </c>
      <c r="BM3766" s="4">
        <v>7.57</v>
      </c>
      <c r="BN3766" s="4">
        <v>58.02</v>
      </c>
      <c r="BO3766" s="4">
        <v>58.02</v>
      </c>
      <c r="BQ3766" t="s">
        <v>109</v>
      </c>
      <c r="BR3766" t="s">
        <v>84</v>
      </c>
      <c r="BS3766" s="3">
        <v>43798</v>
      </c>
      <c r="BT3766" s="5">
        <v>0.39930555555555558</v>
      </c>
      <c r="BU3766" t="s">
        <v>3335</v>
      </c>
      <c r="BV3766" t="s">
        <v>86</v>
      </c>
      <c r="BY3766">
        <v>1200</v>
      </c>
      <c r="CA3766" t="s">
        <v>87</v>
      </c>
      <c r="CC3766" t="s">
        <v>80</v>
      </c>
      <c r="CD3766">
        <v>6230</v>
      </c>
      <c r="CE3766" t="s">
        <v>147</v>
      </c>
      <c r="CI3766">
        <v>1</v>
      </c>
      <c r="CJ3766">
        <v>1</v>
      </c>
      <c r="CK3766">
        <v>21</v>
      </c>
      <c r="CL3766" t="s">
        <v>89</v>
      </c>
    </row>
    <row r="3767" spans="1:90">
      <c r="A3767" t="s">
        <v>72</v>
      </c>
      <c r="B3767" t="s">
        <v>73</v>
      </c>
      <c r="C3767" t="s">
        <v>74</v>
      </c>
      <c r="E3767" t="str">
        <f>"FES1162725752"</f>
        <v>FES1162725752</v>
      </c>
      <c r="F3767" s="3">
        <v>43797</v>
      </c>
      <c r="G3767">
        <v>202005</v>
      </c>
      <c r="H3767" t="s">
        <v>75</v>
      </c>
      <c r="I3767" t="s">
        <v>76</v>
      </c>
      <c r="J3767" t="s">
        <v>77</v>
      </c>
      <c r="K3767" t="s">
        <v>78</v>
      </c>
      <c r="L3767" t="s">
        <v>133</v>
      </c>
      <c r="M3767" t="s">
        <v>134</v>
      </c>
      <c r="N3767" t="s">
        <v>310</v>
      </c>
      <c r="O3767" t="s">
        <v>82</v>
      </c>
      <c r="P3767" t="str">
        <f>"2170717531                    "</f>
        <v xml:space="preserve">2170717531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15.02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3.1</v>
      </c>
      <c r="BJ3767">
        <v>1.5</v>
      </c>
      <c r="BK3767">
        <v>3.5</v>
      </c>
      <c r="BL3767" s="4">
        <v>88.27</v>
      </c>
      <c r="BM3767" s="4">
        <v>13.24</v>
      </c>
      <c r="BN3767" s="4">
        <v>101.51</v>
      </c>
      <c r="BO3767" s="4">
        <v>101.51</v>
      </c>
      <c r="BQ3767" t="s">
        <v>121</v>
      </c>
      <c r="BR3767" t="s">
        <v>84</v>
      </c>
      <c r="BS3767" s="3">
        <v>43798</v>
      </c>
      <c r="BT3767" s="5">
        <v>0.3659722222222222</v>
      </c>
      <c r="BU3767" t="s">
        <v>1108</v>
      </c>
      <c r="BV3767" t="s">
        <v>86</v>
      </c>
      <c r="BY3767">
        <v>7470.79</v>
      </c>
      <c r="CA3767" t="s">
        <v>912</v>
      </c>
      <c r="CC3767" t="s">
        <v>134</v>
      </c>
      <c r="CD3767">
        <v>5201</v>
      </c>
      <c r="CE3767" t="s">
        <v>88</v>
      </c>
      <c r="CI3767">
        <v>1</v>
      </c>
      <c r="CJ3767">
        <v>1</v>
      </c>
      <c r="CK3767">
        <v>21</v>
      </c>
      <c r="CL3767" t="s">
        <v>89</v>
      </c>
    </row>
    <row r="3768" spans="1:90">
      <c r="A3768" t="s">
        <v>72</v>
      </c>
      <c r="B3768" t="s">
        <v>73</v>
      </c>
      <c r="C3768" t="s">
        <v>74</v>
      </c>
      <c r="E3768" t="str">
        <f>"FES1162725909"</f>
        <v>FES1162725909</v>
      </c>
      <c r="F3768" s="3">
        <v>43797</v>
      </c>
      <c r="G3768">
        <v>202005</v>
      </c>
      <c r="H3768" t="s">
        <v>75</v>
      </c>
      <c r="I3768" t="s">
        <v>76</v>
      </c>
      <c r="J3768" t="s">
        <v>77</v>
      </c>
      <c r="K3768" t="s">
        <v>78</v>
      </c>
      <c r="L3768" t="s">
        <v>552</v>
      </c>
      <c r="M3768" t="s">
        <v>553</v>
      </c>
      <c r="N3768" t="s">
        <v>2543</v>
      </c>
      <c r="O3768" t="s">
        <v>82</v>
      </c>
      <c r="P3768" t="str">
        <f>"2170719453                    "</f>
        <v xml:space="preserve">2170719453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34.03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2</v>
      </c>
      <c r="BI3768">
        <v>18.8</v>
      </c>
      <c r="BJ3768">
        <v>13.2</v>
      </c>
      <c r="BK3768">
        <v>19</v>
      </c>
      <c r="BL3768" s="4">
        <v>200.02</v>
      </c>
      <c r="BM3768" s="4">
        <v>30</v>
      </c>
      <c r="BN3768" s="4">
        <v>230.02</v>
      </c>
      <c r="BO3768" s="4">
        <v>230.02</v>
      </c>
      <c r="BQ3768" t="s">
        <v>109</v>
      </c>
      <c r="BR3768" t="s">
        <v>84</v>
      </c>
      <c r="BS3768" s="3">
        <v>43798</v>
      </c>
      <c r="BT3768" s="5">
        <v>0.42222222222222222</v>
      </c>
      <c r="BU3768" t="s">
        <v>517</v>
      </c>
      <c r="BV3768" t="s">
        <v>86</v>
      </c>
      <c r="BY3768">
        <v>65826.13</v>
      </c>
      <c r="CA3768" t="s">
        <v>734</v>
      </c>
      <c r="CC3768" t="s">
        <v>553</v>
      </c>
      <c r="CD3768">
        <v>1540</v>
      </c>
      <c r="CE3768" t="s">
        <v>3076</v>
      </c>
      <c r="CI3768">
        <v>1</v>
      </c>
      <c r="CJ3768">
        <v>1</v>
      </c>
      <c r="CK3768">
        <v>22</v>
      </c>
      <c r="CL3768" t="s">
        <v>89</v>
      </c>
    </row>
    <row r="3769" spans="1:90">
      <c r="A3769" t="s">
        <v>72</v>
      </c>
      <c r="B3769" t="s">
        <v>73</v>
      </c>
      <c r="C3769" t="s">
        <v>74</v>
      </c>
      <c r="E3769" t="str">
        <f>"FES1162725580"</f>
        <v>FES1162725580</v>
      </c>
      <c r="F3769" s="3">
        <v>43797</v>
      </c>
      <c r="G3769">
        <v>202005</v>
      </c>
      <c r="H3769" t="s">
        <v>75</v>
      </c>
      <c r="I3769" t="s">
        <v>76</v>
      </c>
      <c r="J3769" t="s">
        <v>77</v>
      </c>
      <c r="K3769" t="s">
        <v>78</v>
      </c>
      <c r="L3769" t="s">
        <v>90</v>
      </c>
      <c r="M3769" t="s">
        <v>91</v>
      </c>
      <c r="N3769" t="s">
        <v>2502</v>
      </c>
      <c r="O3769" t="s">
        <v>82</v>
      </c>
      <c r="P3769" t="str">
        <f>"2170717703                    "</f>
        <v xml:space="preserve">2170717703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25.74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4</v>
      </c>
      <c r="BJ3769">
        <v>5.9</v>
      </c>
      <c r="BK3769">
        <v>6</v>
      </c>
      <c r="BL3769" s="4">
        <v>151.29</v>
      </c>
      <c r="BM3769" s="4">
        <v>22.69</v>
      </c>
      <c r="BN3769" s="4">
        <v>173.98</v>
      </c>
      <c r="BO3769" s="4">
        <v>173.98</v>
      </c>
      <c r="BQ3769" t="s">
        <v>121</v>
      </c>
      <c r="BR3769" t="s">
        <v>84</v>
      </c>
      <c r="BS3769" s="3">
        <v>43798</v>
      </c>
      <c r="BT3769" s="5">
        <v>0.5083333333333333</v>
      </c>
      <c r="BU3769" t="s">
        <v>3399</v>
      </c>
      <c r="BV3769" t="s">
        <v>89</v>
      </c>
      <c r="BW3769" t="s">
        <v>596</v>
      </c>
      <c r="BX3769" t="s">
        <v>365</v>
      </c>
      <c r="BY3769">
        <v>29435.94</v>
      </c>
      <c r="CA3769" t="s">
        <v>677</v>
      </c>
      <c r="CC3769" t="s">
        <v>91</v>
      </c>
      <c r="CD3769">
        <v>8001</v>
      </c>
      <c r="CE3769" t="s">
        <v>1598</v>
      </c>
      <c r="CI3769">
        <v>1</v>
      </c>
      <c r="CJ3769">
        <v>1</v>
      </c>
      <c r="CK3769">
        <v>21</v>
      </c>
      <c r="CL3769" t="s">
        <v>89</v>
      </c>
    </row>
    <row r="3770" spans="1:90">
      <c r="A3770" t="s">
        <v>72</v>
      </c>
      <c r="B3770" t="s">
        <v>73</v>
      </c>
      <c r="C3770" t="s">
        <v>74</v>
      </c>
      <c r="E3770" t="str">
        <f>"FES1162725695"</f>
        <v>FES1162725695</v>
      </c>
      <c r="F3770" s="3">
        <v>43797</v>
      </c>
      <c r="G3770">
        <v>202005</v>
      </c>
      <c r="H3770" t="s">
        <v>75</v>
      </c>
      <c r="I3770" t="s">
        <v>76</v>
      </c>
      <c r="J3770" t="s">
        <v>77</v>
      </c>
      <c r="K3770" t="s">
        <v>78</v>
      </c>
      <c r="L3770" t="s">
        <v>106</v>
      </c>
      <c r="M3770" t="s">
        <v>107</v>
      </c>
      <c r="N3770" t="s">
        <v>843</v>
      </c>
      <c r="O3770" t="s">
        <v>82</v>
      </c>
      <c r="P3770" t="str">
        <f>"2170717425                    "</f>
        <v xml:space="preserve">2170717425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8.58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 s="4">
        <v>50.45</v>
      </c>
      <c r="BM3770" s="4">
        <v>7.57</v>
      </c>
      <c r="BN3770" s="4">
        <v>58.02</v>
      </c>
      <c r="BO3770" s="4">
        <v>58.02</v>
      </c>
      <c r="BQ3770" t="s">
        <v>121</v>
      </c>
      <c r="BR3770" t="s">
        <v>84</v>
      </c>
      <c r="BS3770" s="3">
        <v>43798</v>
      </c>
      <c r="BT3770" s="5">
        <v>0.41388888888888892</v>
      </c>
      <c r="BU3770" t="s">
        <v>3400</v>
      </c>
      <c r="BV3770" t="s">
        <v>86</v>
      </c>
      <c r="BY3770">
        <v>1200</v>
      </c>
      <c r="CA3770" t="s">
        <v>773</v>
      </c>
      <c r="CC3770" t="s">
        <v>107</v>
      </c>
      <c r="CD3770">
        <v>6001</v>
      </c>
      <c r="CE3770" t="s">
        <v>147</v>
      </c>
      <c r="CI3770">
        <v>1</v>
      </c>
      <c r="CJ3770">
        <v>1</v>
      </c>
      <c r="CK3770">
        <v>21</v>
      </c>
      <c r="CL3770" t="s">
        <v>89</v>
      </c>
    </row>
    <row r="3771" spans="1:90">
      <c r="A3771" t="s">
        <v>72</v>
      </c>
      <c r="B3771" t="s">
        <v>73</v>
      </c>
      <c r="C3771" t="s">
        <v>74</v>
      </c>
      <c r="E3771" t="str">
        <f>"FES1162725527"</f>
        <v>FES1162725527</v>
      </c>
      <c r="F3771" s="3">
        <v>43797</v>
      </c>
      <c r="G3771">
        <v>202005</v>
      </c>
      <c r="H3771" t="s">
        <v>75</v>
      </c>
      <c r="I3771" t="s">
        <v>76</v>
      </c>
      <c r="J3771" t="s">
        <v>77</v>
      </c>
      <c r="K3771" t="s">
        <v>78</v>
      </c>
      <c r="L3771" t="s">
        <v>90</v>
      </c>
      <c r="M3771" t="s">
        <v>91</v>
      </c>
      <c r="N3771" t="s">
        <v>401</v>
      </c>
      <c r="O3771" t="s">
        <v>82</v>
      </c>
      <c r="P3771" t="str">
        <f>"2170715878                    "</f>
        <v xml:space="preserve">2170715878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8.58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0.9</v>
      </c>
      <c r="BJ3771">
        <v>1</v>
      </c>
      <c r="BK3771">
        <v>1</v>
      </c>
      <c r="BL3771" s="4">
        <v>50.45</v>
      </c>
      <c r="BM3771" s="4">
        <v>7.57</v>
      </c>
      <c r="BN3771" s="4">
        <v>58.02</v>
      </c>
      <c r="BO3771" s="4">
        <v>58.02</v>
      </c>
      <c r="BQ3771" t="s">
        <v>109</v>
      </c>
      <c r="BR3771" t="s">
        <v>84</v>
      </c>
      <c r="BS3771" s="3">
        <v>43798</v>
      </c>
      <c r="BT3771" s="5">
        <v>0.35833333333333334</v>
      </c>
      <c r="BU3771" t="s">
        <v>1941</v>
      </c>
      <c r="BV3771" t="s">
        <v>86</v>
      </c>
      <c r="BY3771">
        <v>4933.08</v>
      </c>
      <c r="CA3771" t="s">
        <v>1942</v>
      </c>
      <c r="CC3771" t="s">
        <v>91</v>
      </c>
      <c r="CD3771">
        <v>7441</v>
      </c>
      <c r="CE3771" t="s">
        <v>88</v>
      </c>
      <c r="CI3771">
        <v>1</v>
      </c>
      <c r="CJ3771">
        <v>1</v>
      </c>
      <c r="CK3771">
        <v>21</v>
      </c>
      <c r="CL3771" t="s">
        <v>89</v>
      </c>
    </row>
    <row r="3772" spans="1:90">
      <c r="A3772" t="s">
        <v>72</v>
      </c>
      <c r="B3772" t="s">
        <v>73</v>
      </c>
      <c r="C3772" t="s">
        <v>74</v>
      </c>
      <c r="E3772" t="str">
        <f>"FES1162725897"</f>
        <v>FES1162725897</v>
      </c>
      <c r="F3772" s="3">
        <v>43797</v>
      </c>
      <c r="G3772">
        <v>202005</v>
      </c>
      <c r="H3772" t="s">
        <v>75</v>
      </c>
      <c r="I3772" t="s">
        <v>76</v>
      </c>
      <c r="J3772" t="s">
        <v>77</v>
      </c>
      <c r="K3772" t="s">
        <v>78</v>
      </c>
      <c r="L3772" t="s">
        <v>106</v>
      </c>
      <c r="M3772" t="s">
        <v>107</v>
      </c>
      <c r="N3772" t="s">
        <v>3401</v>
      </c>
      <c r="O3772" t="s">
        <v>82</v>
      </c>
      <c r="P3772" t="str">
        <f>"2170719443                    "</f>
        <v xml:space="preserve">2170719443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8.58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 s="4">
        <v>50.45</v>
      </c>
      <c r="BM3772" s="4">
        <v>7.57</v>
      </c>
      <c r="BN3772" s="4">
        <v>58.02</v>
      </c>
      <c r="BO3772" s="4">
        <v>58.02</v>
      </c>
      <c r="BR3772" t="s">
        <v>84</v>
      </c>
      <c r="BS3772" s="3">
        <v>43798</v>
      </c>
      <c r="BT3772" s="5">
        <v>0.3923611111111111</v>
      </c>
      <c r="BU3772" t="s">
        <v>3402</v>
      </c>
      <c r="BV3772" t="s">
        <v>86</v>
      </c>
      <c r="BY3772">
        <v>1200</v>
      </c>
      <c r="CA3772" t="s">
        <v>111</v>
      </c>
      <c r="CC3772" t="s">
        <v>107</v>
      </c>
      <c r="CD3772">
        <v>6001</v>
      </c>
      <c r="CE3772" t="s">
        <v>147</v>
      </c>
      <c r="CI3772">
        <v>1</v>
      </c>
      <c r="CJ3772">
        <v>1</v>
      </c>
      <c r="CK3772">
        <v>21</v>
      </c>
      <c r="CL3772" t="s">
        <v>89</v>
      </c>
    </row>
    <row r="3773" spans="1:90">
      <c r="A3773" t="s">
        <v>72</v>
      </c>
      <c r="B3773" t="s">
        <v>73</v>
      </c>
      <c r="C3773" t="s">
        <v>74</v>
      </c>
      <c r="E3773" t="str">
        <f>"FES1162725591"</f>
        <v>FES1162725591</v>
      </c>
      <c r="F3773" s="3">
        <v>43797</v>
      </c>
      <c r="G3773">
        <v>202005</v>
      </c>
      <c r="H3773" t="s">
        <v>75</v>
      </c>
      <c r="I3773" t="s">
        <v>76</v>
      </c>
      <c r="J3773" t="s">
        <v>77</v>
      </c>
      <c r="K3773" t="s">
        <v>78</v>
      </c>
      <c r="L3773" t="s">
        <v>214</v>
      </c>
      <c r="M3773" t="s">
        <v>214</v>
      </c>
      <c r="N3773" t="s">
        <v>314</v>
      </c>
      <c r="O3773" t="s">
        <v>82</v>
      </c>
      <c r="P3773" t="str">
        <f>"2170717762                    "</f>
        <v xml:space="preserve">2170717762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16.63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1.8</v>
      </c>
      <c r="BJ3773">
        <v>0.9</v>
      </c>
      <c r="BK3773">
        <v>2</v>
      </c>
      <c r="BL3773" s="4">
        <v>97.75</v>
      </c>
      <c r="BM3773" s="4">
        <v>14.66</v>
      </c>
      <c r="BN3773" s="4">
        <v>112.41</v>
      </c>
      <c r="BO3773" s="4">
        <v>112.41</v>
      </c>
      <c r="BQ3773" t="s">
        <v>109</v>
      </c>
      <c r="BR3773" t="s">
        <v>84</v>
      </c>
      <c r="BS3773" s="3">
        <v>43798</v>
      </c>
      <c r="BT3773" s="5">
        <v>0.49305555555555558</v>
      </c>
      <c r="BU3773" t="s">
        <v>3112</v>
      </c>
      <c r="BV3773" t="s">
        <v>86</v>
      </c>
      <c r="BY3773">
        <v>4587.25</v>
      </c>
      <c r="CA3773" t="s">
        <v>1643</v>
      </c>
      <c r="CC3773" t="s">
        <v>214</v>
      </c>
      <c r="CD3773">
        <v>7646</v>
      </c>
      <c r="CE3773" t="s">
        <v>88</v>
      </c>
      <c r="CI3773">
        <v>1</v>
      </c>
      <c r="CJ3773">
        <v>1</v>
      </c>
      <c r="CK3773">
        <v>23</v>
      </c>
      <c r="CL3773" t="s">
        <v>89</v>
      </c>
    </row>
    <row r="3774" spans="1:90">
      <c r="A3774" t="s">
        <v>72</v>
      </c>
      <c r="B3774" t="s">
        <v>73</v>
      </c>
      <c r="C3774" t="s">
        <v>74</v>
      </c>
      <c r="E3774" t="str">
        <f>"FES1162725616"</f>
        <v>FES1162725616</v>
      </c>
      <c r="F3774" s="3">
        <v>43797</v>
      </c>
      <c r="G3774">
        <v>202005</v>
      </c>
      <c r="H3774" t="s">
        <v>75</v>
      </c>
      <c r="I3774" t="s">
        <v>76</v>
      </c>
      <c r="J3774" t="s">
        <v>77</v>
      </c>
      <c r="K3774" t="s">
        <v>78</v>
      </c>
      <c r="L3774" t="s">
        <v>578</v>
      </c>
      <c r="M3774" t="s">
        <v>579</v>
      </c>
      <c r="N3774" t="s">
        <v>1020</v>
      </c>
      <c r="O3774" t="s">
        <v>82</v>
      </c>
      <c r="P3774" t="str">
        <f>"2170718394                    "</f>
        <v xml:space="preserve">2170718394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47.18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10.7</v>
      </c>
      <c r="BJ3774">
        <v>5.9</v>
      </c>
      <c r="BK3774">
        <v>11</v>
      </c>
      <c r="BL3774" s="4">
        <v>277.33</v>
      </c>
      <c r="BM3774" s="4">
        <v>41.6</v>
      </c>
      <c r="BN3774" s="4">
        <v>318.93</v>
      </c>
      <c r="BO3774" s="4">
        <v>318.93</v>
      </c>
      <c r="BQ3774" t="s">
        <v>121</v>
      </c>
      <c r="BR3774" t="s">
        <v>84</v>
      </c>
      <c r="BS3774" s="3">
        <v>43798</v>
      </c>
      <c r="BT3774" s="5">
        <v>0.38125000000000003</v>
      </c>
      <c r="BU3774" t="s">
        <v>1305</v>
      </c>
      <c r="BV3774" t="s">
        <v>86</v>
      </c>
      <c r="BY3774">
        <v>29277.07</v>
      </c>
      <c r="CA3774" t="s">
        <v>1022</v>
      </c>
      <c r="CC3774" t="s">
        <v>579</v>
      </c>
      <c r="CD3774">
        <v>7600</v>
      </c>
      <c r="CE3774" t="s">
        <v>1598</v>
      </c>
      <c r="CI3774">
        <v>1</v>
      </c>
      <c r="CJ3774">
        <v>1</v>
      </c>
      <c r="CK3774">
        <v>21</v>
      </c>
      <c r="CL3774" t="s">
        <v>89</v>
      </c>
    </row>
    <row r="3775" spans="1:90">
      <c r="A3775" t="s">
        <v>72</v>
      </c>
      <c r="B3775" t="s">
        <v>73</v>
      </c>
      <c r="C3775" t="s">
        <v>74</v>
      </c>
      <c r="E3775" t="str">
        <f>"FES1162725756"</f>
        <v>FES1162725756</v>
      </c>
      <c r="F3775" s="3">
        <v>43797</v>
      </c>
      <c r="G3775">
        <v>202005</v>
      </c>
      <c r="H3775" t="s">
        <v>75</v>
      </c>
      <c r="I3775" t="s">
        <v>76</v>
      </c>
      <c r="J3775" t="s">
        <v>77</v>
      </c>
      <c r="K3775" t="s">
        <v>78</v>
      </c>
      <c r="L3775" t="s">
        <v>95</v>
      </c>
      <c r="M3775" t="s">
        <v>96</v>
      </c>
      <c r="N3775" t="s">
        <v>330</v>
      </c>
      <c r="O3775" t="s">
        <v>82</v>
      </c>
      <c r="P3775" t="str">
        <f>"2170717858                    "</f>
        <v xml:space="preserve">2170717858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11.53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3.4</v>
      </c>
      <c r="BJ3775">
        <v>4.9000000000000004</v>
      </c>
      <c r="BK3775">
        <v>5</v>
      </c>
      <c r="BL3775" s="4">
        <v>67.760000000000005</v>
      </c>
      <c r="BM3775" s="4">
        <v>10.16</v>
      </c>
      <c r="BN3775" s="4">
        <v>77.92</v>
      </c>
      <c r="BO3775" s="4">
        <v>77.92</v>
      </c>
      <c r="BQ3775" t="s">
        <v>109</v>
      </c>
      <c r="BR3775" t="s">
        <v>84</v>
      </c>
      <c r="BS3775" s="3">
        <v>43798</v>
      </c>
      <c r="BT3775" s="5">
        <v>0.34930555555555554</v>
      </c>
      <c r="BU3775" t="s">
        <v>3382</v>
      </c>
      <c r="BV3775" t="s">
        <v>86</v>
      </c>
      <c r="BY3775">
        <v>24616.92</v>
      </c>
      <c r="CC3775" t="s">
        <v>96</v>
      </c>
      <c r="CD3775">
        <v>1451</v>
      </c>
      <c r="CE3775" t="s">
        <v>1598</v>
      </c>
      <c r="CI3775">
        <v>1</v>
      </c>
      <c r="CJ3775">
        <v>1</v>
      </c>
      <c r="CK3775">
        <v>22</v>
      </c>
      <c r="CL3775" t="s">
        <v>89</v>
      </c>
    </row>
    <row r="3776" spans="1:90">
      <c r="A3776" t="s">
        <v>72</v>
      </c>
      <c r="B3776" t="s">
        <v>73</v>
      </c>
      <c r="C3776" t="s">
        <v>74</v>
      </c>
      <c r="E3776" t="str">
        <f>"FES1162725567"</f>
        <v>FES1162725567</v>
      </c>
      <c r="F3776" s="3">
        <v>43797</v>
      </c>
      <c r="G3776">
        <v>202005</v>
      </c>
      <c r="H3776" t="s">
        <v>75</v>
      </c>
      <c r="I3776" t="s">
        <v>76</v>
      </c>
      <c r="J3776" t="s">
        <v>77</v>
      </c>
      <c r="K3776" t="s">
        <v>78</v>
      </c>
      <c r="L3776" t="s">
        <v>106</v>
      </c>
      <c r="M3776" t="s">
        <v>107</v>
      </c>
      <c r="N3776" t="s">
        <v>108</v>
      </c>
      <c r="O3776" t="s">
        <v>82</v>
      </c>
      <c r="P3776" t="str">
        <f>"2170717621                    "</f>
        <v xml:space="preserve">2170717621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77.2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17.899999999999999</v>
      </c>
      <c r="BJ3776">
        <v>3.3</v>
      </c>
      <c r="BK3776">
        <v>18</v>
      </c>
      <c r="BL3776" s="4">
        <v>453.79</v>
      </c>
      <c r="BM3776" s="4">
        <v>68.069999999999993</v>
      </c>
      <c r="BN3776" s="4">
        <v>521.86</v>
      </c>
      <c r="BO3776" s="4">
        <v>521.86</v>
      </c>
      <c r="BQ3776" t="s">
        <v>109</v>
      </c>
      <c r="BR3776" t="s">
        <v>84</v>
      </c>
      <c r="BS3776" s="3">
        <v>43798</v>
      </c>
      <c r="BT3776" s="5">
        <v>0.37847222222222227</v>
      </c>
      <c r="BU3776" t="s">
        <v>2881</v>
      </c>
      <c r="BV3776" t="s">
        <v>86</v>
      </c>
      <c r="BY3776">
        <v>16288.78</v>
      </c>
      <c r="CA3776" t="s">
        <v>111</v>
      </c>
      <c r="CC3776" t="s">
        <v>107</v>
      </c>
      <c r="CD3776">
        <v>6001</v>
      </c>
      <c r="CE3776" t="s">
        <v>88</v>
      </c>
      <c r="CI3776">
        <v>1</v>
      </c>
      <c r="CJ3776">
        <v>1</v>
      </c>
      <c r="CK3776">
        <v>21</v>
      </c>
      <c r="CL3776" t="s">
        <v>89</v>
      </c>
    </row>
    <row r="3777" spans="1:90">
      <c r="A3777" t="s">
        <v>72</v>
      </c>
      <c r="B3777" t="s">
        <v>73</v>
      </c>
      <c r="C3777" t="s">
        <v>74</v>
      </c>
      <c r="E3777" t="str">
        <f>"FES1162725514"</f>
        <v>FES1162725514</v>
      </c>
      <c r="F3777" s="3">
        <v>43797</v>
      </c>
      <c r="G3777">
        <v>202005</v>
      </c>
      <c r="H3777" t="s">
        <v>75</v>
      </c>
      <c r="I3777" t="s">
        <v>76</v>
      </c>
      <c r="J3777" t="s">
        <v>77</v>
      </c>
      <c r="K3777" t="s">
        <v>78</v>
      </c>
      <c r="L3777" t="s">
        <v>164</v>
      </c>
      <c r="M3777" t="s">
        <v>165</v>
      </c>
      <c r="N3777" t="s">
        <v>166</v>
      </c>
      <c r="O3777" t="s">
        <v>82</v>
      </c>
      <c r="P3777" t="str">
        <f>"2170715856                    "</f>
        <v xml:space="preserve">2170715856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39.159999999999997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4.9000000000000004</v>
      </c>
      <c r="BJ3777">
        <v>2.7</v>
      </c>
      <c r="BK3777">
        <v>5</v>
      </c>
      <c r="BL3777" s="4">
        <v>230.2</v>
      </c>
      <c r="BM3777" s="4">
        <v>34.53</v>
      </c>
      <c r="BN3777" s="4">
        <v>264.73</v>
      </c>
      <c r="BO3777" s="4">
        <v>264.73</v>
      </c>
      <c r="BQ3777" t="s">
        <v>121</v>
      </c>
      <c r="BR3777" t="s">
        <v>84</v>
      </c>
      <c r="BS3777" s="3">
        <v>43798</v>
      </c>
      <c r="BT3777" s="5">
        <v>0.53402777777777777</v>
      </c>
      <c r="BU3777" t="s">
        <v>416</v>
      </c>
      <c r="BV3777" t="s">
        <v>86</v>
      </c>
      <c r="BY3777">
        <v>13259.41</v>
      </c>
      <c r="CA3777" t="s">
        <v>168</v>
      </c>
      <c r="CC3777" t="s">
        <v>165</v>
      </c>
      <c r="CD3777">
        <v>3370</v>
      </c>
      <c r="CE3777" t="s">
        <v>1598</v>
      </c>
      <c r="CI3777">
        <v>3</v>
      </c>
      <c r="CJ3777">
        <v>1</v>
      </c>
      <c r="CK3777">
        <v>23</v>
      </c>
      <c r="CL3777" t="s">
        <v>89</v>
      </c>
    </row>
    <row r="3778" spans="1:90">
      <c r="A3778" t="s">
        <v>72</v>
      </c>
      <c r="B3778" t="s">
        <v>73</v>
      </c>
      <c r="C3778" t="s">
        <v>74</v>
      </c>
      <c r="E3778" t="str">
        <f>"FES1162725632"</f>
        <v>FES1162725632</v>
      </c>
      <c r="F3778" s="3">
        <v>43797</v>
      </c>
      <c r="G3778">
        <v>202005</v>
      </c>
      <c r="H3778" t="s">
        <v>75</v>
      </c>
      <c r="I3778" t="s">
        <v>76</v>
      </c>
      <c r="J3778" t="s">
        <v>77</v>
      </c>
      <c r="K3778" t="s">
        <v>78</v>
      </c>
      <c r="L3778" t="s">
        <v>118</v>
      </c>
      <c r="M3778" t="s">
        <v>119</v>
      </c>
      <c r="N3778" t="s">
        <v>630</v>
      </c>
      <c r="O3778" t="s">
        <v>82</v>
      </c>
      <c r="P3778" t="str">
        <f>"2170719127                    "</f>
        <v xml:space="preserve">2170719127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8.58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0.5</v>
      </c>
      <c r="BJ3778">
        <v>0.9</v>
      </c>
      <c r="BK3778">
        <v>1</v>
      </c>
      <c r="BL3778" s="4">
        <v>50.45</v>
      </c>
      <c r="BM3778" s="4">
        <v>7.57</v>
      </c>
      <c r="BN3778" s="4">
        <v>58.02</v>
      </c>
      <c r="BO3778" s="4">
        <v>58.02</v>
      </c>
      <c r="BQ3778" t="s">
        <v>121</v>
      </c>
      <c r="BR3778" t="s">
        <v>84</v>
      </c>
      <c r="BS3778" s="3">
        <v>43798</v>
      </c>
      <c r="BT3778" s="5">
        <v>0.375</v>
      </c>
      <c r="BU3778" t="s">
        <v>3282</v>
      </c>
      <c r="BV3778" t="s">
        <v>86</v>
      </c>
      <c r="BY3778">
        <v>4271.1000000000004</v>
      </c>
      <c r="CA3778" t="s">
        <v>632</v>
      </c>
      <c r="CC3778" t="s">
        <v>119</v>
      </c>
      <c r="CD3778">
        <v>3201</v>
      </c>
      <c r="CE3778" t="s">
        <v>88</v>
      </c>
      <c r="CI3778">
        <v>1</v>
      </c>
      <c r="CJ3778">
        <v>1</v>
      </c>
      <c r="CK3778">
        <v>21</v>
      </c>
      <c r="CL3778" t="s">
        <v>89</v>
      </c>
    </row>
    <row r="3779" spans="1:90">
      <c r="A3779" t="s">
        <v>72</v>
      </c>
      <c r="B3779" t="s">
        <v>73</v>
      </c>
      <c r="C3779" t="s">
        <v>74</v>
      </c>
      <c r="E3779" t="str">
        <f>"FES1162725704"</f>
        <v>FES1162725704</v>
      </c>
      <c r="F3779" s="3">
        <v>43797</v>
      </c>
      <c r="G3779">
        <v>202005</v>
      </c>
      <c r="H3779" t="s">
        <v>75</v>
      </c>
      <c r="I3779" t="s">
        <v>76</v>
      </c>
      <c r="J3779" t="s">
        <v>77</v>
      </c>
      <c r="K3779" t="s">
        <v>78</v>
      </c>
      <c r="L3779" t="s">
        <v>118</v>
      </c>
      <c r="M3779" t="s">
        <v>119</v>
      </c>
      <c r="N3779" t="s">
        <v>248</v>
      </c>
      <c r="O3779" t="s">
        <v>82</v>
      </c>
      <c r="P3779" t="str">
        <f>"2170719330                    "</f>
        <v xml:space="preserve">2170719330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15.02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3.2</v>
      </c>
      <c r="BJ3779">
        <v>1.4</v>
      </c>
      <c r="BK3779">
        <v>3.5</v>
      </c>
      <c r="BL3779" s="4">
        <v>88.27</v>
      </c>
      <c r="BM3779" s="4">
        <v>13.24</v>
      </c>
      <c r="BN3779" s="4">
        <v>101.51</v>
      </c>
      <c r="BO3779" s="4">
        <v>101.51</v>
      </c>
      <c r="BQ3779" t="s">
        <v>121</v>
      </c>
      <c r="BR3779" t="s">
        <v>84</v>
      </c>
      <c r="BS3779" s="3">
        <v>43798</v>
      </c>
      <c r="BT3779" s="5">
        <v>0.38194444444444442</v>
      </c>
      <c r="BU3779" t="s">
        <v>623</v>
      </c>
      <c r="BV3779" t="s">
        <v>86</v>
      </c>
      <c r="BY3779">
        <v>7143.34</v>
      </c>
      <c r="CA3779" t="s">
        <v>435</v>
      </c>
      <c r="CC3779" t="s">
        <v>119</v>
      </c>
      <c r="CD3779">
        <v>3212</v>
      </c>
      <c r="CE3779" t="s">
        <v>88</v>
      </c>
      <c r="CI3779">
        <v>1</v>
      </c>
      <c r="CJ3779">
        <v>1</v>
      </c>
      <c r="CK3779">
        <v>21</v>
      </c>
      <c r="CL3779" t="s">
        <v>89</v>
      </c>
    </row>
    <row r="3780" spans="1:90">
      <c r="A3780" t="s">
        <v>72</v>
      </c>
      <c r="B3780" t="s">
        <v>73</v>
      </c>
      <c r="C3780" t="s">
        <v>74</v>
      </c>
      <c r="E3780" t="str">
        <f>"FES1162725515"</f>
        <v>FES1162725515</v>
      </c>
      <c r="F3780" s="3">
        <v>43797</v>
      </c>
      <c r="G3780">
        <v>202005</v>
      </c>
      <c r="H3780" t="s">
        <v>75</v>
      </c>
      <c r="I3780" t="s">
        <v>76</v>
      </c>
      <c r="J3780" t="s">
        <v>77</v>
      </c>
      <c r="K3780" t="s">
        <v>78</v>
      </c>
      <c r="L3780" t="s">
        <v>106</v>
      </c>
      <c r="M3780" t="s">
        <v>107</v>
      </c>
      <c r="N3780" t="s">
        <v>260</v>
      </c>
      <c r="O3780" t="s">
        <v>82</v>
      </c>
      <c r="P3780" t="str">
        <f>"2170718632                    "</f>
        <v xml:space="preserve">2170718632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8.58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 s="4">
        <v>50.45</v>
      </c>
      <c r="BM3780" s="4">
        <v>7.57</v>
      </c>
      <c r="BN3780" s="4">
        <v>58.02</v>
      </c>
      <c r="BO3780" s="4">
        <v>58.02</v>
      </c>
      <c r="BQ3780" t="s">
        <v>121</v>
      </c>
      <c r="BR3780" t="s">
        <v>84</v>
      </c>
      <c r="BS3780" s="3">
        <v>43798</v>
      </c>
      <c r="BT3780" s="5">
        <v>0.34513888888888888</v>
      </c>
      <c r="BU3780" t="s">
        <v>3403</v>
      </c>
      <c r="BV3780" t="s">
        <v>86</v>
      </c>
      <c r="BY3780">
        <v>1200</v>
      </c>
      <c r="CA3780" t="s">
        <v>111</v>
      </c>
      <c r="CC3780" t="s">
        <v>107</v>
      </c>
      <c r="CD3780">
        <v>6001</v>
      </c>
      <c r="CE3780" t="s">
        <v>147</v>
      </c>
      <c r="CI3780">
        <v>1</v>
      </c>
      <c r="CJ3780">
        <v>1</v>
      </c>
      <c r="CK3780">
        <v>21</v>
      </c>
      <c r="CL3780" t="s">
        <v>89</v>
      </c>
    </row>
    <row r="3781" spans="1:90">
      <c r="A3781" t="s">
        <v>72</v>
      </c>
      <c r="B3781" t="s">
        <v>73</v>
      </c>
      <c r="C3781" t="s">
        <v>74</v>
      </c>
      <c r="E3781" t="str">
        <f>"FES1162725530"</f>
        <v>FES1162725530</v>
      </c>
      <c r="F3781" s="3">
        <v>43797</v>
      </c>
      <c r="G3781">
        <v>202005</v>
      </c>
      <c r="H3781" t="s">
        <v>75</v>
      </c>
      <c r="I3781" t="s">
        <v>76</v>
      </c>
      <c r="J3781" t="s">
        <v>77</v>
      </c>
      <c r="K3781" t="s">
        <v>78</v>
      </c>
      <c r="L3781" t="s">
        <v>112</v>
      </c>
      <c r="M3781" t="s">
        <v>113</v>
      </c>
      <c r="N3781" t="s">
        <v>790</v>
      </c>
      <c r="O3781" t="s">
        <v>82</v>
      </c>
      <c r="P3781" t="str">
        <f>"2170716327                    "</f>
        <v xml:space="preserve">2170716327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72.91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11.7</v>
      </c>
      <c r="BJ3781">
        <v>16.7</v>
      </c>
      <c r="BK3781">
        <v>17</v>
      </c>
      <c r="BL3781" s="4">
        <v>428.58</v>
      </c>
      <c r="BM3781" s="4">
        <v>64.290000000000006</v>
      </c>
      <c r="BN3781" s="4">
        <v>492.87</v>
      </c>
      <c r="BO3781" s="4">
        <v>492.87</v>
      </c>
      <c r="BQ3781" t="s">
        <v>121</v>
      </c>
      <c r="BR3781" t="s">
        <v>84</v>
      </c>
      <c r="BS3781" s="3">
        <v>43798</v>
      </c>
      <c r="BT3781" s="5">
        <v>0.41666666666666669</v>
      </c>
      <c r="BU3781" t="s">
        <v>3385</v>
      </c>
      <c r="BV3781" t="s">
        <v>86</v>
      </c>
      <c r="BY3781">
        <v>83489.45</v>
      </c>
      <c r="CA3781" t="s">
        <v>448</v>
      </c>
      <c r="CC3781" t="s">
        <v>113</v>
      </c>
      <c r="CD3781">
        <v>4068</v>
      </c>
      <c r="CE3781" t="s">
        <v>88</v>
      </c>
      <c r="CI3781">
        <v>1</v>
      </c>
      <c r="CJ3781">
        <v>1</v>
      </c>
      <c r="CK3781">
        <v>21</v>
      </c>
      <c r="CL3781" t="s">
        <v>89</v>
      </c>
    </row>
    <row r="3782" spans="1:90">
      <c r="A3782" t="s">
        <v>72</v>
      </c>
      <c r="B3782" t="s">
        <v>73</v>
      </c>
      <c r="C3782" t="s">
        <v>74</v>
      </c>
      <c r="E3782" t="str">
        <f>"FES1162725620"</f>
        <v>FES1162725620</v>
      </c>
      <c r="F3782" s="3">
        <v>43797</v>
      </c>
      <c r="G3782">
        <v>202005</v>
      </c>
      <c r="H3782" t="s">
        <v>75</v>
      </c>
      <c r="I3782" t="s">
        <v>76</v>
      </c>
      <c r="J3782" t="s">
        <v>77</v>
      </c>
      <c r="K3782" t="s">
        <v>78</v>
      </c>
      <c r="L3782" t="s">
        <v>118</v>
      </c>
      <c r="M3782" t="s">
        <v>119</v>
      </c>
      <c r="N3782" t="s">
        <v>2031</v>
      </c>
      <c r="O3782" t="s">
        <v>82</v>
      </c>
      <c r="P3782" t="str">
        <f>"2170718469                    "</f>
        <v xml:space="preserve">2170718469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8.58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0.9</v>
      </c>
      <c r="BJ3782">
        <v>1.2</v>
      </c>
      <c r="BK3782">
        <v>1.5</v>
      </c>
      <c r="BL3782" s="4">
        <v>50.45</v>
      </c>
      <c r="BM3782" s="4">
        <v>7.57</v>
      </c>
      <c r="BN3782" s="4">
        <v>58.02</v>
      </c>
      <c r="BO3782" s="4">
        <v>58.02</v>
      </c>
      <c r="BR3782" t="s">
        <v>84</v>
      </c>
      <c r="BS3782" s="3">
        <v>43798</v>
      </c>
      <c r="BT3782" s="5">
        <v>0.43263888888888885</v>
      </c>
      <c r="BU3782" t="s">
        <v>3404</v>
      </c>
      <c r="BV3782" t="s">
        <v>86</v>
      </c>
      <c r="BY3782">
        <v>6147.79</v>
      </c>
      <c r="CA3782" t="s">
        <v>777</v>
      </c>
      <c r="CC3782" t="s">
        <v>119</v>
      </c>
      <c r="CD3782">
        <v>3201</v>
      </c>
      <c r="CE3782" t="s">
        <v>88</v>
      </c>
      <c r="CI3782">
        <v>1</v>
      </c>
      <c r="CJ3782">
        <v>1</v>
      </c>
      <c r="CK3782">
        <v>21</v>
      </c>
      <c r="CL3782" t="s">
        <v>89</v>
      </c>
    </row>
    <row r="3783" spans="1:90">
      <c r="A3783" t="s">
        <v>72</v>
      </c>
      <c r="B3783" t="s">
        <v>73</v>
      </c>
      <c r="C3783" t="s">
        <v>74</v>
      </c>
      <c r="E3783" t="str">
        <f>"FES1162725557"</f>
        <v>FES1162725557</v>
      </c>
      <c r="F3783" s="3">
        <v>43797</v>
      </c>
      <c r="G3783">
        <v>202005</v>
      </c>
      <c r="H3783" t="s">
        <v>75</v>
      </c>
      <c r="I3783" t="s">
        <v>76</v>
      </c>
      <c r="J3783" t="s">
        <v>77</v>
      </c>
      <c r="K3783" t="s">
        <v>78</v>
      </c>
      <c r="L3783" t="s">
        <v>202</v>
      </c>
      <c r="M3783" t="s">
        <v>203</v>
      </c>
      <c r="N3783" t="s">
        <v>2340</v>
      </c>
      <c r="O3783" t="s">
        <v>82</v>
      </c>
      <c r="P3783" t="str">
        <f>"2170717506                    "</f>
        <v xml:space="preserve">2170717506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6.71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 s="4">
        <v>39.42</v>
      </c>
      <c r="BM3783" s="4">
        <v>5.91</v>
      </c>
      <c r="BN3783" s="4">
        <v>45.33</v>
      </c>
      <c r="BO3783" s="4">
        <v>45.33</v>
      </c>
      <c r="BQ3783" t="s">
        <v>121</v>
      </c>
      <c r="BR3783" t="s">
        <v>84</v>
      </c>
      <c r="BS3783" s="3">
        <v>43798</v>
      </c>
      <c r="BT3783" s="5">
        <v>0.33333333333333331</v>
      </c>
      <c r="BU3783" t="s">
        <v>3405</v>
      </c>
      <c r="BV3783" t="s">
        <v>86</v>
      </c>
      <c r="BY3783">
        <v>1200</v>
      </c>
      <c r="CA3783" t="s">
        <v>1067</v>
      </c>
      <c r="CC3783" t="s">
        <v>203</v>
      </c>
      <c r="CD3783">
        <v>1406</v>
      </c>
      <c r="CE3783" t="s">
        <v>147</v>
      </c>
      <c r="CI3783">
        <v>1</v>
      </c>
      <c r="CJ3783">
        <v>1</v>
      </c>
      <c r="CK3783">
        <v>22</v>
      </c>
      <c r="CL3783" t="s">
        <v>89</v>
      </c>
    </row>
    <row r="3784" spans="1:90">
      <c r="A3784" t="s">
        <v>72</v>
      </c>
      <c r="B3784" t="s">
        <v>73</v>
      </c>
      <c r="C3784" t="s">
        <v>74</v>
      </c>
      <c r="E3784" t="str">
        <f>"FES1162725573"</f>
        <v>FES1162725573</v>
      </c>
      <c r="F3784" s="3">
        <v>43797</v>
      </c>
      <c r="G3784">
        <v>202005</v>
      </c>
      <c r="H3784" t="s">
        <v>75</v>
      </c>
      <c r="I3784" t="s">
        <v>76</v>
      </c>
      <c r="J3784" t="s">
        <v>77</v>
      </c>
      <c r="K3784" t="s">
        <v>78</v>
      </c>
      <c r="L3784" t="s">
        <v>225</v>
      </c>
      <c r="M3784" t="s">
        <v>226</v>
      </c>
      <c r="N3784" t="s">
        <v>227</v>
      </c>
      <c r="O3784" t="s">
        <v>82</v>
      </c>
      <c r="P3784" t="str">
        <f>"2170717669                    "</f>
        <v xml:space="preserve">2170717669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25.74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5.6</v>
      </c>
      <c r="BJ3784">
        <v>1.4</v>
      </c>
      <c r="BK3784">
        <v>6</v>
      </c>
      <c r="BL3784" s="4">
        <v>151.29</v>
      </c>
      <c r="BM3784" s="4">
        <v>22.69</v>
      </c>
      <c r="BN3784" s="4">
        <v>173.98</v>
      </c>
      <c r="BO3784" s="4">
        <v>173.98</v>
      </c>
      <c r="BQ3784" t="s">
        <v>121</v>
      </c>
      <c r="BR3784" t="s">
        <v>84</v>
      </c>
      <c r="BS3784" s="3">
        <v>43798</v>
      </c>
      <c r="BT3784" s="5">
        <v>0.37638888888888888</v>
      </c>
      <c r="BU3784" t="s">
        <v>1684</v>
      </c>
      <c r="BV3784" t="s">
        <v>86</v>
      </c>
      <c r="BY3784">
        <v>7163.91</v>
      </c>
      <c r="CA3784" t="s">
        <v>229</v>
      </c>
      <c r="CC3784" t="s">
        <v>226</v>
      </c>
      <c r="CD3784">
        <v>4026</v>
      </c>
      <c r="CE3784" t="s">
        <v>88</v>
      </c>
      <c r="CI3784">
        <v>1</v>
      </c>
      <c r="CJ3784">
        <v>1</v>
      </c>
      <c r="CK3784">
        <v>21</v>
      </c>
      <c r="CL3784" t="s">
        <v>89</v>
      </c>
    </row>
    <row r="3785" spans="1:90">
      <c r="A3785" t="s">
        <v>72</v>
      </c>
      <c r="B3785" t="s">
        <v>73</v>
      </c>
      <c r="C3785" t="s">
        <v>74</v>
      </c>
      <c r="E3785" t="str">
        <f>"FES1162725541"</f>
        <v>FES1162725541</v>
      </c>
      <c r="F3785" s="3">
        <v>43797</v>
      </c>
      <c r="G3785">
        <v>202005</v>
      </c>
      <c r="H3785" t="s">
        <v>75</v>
      </c>
      <c r="I3785" t="s">
        <v>76</v>
      </c>
      <c r="J3785" t="s">
        <v>77</v>
      </c>
      <c r="K3785" t="s">
        <v>78</v>
      </c>
      <c r="L3785" t="s">
        <v>214</v>
      </c>
      <c r="M3785" t="s">
        <v>214</v>
      </c>
      <c r="N3785" t="s">
        <v>314</v>
      </c>
      <c r="O3785" t="s">
        <v>82</v>
      </c>
      <c r="P3785" t="str">
        <f>"2170717213                    "</f>
        <v xml:space="preserve">2170717213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16.63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 s="4">
        <v>97.75</v>
      </c>
      <c r="BM3785" s="4">
        <v>14.66</v>
      </c>
      <c r="BN3785" s="4">
        <v>112.41</v>
      </c>
      <c r="BO3785" s="4">
        <v>112.41</v>
      </c>
      <c r="BQ3785" t="s">
        <v>109</v>
      </c>
      <c r="BR3785" t="s">
        <v>84</v>
      </c>
      <c r="BS3785" s="3">
        <v>43798</v>
      </c>
      <c r="BT3785" s="5">
        <v>0.49305555555555558</v>
      </c>
      <c r="BU3785" t="s">
        <v>3112</v>
      </c>
      <c r="BV3785" t="s">
        <v>86</v>
      </c>
      <c r="BY3785">
        <v>1200</v>
      </c>
      <c r="CA3785" t="s">
        <v>1643</v>
      </c>
      <c r="CC3785" t="s">
        <v>214</v>
      </c>
      <c r="CD3785">
        <v>7646</v>
      </c>
      <c r="CE3785" t="s">
        <v>147</v>
      </c>
      <c r="CI3785">
        <v>1</v>
      </c>
      <c r="CJ3785">
        <v>1</v>
      </c>
      <c r="CK3785">
        <v>23</v>
      </c>
      <c r="CL3785" t="s">
        <v>89</v>
      </c>
    </row>
    <row r="3786" spans="1:90">
      <c r="A3786" t="s">
        <v>72</v>
      </c>
      <c r="B3786" t="s">
        <v>73</v>
      </c>
      <c r="C3786" t="s">
        <v>74</v>
      </c>
      <c r="E3786" t="str">
        <f>"FES1162725543"</f>
        <v>FES1162725543</v>
      </c>
      <c r="F3786" s="3">
        <v>43797</v>
      </c>
      <c r="G3786">
        <v>202005</v>
      </c>
      <c r="H3786" t="s">
        <v>75</v>
      </c>
      <c r="I3786" t="s">
        <v>76</v>
      </c>
      <c r="J3786" t="s">
        <v>77</v>
      </c>
      <c r="K3786" t="s">
        <v>78</v>
      </c>
      <c r="L3786" t="s">
        <v>482</v>
      </c>
      <c r="M3786" t="s">
        <v>483</v>
      </c>
      <c r="N3786" t="s">
        <v>1054</v>
      </c>
      <c r="O3786" t="s">
        <v>82</v>
      </c>
      <c r="P3786" t="str">
        <f>"2170717264                    "</f>
        <v xml:space="preserve">2170717264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6.71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 s="4">
        <v>39.42</v>
      </c>
      <c r="BM3786" s="4">
        <v>5.91</v>
      </c>
      <c r="BN3786" s="4">
        <v>45.33</v>
      </c>
      <c r="BO3786" s="4">
        <v>45.33</v>
      </c>
      <c r="BQ3786" t="s">
        <v>109</v>
      </c>
      <c r="BR3786" t="s">
        <v>84</v>
      </c>
      <c r="BS3786" s="3">
        <v>43798</v>
      </c>
      <c r="BT3786" s="5">
        <v>0.35138888888888892</v>
      </c>
      <c r="BU3786" t="s">
        <v>3114</v>
      </c>
      <c r="BV3786" t="s">
        <v>86</v>
      </c>
      <c r="BY3786">
        <v>1200</v>
      </c>
      <c r="CA3786" t="s">
        <v>486</v>
      </c>
      <c r="CC3786" t="s">
        <v>483</v>
      </c>
      <c r="CD3786">
        <v>1459</v>
      </c>
      <c r="CE3786" t="s">
        <v>147</v>
      </c>
      <c r="CI3786">
        <v>1</v>
      </c>
      <c r="CJ3786">
        <v>1</v>
      </c>
      <c r="CK3786">
        <v>22</v>
      </c>
      <c r="CL3786" t="s">
        <v>89</v>
      </c>
    </row>
    <row r="3787" spans="1:90">
      <c r="A3787" t="s">
        <v>72</v>
      </c>
      <c r="B3787" t="s">
        <v>73</v>
      </c>
      <c r="C3787" t="s">
        <v>74</v>
      </c>
      <c r="E3787" t="str">
        <f>"FES1162725714"</f>
        <v>FES1162725714</v>
      </c>
      <c r="F3787" s="3">
        <v>43797</v>
      </c>
      <c r="G3787">
        <v>202005</v>
      </c>
      <c r="H3787" t="s">
        <v>75</v>
      </c>
      <c r="I3787" t="s">
        <v>76</v>
      </c>
      <c r="J3787" t="s">
        <v>77</v>
      </c>
      <c r="K3787" t="s">
        <v>78</v>
      </c>
      <c r="L3787" t="s">
        <v>106</v>
      </c>
      <c r="M3787" t="s">
        <v>107</v>
      </c>
      <c r="N3787" t="s">
        <v>700</v>
      </c>
      <c r="O3787" t="s">
        <v>82</v>
      </c>
      <c r="P3787" t="str">
        <f>"2170714788                    "</f>
        <v xml:space="preserve">2170714788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23.59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5.2</v>
      </c>
      <c r="BJ3787">
        <v>3</v>
      </c>
      <c r="BK3787">
        <v>5.5</v>
      </c>
      <c r="BL3787" s="4">
        <v>138.68</v>
      </c>
      <c r="BM3787" s="4">
        <v>20.8</v>
      </c>
      <c r="BN3787" s="4">
        <v>159.47999999999999</v>
      </c>
      <c r="BO3787" s="4">
        <v>159.47999999999999</v>
      </c>
      <c r="BQ3787" t="s">
        <v>109</v>
      </c>
      <c r="BR3787" t="s">
        <v>84</v>
      </c>
      <c r="BS3787" s="3">
        <v>43798</v>
      </c>
      <c r="BT3787" s="5">
        <v>0.36805555555555558</v>
      </c>
      <c r="BU3787" t="s">
        <v>3356</v>
      </c>
      <c r="BV3787" t="s">
        <v>86</v>
      </c>
      <c r="BY3787">
        <v>15128.26</v>
      </c>
      <c r="CA3787" t="s">
        <v>773</v>
      </c>
      <c r="CC3787" t="s">
        <v>107</v>
      </c>
      <c r="CD3787">
        <v>6001</v>
      </c>
      <c r="CE3787" t="s">
        <v>88</v>
      </c>
      <c r="CI3787">
        <v>1</v>
      </c>
      <c r="CJ3787">
        <v>1</v>
      </c>
      <c r="CK3787">
        <v>21</v>
      </c>
      <c r="CL3787" t="s">
        <v>89</v>
      </c>
    </row>
    <row r="3788" spans="1:90">
      <c r="A3788" t="s">
        <v>72</v>
      </c>
      <c r="B3788" t="s">
        <v>73</v>
      </c>
      <c r="C3788" t="s">
        <v>74</v>
      </c>
      <c r="E3788" t="str">
        <f>"FES1162725637"</f>
        <v>FES1162725637</v>
      </c>
      <c r="F3788" s="3">
        <v>43797</v>
      </c>
      <c r="G3788">
        <v>202005</v>
      </c>
      <c r="H3788" t="s">
        <v>75</v>
      </c>
      <c r="I3788" t="s">
        <v>76</v>
      </c>
      <c r="J3788" t="s">
        <v>77</v>
      </c>
      <c r="K3788" t="s">
        <v>78</v>
      </c>
      <c r="L3788" t="s">
        <v>202</v>
      </c>
      <c r="M3788" t="s">
        <v>203</v>
      </c>
      <c r="N3788" t="s">
        <v>521</v>
      </c>
      <c r="O3788" t="s">
        <v>82</v>
      </c>
      <c r="P3788" t="str">
        <f>"2170719298                    "</f>
        <v xml:space="preserve">2170719298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6.71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 s="4">
        <v>39.42</v>
      </c>
      <c r="BM3788" s="4">
        <v>5.91</v>
      </c>
      <c r="BN3788" s="4">
        <v>45.33</v>
      </c>
      <c r="BO3788" s="4">
        <v>45.33</v>
      </c>
      <c r="BQ3788" t="s">
        <v>109</v>
      </c>
      <c r="BR3788" t="s">
        <v>84</v>
      </c>
      <c r="BS3788" s="3">
        <v>43798</v>
      </c>
      <c r="BT3788" s="5">
        <v>0.39583333333333331</v>
      </c>
      <c r="BU3788" t="s">
        <v>3406</v>
      </c>
      <c r="BV3788" t="s">
        <v>86</v>
      </c>
      <c r="BY3788">
        <v>1200</v>
      </c>
      <c r="CC3788" t="s">
        <v>203</v>
      </c>
      <c r="CD3788">
        <v>1428</v>
      </c>
      <c r="CE3788" t="s">
        <v>147</v>
      </c>
      <c r="CI3788">
        <v>1</v>
      </c>
      <c r="CJ3788">
        <v>1</v>
      </c>
      <c r="CK3788">
        <v>22</v>
      </c>
      <c r="CL3788" t="s">
        <v>89</v>
      </c>
    </row>
    <row r="3789" spans="1:90">
      <c r="A3789" t="s">
        <v>72</v>
      </c>
      <c r="B3789" t="s">
        <v>73</v>
      </c>
      <c r="C3789" t="s">
        <v>74</v>
      </c>
      <c r="E3789" t="str">
        <f>"FES1162725622"</f>
        <v>FES1162725622</v>
      </c>
      <c r="F3789" s="3">
        <v>43797</v>
      </c>
      <c r="G3789">
        <v>202005</v>
      </c>
      <c r="H3789" t="s">
        <v>75</v>
      </c>
      <c r="I3789" t="s">
        <v>76</v>
      </c>
      <c r="J3789" t="s">
        <v>77</v>
      </c>
      <c r="K3789" t="s">
        <v>78</v>
      </c>
      <c r="L3789" t="s">
        <v>90</v>
      </c>
      <c r="M3789" t="s">
        <v>91</v>
      </c>
      <c r="N3789" t="s">
        <v>2887</v>
      </c>
      <c r="O3789" t="s">
        <v>82</v>
      </c>
      <c r="P3789" t="str">
        <f>"2170718591                    "</f>
        <v xml:space="preserve">2170718591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8.58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 s="4">
        <v>50.45</v>
      </c>
      <c r="BM3789" s="4">
        <v>7.57</v>
      </c>
      <c r="BN3789" s="4">
        <v>58.02</v>
      </c>
      <c r="BO3789" s="4">
        <v>58.02</v>
      </c>
      <c r="BQ3789" t="s">
        <v>142</v>
      </c>
      <c r="BR3789" t="s">
        <v>84</v>
      </c>
      <c r="BS3789" s="3">
        <v>43798</v>
      </c>
      <c r="BT3789" s="5">
        <v>0.38750000000000001</v>
      </c>
      <c r="BU3789" t="s">
        <v>2888</v>
      </c>
      <c r="BV3789" t="s">
        <v>86</v>
      </c>
      <c r="BY3789">
        <v>1200</v>
      </c>
      <c r="CA3789" t="s">
        <v>515</v>
      </c>
      <c r="CC3789" t="s">
        <v>91</v>
      </c>
      <c r="CD3789">
        <v>7493</v>
      </c>
      <c r="CE3789" t="s">
        <v>147</v>
      </c>
      <c r="CI3789">
        <v>1</v>
      </c>
      <c r="CJ3789">
        <v>1</v>
      </c>
      <c r="CK3789">
        <v>21</v>
      </c>
      <c r="CL3789" t="s">
        <v>89</v>
      </c>
    </row>
    <row r="3790" spans="1:90">
      <c r="A3790" t="s">
        <v>72</v>
      </c>
      <c r="B3790" t="s">
        <v>73</v>
      </c>
      <c r="C3790" t="s">
        <v>74</v>
      </c>
      <c r="E3790" t="str">
        <f>"FES1162725692"</f>
        <v>FES1162725692</v>
      </c>
      <c r="F3790" s="3">
        <v>43797</v>
      </c>
      <c r="G3790">
        <v>202005</v>
      </c>
      <c r="H3790" t="s">
        <v>75</v>
      </c>
      <c r="I3790" t="s">
        <v>76</v>
      </c>
      <c r="J3790" t="s">
        <v>77</v>
      </c>
      <c r="K3790" t="s">
        <v>78</v>
      </c>
      <c r="L3790" t="s">
        <v>90</v>
      </c>
      <c r="M3790" t="s">
        <v>91</v>
      </c>
      <c r="N3790" t="s">
        <v>505</v>
      </c>
      <c r="O3790" t="s">
        <v>82</v>
      </c>
      <c r="P3790" t="str">
        <f>"2170717342                    "</f>
        <v xml:space="preserve">2170717342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8.58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 s="4">
        <v>50.45</v>
      </c>
      <c r="BM3790" s="4">
        <v>7.57</v>
      </c>
      <c r="BN3790" s="4">
        <v>58.02</v>
      </c>
      <c r="BO3790" s="4">
        <v>58.02</v>
      </c>
      <c r="BQ3790" t="s">
        <v>121</v>
      </c>
      <c r="BR3790" t="s">
        <v>84</v>
      </c>
      <c r="BS3790" s="3">
        <v>43798</v>
      </c>
      <c r="BT3790" s="5">
        <v>0.38680555555555557</v>
      </c>
      <c r="BU3790" t="s">
        <v>3407</v>
      </c>
      <c r="BV3790" t="s">
        <v>86</v>
      </c>
      <c r="BY3790">
        <v>1200</v>
      </c>
      <c r="CA3790" t="s">
        <v>1121</v>
      </c>
      <c r="CC3790" t="s">
        <v>91</v>
      </c>
      <c r="CD3790">
        <v>7764</v>
      </c>
      <c r="CE3790" t="s">
        <v>147</v>
      </c>
      <c r="CI3790">
        <v>1</v>
      </c>
      <c r="CJ3790">
        <v>1</v>
      </c>
      <c r="CK3790">
        <v>21</v>
      </c>
      <c r="CL3790" t="s">
        <v>89</v>
      </c>
    </row>
    <row r="3791" spans="1:90">
      <c r="A3791" t="s">
        <v>72</v>
      </c>
      <c r="B3791" t="s">
        <v>73</v>
      </c>
      <c r="C3791" t="s">
        <v>74</v>
      </c>
      <c r="E3791" t="str">
        <f>"FES1162725634"</f>
        <v>FES1162725634</v>
      </c>
      <c r="F3791" s="3">
        <v>43797</v>
      </c>
      <c r="G3791">
        <v>202005</v>
      </c>
      <c r="H3791" t="s">
        <v>75</v>
      </c>
      <c r="I3791" t="s">
        <v>76</v>
      </c>
      <c r="J3791" t="s">
        <v>77</v>
      </c>
      <c r="K3791" t="s">
        <v>78</v>
      </c>
      <c r="L3791" t="s">
        <v>90</v>
      </c>
      <c r="M3791" t="s">
        <v>91</v>
      </c>
      <c r="N3791" t="s">
        <v>576</v>
      </c>
      <c r="O3791" t="s">
        <v>82</v>
      </c>
      <c r="P3791" t="str">
        <f>"2170719152                    "</f>
        <v xml:space="preserve">2170719152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8.58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 s="4">
        <v>50.45</v>
      </c>
      <c r="BM3791" s="4">
        <v>7.57</v>
      </c>
      <c r="BN3791" s="4">
        <v>58.02</v>
      </c>
      <c r="BO3791" s="4">
        <v>58.02</v>
      </c>
      <c r="BQ3791" t="s">
        <v>109</v>
      </c>
      <c r="BR3791" t="s">
        <v>84</v>
      </c>
      <c r="BS3791" s="3">
        <v>43798</v>
      </c>
      <c r="BT3791" s="5">
        <v>0.36874999999999997</v>
      </c>
      <c r="BU3791" t="s">
        <v>3353</v>
      </c>
      <c r="BV3791" t="s">
        <v>86</v>
      </c>
      <c r="BY3791">
        <v>1200</v>
      </c>
      <c r="CA3791" t="s">
        <v>1146</v>
      </c>
      <c r="CC3791" t="s">
        <v>91</v>
      </c>
      <c r="CD3791">
        <v>7441</v>
      </c>
      <c r="CE3791" t="s">
        <v>147</v>
      </c>
      <c r="CI3791">
        <v>1</v>
      </c>
      <c r="CJ3791">
        <v>1</v>
      </c>
      <c r="CK3791">
        <v>21</v>
      </c>
      <c r="CL3791" t="s">
        <v>89</v>
      </c>
    </row>
    <row r="3792" spans="1:90">
      <c r="A3792" t="s">
        <v>72</v>
      </c>
      <c r="B3792" t="s">
        <v>73</v>
      </c>
      <c r="C3792" t="s">
        <v>74</v>
      </c>
      <c r="E3792" t="str">
        <f>"FES1162725516"</f>
        <v>FES1162725516</v>
      </c>
      <c r="F3792" s="3">
        <v>43797</v>
      </c>
      <c r="G3792">
        <v>202005</v>
      </c>
      <c r="H3792" t="s">
        <v>75</v>
      </c>
      <c r="I3792" t="s">
        <v>76</v>
      </c>
      <c r="J3792" t="s">
        <v>77</v>
      </c>
      <c r="K3792" t="s">
        <v>78</v>
      </c>
      <c r="L3792" t="s">
        <v>90</v>
      </c>
      <c r="M3792" t="s">
        <v>91</v>
      </c>
      <c r="N3792" t="s">
        <v>1751</v>
      </c>
      <c r="O3792" t="s">
        <v>82</v>
      </c>
      <c r="P3792" t="str">
        <f>"2170718659                    "</f>
        <v xml:space="preserve">2170718659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8.58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 s="4">
        <v>50.45</v>
      </c>
      <c r="BM3792" s="4">
        <v>7.57</v>
      </c>
      <c r="BN3792" s="4">
        <v>58.02</v>
      </c>
      <c r="BO3792" s="4">
        <v>58.02</v>
      </c>
      <c r="BQ3792" t="s">
        <v>142</v>
      </c>
      <c r="BR3792" t="s">
        <v>84</v>
      </c>
      <c r="BS3792" s="3">
        <v>43798</v>
      </c>
      <c r="BT3792" s="5">
        <v>0.36805555555555558</v>
      </c>
      <c r="BU3792" t="s">
        <v>2629</v>
      </c>
      <c r="BV3792" t="s">
        <v>86</v>
      </c>
      <c r="BY3792">
        <v>1200</v>
      </c>
      <c r="CA3792" t="s">
        <v>1281</v>
      </c>
      <c r="CC3792" t="s">
        <v>91</v>
      </c>
      <c r="CD3792">
        <v>7800</v>
      </c>
      <c r="CE3792" t="s">
        <v>147</v>
      </c>
      <c r="CI3792">
        <v>1</v>
      </c>
      <c r="CJ3792">
        <v>1</v>
      </c>
      <c r="CK3792">
        <v>21</v>
      </c>
      <c r="CL3792" t="s">
        <v>89</v>
      </c>
    </row>
    <row r="3793" spans="1:90">
      <c r="A3793" t="s">
        <v>72</v>
      </c>
      <c r="B3793" t="s">
        <v>73</v>
      </c>
      <c r="C3793" t="s">
        <v>74</v>
      </c>
      <c r="E3793" t="str">
        <f>"FES1162725664"</f>
        <v>FES1162725664</v>
      </c>
      <c r="F3793" s="3">
        <v>43797</v>
      </c>
      <c r="G3793">
        <v>202005</v>
      </c>
      <c r="H3793" t="s">
        <v>75</v>
      </c>
      <c r="I3793" t="s">
        <v>76</v>
      </c>
      <c r="J3793" t="s">
        <v>77</v>
      </c>
      <c r="K3793" t="s">
        <v>78</v>
      </c>
      <c r="L3793" t="s">
        <v>90</v>
      </c>
      <c r="M3793" t="s">
        <v>91</v>
      </c>
      <c r="N3793" t="s">
        <v>533</v>
      </c>
      <c r="O3793" t="s">
        <v>82</v>
      </c>
      <c r="P3793" t="str">
        <f>"2170719307                    "</f>
        <v xml:space="preserve">2170719307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8.58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 s="4">
        <v>50.45</v>
      </c>
      <c r="BM3793" s="4">
        <v>7.57</v>
      </c>
      <c r="BN3793" s="4">
        <v>58.02</v>
      </c>
      <c r="BO3793" s="4">
        <v>58.02</v>
      </c>
      <c r="BQ3793" t="s">
        <v>161</v>
      </c>
      <c r="BR3793" t="s">
        <v>84</v>
      </c>
      <c r="BS3793" s="3">
        <v>43798</v>
      </c>
      <c r="BT3793" s="5">
        <v>0.37222222222222223</v>
      </c>
      <c r="BU3793" t="s">
        <v>2747</v>
      </c>
      <c r="BV3793" t="s">
        <v>86</v>
      </c>
      <c r="BY3793">
        <v>1200</v>
      </c>
      <c r="CA3793" t="s">
        <v>323</v>
      </c>
      <c r="CC3793" t="s">
        <v>91</v>
      </c>
      <c r="CD3793">
        <v>7460</v>
      </c>
      <c r="CE3793" t="s">
        <v>147</v>
      </c>
      <c r="CI3793">
        <v>1</v>
      </c>
      <c r="CJ3793">
        <v>1</v>
      </c>
      <c r="CK3793">
        <v>21</v>
      </c>
      <c r="CL3793" t="s">
        <v>89</v>
      </c>
    </row>
    <row r="3794" spans="1:90">
      <c r="A3794" t="s">
        <v>72</v>
      </c>
      <c r="B3794" t="s">
        <v>73</v>
      </c>
      <c r="C3794" t="s">
        <v>74</v>
      </c>
      <c r="E3794" t="str">
        <f>"FES1162725550"</f>
        <v>FES1162725550</v>
      </c>
      <c r="F3794" s="3">
        <v>43797</v>
      </c>
      <c r="G3794">
        <v>202005</v>
      </c>
      <c r="H3794" t="s">
        <v>75</v>
      </c>
      <c r="I3794" t="s">
        <v>76</v>
      </c>
      <c r="J3794" t="s">
        <v>77</v>
      </c>
      <c r="K3794" t="s">
        <v>78</v>
      </c>
      <c r="L3794" t="s">
        <v>405</v>
      </c>
      <c r="M3794" t="s">
        <v>406</v>
      </c>
      <c r="N3794" t="s">
        <v>871</v>
      </c>
      <c r="O3794" t="s">
        <v>82</v>
      </c>
      <c r="P3794" t="str">
        <f>"2170717438                    "</f>
        <v xml:space="preserve">2170717438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12.07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 s="4">
        <v>70.95</v>
      </c>
      <c r="BM3794" s="4">
        <v>10.64</v>
      </c>
      <c r="BN3794" s="4">
        <v>81.59</v>
      </c>
      <c r="BO3794" s="4">
        <v>81.59</v>
      </c>
      <c r="BQ3794" t="s">
        <v>121</v>
      </c>
      <c r="BR3794" t="s">
        <v>84</v>
      </c>
      <c r="BS3794" s="3">
        <v>43798</v>
      </c>
      <c r="BT3794" s="5">
        <v>0.39027777777777778</v>
      </c>
      <c r="BU3794" t="s">
        <v>3408</v>
      </c>
      <c r="BV3794" t="s">
        <v>86</v>
      </c>
      <c r="BY3794">
        <v>1200</v>
      </c>
      <c r="CA3794" t="s">
        <v>3409</v>
      </c>
      <c r="CC3794" t="s">
        <v>406</v>
      </c>
      <c r="CD3794">
        <v>250</v>
      </c>
      <c r="CE3794" t="s">
        <v>147</v>
      </c>
      <c r="CI3794">
        <v>1</v>
      </c>
      <c r="CJ3794">
        <v>1</v>
      </c>
      <c r="CK3794">
        <v>24</v>
      </c>
      <c r="CL3794" t="s">
        <v>89</v>
      </c>
    </row>
    <row r="3795" spans="1:90">
      <c r="A3795" t="s">
        <v>72</v>
      </c>
      <c r="B3795" t="s">
        <v>73</v>
      </c>
      <c r="C3795" t="s">
        <v>74</v>
      </c>
      <c r="E3795" t="str">
        <f>"FES1162725602"</f>
        <v>FES1162725602</v>
      </c>
      <c r="F3795" s="3">
        <v>43797</v>
      </c>
      <c r="G3795">
        <v>202005</v>
      </c>
      <c r="H3795" t="s">
        <v>75</v>
      </c>
      <c r="I3795" t="s">
        <v>76</v>
      </c>
      <c r="J3795" t="s">
        <v>77</v>
      </c>
      <c r="K3795" t="s">
        <v>78</v>
      </c>
      <c r="L3795" t="s">
        <v>95</v>
      </c>
      <c r="M3795" t="s">
        <v>96</v>
      </c>
      <c r="N3795" t="s">
        <v>330</v>
      </c>
      <c r="O3795" t="s">
        <v>82</v>
      </c>
      <c r="P3795" t="str">
        <f>"2170717858                    "</f>
        <v xml:space="preserve">2170717858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6.71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 s="4">
        <v>39.42</v>
      </c>
      <c r="BM3795" s="4">
        <v>5.91</v>
      </c>
      <c r="BN3795" s="4">
        <v>45.33</v>
      </c>
      <c r="BO3795" s="4">
        <v>45.33</v>
      </c>
      <c r="BQ3795" t="s">
        <v>109</v>
      </c>
      <c r="BR3795" t="s">
        <v>84</v>
      </c>
      <c r="BS3795" s="3">
        <v>43798</v>
      </c>
      <c r="BT3795" s="5">
        <v>0.34930555555555554</v>
      </c>
      <c r="BU3795" t="s">
        <v>3382</v>
      </c>
      <c r="BV3795" t="s">
        <v>86</v>
      </c>
      <c r="BY3795">
        <v>1200</v>
      </c>
      <c r="CC3795" t="s">
        <v>96</v>
      </c>
      <c r="CD3795">
        <v>1451</v>
      </c>
      <c r="CE3795" t="s">
        <v>147</v>
      </c>
      <c r="CI3795">
        <v>1</v>
      </c>
      <c r="CJ3795">
        <v>1</v>
      </c>
      <c r="CK3795">
        <v>22</v>
      </c>
      <c r="CL3795" t="s">
        <v>89</v>
      </c>
    </row>
    <row r="3796" spans="1:90">
      <c r="A3796" t="s">
        <v>72</v>
      </c>
      <c r="B3796" t="s">
        <v>73</v>
      </c>
      <c r="C3796" t="s">
        <v>74</v>
      </c>
      <c r="E3796" t="str">
        <f>"FES1162725585"</f>
        <v>FES1162725585</v>
      </c>
      <c r="F3796" s="3">
        <v>43797</v>
      </c>
      <c r="G3796">
        <v>202005</v>
      </c>
      <c r="H3796" t="s">
        <v>75</v>
      </c>
      <c r="I3796" t="s">
        <v>76</v>
      </c>
      <c r="J3796" t="s">
        <v>77</v>
      </c>
      <c r="K3796" t="s">
        <v>78</v>
      </c>
      <c r="L3796" t="s">
        <v>112</v>
      </c>
      <c r="M3796" t="s">
        <v>113</v>
      </c>
      <c r="N3796" t="s">
        <v>160</v>
      </c>
      <c r="O3796" t="s">
        <v>82</v>
      </c>
      <c r="P3796" t="str">
        <f>"2170717731                    "</f>
        <v xml:space="preserve">2170717731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8.58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 s="4">
        <v>50.45</v>
      </c>
      <c r="BM3796" s="4">
        <v>7.57</v>
      </c>
      <c r="BN3796" s="4">
        <v>58.02</v>
      </c>
      <c r="BO3796" s="4">
        <v>58.02</v>
      </c>
      <c r="BQ3796" t="s">
        <v>161</v>
      </c>
      <c r="BR3796" t="s">
        <v>84</v>
      </c>
      <c r="BS3796" s="3">
        <v>43798</v>
      </c>
      <c r="BT3796" s="5">
        <v>0.3659722222222222</v>
      </c>
      <c r="BU3796" t="s">
        <v>162</v>
      </c>
      <c r="BV3796" t="s">
        <v>86</v>
      </c>
      <c r="BY3796">
        <v>1200</v>
      </c>
      <c r="CA3796" t="s">
        <v>163</v>
      </c>
      <c r="CC3796" t="s">
        <v>113</v>
      </c>
      <c r="CD3796">
        <v>4000</v>
      </c>
      <c r="CE3796" t="s">
        <v>147</v>
      </c>
      <c r="CI3796">
        <v>1</v>
      </c>
      <c r="CJ3796">
        <v>1</v>
      </c>
      <c r="CK3796">
        <v>21</v>
      </c>
      <c r="CL3796" t="s">
        <v>89</v>
      </c>
    </row>
    <row r="3797" spans="1:90">
      <c r="A3797" t="s">
        <v>72</v>
      </c>
      <c r="B3797" t="s">
        <v>73</v>
      </c>
      <c r="C3797" t="s">
        <v>74</v>
      </c>
      <c r="E3797" t="str">
        <f>"FES1162725689"</f>
        <v>FES1162725689</v>
      </c>
      <c r="F3797" s="3">
        <v>43797</v>
      </c>
      <c r="G3797">
        <v>202005</v>
      </c>
      <c r="H3797" t="s">
        <v>75</v>
      </c>
      <c r="I3797" t="s">
        <v>76</v>
      </c>
      <c r="J3797" t="s">
        <v>77</v>
      </c>
      <c r="K3797" t="s">
        <v>78</v>
      </c>
      <c r="L3797" t="s">
        <v>214</v>
      </c>
      <c r="M3797" t="s">
        <v>214</v>
      </c>
      <c r="N3797" t="s">
        <v>314</v>
      </c>
      <c r="O3797" t="s">
        <v>82</v>
      </c>
      <c r="P3797" t="str">
        <f>"2170717213                    "</f>
        <v xml:space="preserve">2170717213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16.63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 s="4">
        <v>97.75</v>
      </c>
      <c r="BM3797" s="4">
        <v>14.66</v>
      </c>
      <c r="BN3797" s="4">
        <v>112.41</v>
      </c>
      <c r="BO3797" s="4">
        <v>112.41</v>
      </c>
      <c r="BQ3797" t="s">
        <v>109</v>
      </c>
      <c r="BR3797" t="s">
        <v>84</v>
      </c>
      <c r="BS3797" s="3">
        <v>43798</v>
      </c>
      <c r="BT3797" s="5">
        <v>0.49305555555555558</v>
      </c>
      <c r="BU3797" t="s">
        <v>3112</v>
      </c>
      <c r="BV3797" t="s">
        <v>86</v>
      </c>
      <c r="BY3797">
        <v>1200</v>
      </c>
      <c r="CA3797" t="s">
        <v>1643</v>
      </c>
      <c r="CC3797" t="s">
        <v>214</v>
      </c>
      <c r="CD3797">
        <v>7646</v>
      </c>
      <c r="CE3797" t="s">
        <v>147</v>
      </c>
      <c r="CI3797">
        <v>1</v>
      </c>
      <c r="CJ3797">
        <v>1</v>
      </c>
      <c r="CK3797">
        <v>23</v>
      </c>
      <c r="CL3797" t="s">
        <v>89</v>
      </c>
    </row>
    <row r="3798" spans="1:90">
      <c r="A3798" t="s">
        <v>72</v>
      </c>
      <c r="B3798" t="s">
        <v>73</v>
      </c>
      <c r="C3798" t="s">
        <v>74</v>
      </c>
      <c r="E3798" t="str">
        <f>"FES1162725745"</f>
        <v>FES1162725745</v>
      </c>
      <c r="F3798" s="3">
        <v>43797</v>
      </c>
      <c r="G3798">
        <v>202005</v>
      </c>
      <c r="H3798" t="s">
        <v>75</v>
      </c>
      <c r="I3798" t="s">
        <v>76</v>
      </c>
      <c r="J3798" t="s">
        <v>77</v>
      </c>
      <c r="K3798" t="s">
        <v>78</v>
      </c>
      <c r="L3798" t="s">
        <v>691</v>
      </c>
      <c r="M3798" t="s">
        <v>692</v>
      </c>
      <c r="N3798" t="s">
        <v>2882</v>
      </c>
      <c r="O3798" t="s">
        <v>82</v>
      </c>
      <c r="P3798" t="str">
        <f>"2170717396                    "</f>
        <v xml:space="preserve">2170717396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6.71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 s="4">
        <v>39.42</v>
      </c>
      <c r="BM3798" s="4">
        <v>5.91</v>
      </c>
      <c r="BN3798" s="4">
        <v>45.33</v>
      </c>
      <c r="BO3798" s="4">
        <v>45.33</v>
      </c>
      <c r="BQ3798" t="s">
        <v>109</v>
      </c>
      <c r="BR3798" t="s">
        <v>84</v>
      </c>
      <c r="BS3798" s="3">
        <v>43798</v>
      </c>
      <c r="BT3798" s="5">
        <v>0.40625</v>
      </c>
      <c r="BU3798" t="s">
        <v>3410</v>
      </c>
      <c r="BV3798" t="s">
        <v>86</v>
      </c>
      <c r="BY3798">
        <v>1200</v>
      </c>
      <c r="CA3798" t="s">
        <v>2691</v>
      </c>
      <c r="CC3798" t="s">
        <v>692</v>
      </c>
      <c r="CD3798">
        <v>1559</v>
      </c>
      <c r="CE3798" t="s">
        <v>147</v>
      </c>
      <c r="CI3798">
        <v>1</v>
      </c>
      <c r="CJ3798">
        <v>1</v>
      </c>
      <c r="CK3798">
        <v>22</v>
      </c>
      <c r="CL3798" t="s">
        <v>89</v>
      </c>
    </row>
    <row r="3799" spans="1:90">
      <c r="A3799" t="s">
        <v>72</v>
      </c>
      <c r="B3799" t="s">
        <v>73</v>
      </c>
      <c r="C3799" t="s">
        <v>74</v>
      </c>
      <c r="E3799" t="str">
        <f>"FES1162725621"</f>
        <v>FES1162725621</v>
      </c>
      <c r="F3799" s="3">
        <v>43797</v>
      </c>
      <c r="G3799">
        <v>202005</v>
      </c>
      <c r="H3799" t="s">
        <v>75</v>
      </c>
      <c r="I3799" t="s">
        <v>76</v>
      </c>
      <c r="J3799" t="s">
        <v>77</v>
      </c>
      <c r="K3799" t="s">
        <v>78</v>
      </c>
      <c r="L3799" t="s">
        <v>90</v>
      </c>
      <c r="M3799" t="s">
        <v>91</v>
      </c>
      <c r="N3799" t="s">
        <v>2887</v>
      </c>
      <c r="O3799" t="s">
        <v>82</v>
      </c>
      <c r="P3799" t="str">
        <f>"2170718589                    "</f>
        <v xml:space="preserve">2170718589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8.58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 s="4">
        <v>50.45</v>
      </c>
      <c r="BM3799" s="4">
        <v>7.57</v>
      </c>
      <c r="BN3799" s="4">
        <v>58.02</v>
      </c>
      <c r="BO3799" s="4">
        <v>58.02</v>
      </c>
      <c r="BQ3799" t="s">
        <v>142</v>
      </c>
      <c r="BR3799" t="s">
        <v>84</v>
      </c>
      <c r="BS3799" s="3">
        <v>43798</v>
      </c>
      <c r="BT3799" s="5">
        <v>0.38750000000000001</v>
      </c>
      <c r="BU3799" t="s">
        <v>2888</v>
      </c>
      <c r="BV3799" t="s">
        <v>86</v>
      </c>
      <c r="BY3799">
        <v>1200</v>
      </c>
      <c r="CA3799" t="s">
        <v>515</v>
      </c>
      <c r="CC3799" t="s">
        <v>91</v>
      </c>
      <c r="CD3799">
        <v>7493</v>
      </c>
      <c r="CE3799" t="s">
        <v>147</v>
      </c>
      <c r="CI3799">
        <v>1</v>
      </c>
      <c r="CJ3799">
        <v>1</v>
      </c>
      <c r="CK3799">
        <v>21</v>
      </c>
      <c r="CL3799" t="s">
        <v>89</v>
      </c>
    </row>
    <row r="3800" spans="1:90">
      <c r="A3800" t="s">
        <v>72</v>
      </c>
      <c r="B3800" t="s">
        <v>73</v>
      </c>
      <c r="C3800" t="s">
        <v>74</v>
      </c>
      <c r="E3800" t="str">
        <f>"FES1162725601"</f>
        <v>FES1162725601</v>
      </c>
      <c r="F3800" s="3">
        <v>43797</v>
      </c>
      <c r="G3800">
        <v>202005</v>
      </c>
      <c r="H3800" t="s">
        <v>75</v>
      </c>
      <c r="I3800" t="s">
        <v>76</v>
      </c>
      <c r="J3800" t="s">
        <v>77</v>
      </c>
      <c r="K3800" t="s">
        <v>78</v>
      </c>
      <c r="L3800" t="s">
        <v>118</v>
      </c>
      <c r="M3800" t="s">
        <v>119</v>
      </c>
      <c r="N3800" t="s">
        <v>1123</v>
      </c>
      <c r="O3800" t="s">
        <v>82</v>
      </c>
      <c r="P3800" t="str">
        <f>"2170717854                    "</f>
        <v xml:space="preserve">2170717854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8.58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 s="4">
        <v>50.45</v>
      </c>
      <c r="BM3800" s="4">
        <v>7.57</v>
      </c>
      <c r="BN3800" s="4">
        <v>58.02</v>
      </c>
      <c r="BO3800" s="4">
        <v>58.02</v>
      </c>
      <c r="BQ3800" t="s">
        <v>1124</v>
      </c>
      <c r="BR3800" t="s">
        <v>84</v>
      </c>
      <c r="BS3800" s="3">
        <v>43798</v>
      </c>
      <c r="BT3800" s="5">
        <v>0.41805555555555557</v>
      </c>
      <c r="BU3800" t="s">
        <v>3411</v>
      </c>
      <c r="BV3800" t="s">
        <v>86</v>
      </c>
      <c r="BY3800">
        <v>1200</v>
      </c>
      <c r="CA3800" t="s">
        <v>171</v>
      </c>
      <c r="CC3800" t="s">
        <v>119</v>
      </c>
      <c r="CD3800">
        <v>3201</v>
      </c>
      <c r="CE3800" t="s">
        <v>147</v>
      </c>
      <c r="CI3800">
        <v>1</v>
      </c>
      <c r="CJ3800">
        <v>1</v>
      </c>
      <c r="CK3800">
        <v>21</v>
      </c>
      <c r="CL3800" t="s">
        <v>89</v>
      </c>
    </row>
    <row r="3801" spans="1:90">
      <c r="A3801" t="s">
        <v>72</v>
      </c>
      <c r="B3801" t="s">
        <v>73</v>
      </c>
      <c r="C3801" t="s">
        <v>74</v>
      </c>
      <c r="E3801" t="str">
        <f>"FES1162725525"</f>
        <v>FES1162725525</v>
      </c>
      <c r="F3801" s="3">
        <v>43797</v>
      </c>
      <c r="G3801">
        <v>202005</v>
      </c>
      <c r="H3801" t="s">
        <v>75</v>
      </c>
      <c r="I3801" t="s">
        <v>76</v>
      </c>
      <c r="J3801" t="s">
        <v>77</v>
      </c>
      <c r="K3801" t="s">
        <v>78</v>
      </c>
      <c r="L3801" t="s">
        <v>90</v>
      </c>
      <c r="M3801" t="s">
        <v>91</v>
      </c>
      <c r="N3801" t="s">
        <v>505</v>
      </c>
      <c r="O3801" t="s">
        <v>82</v>
      </c>
      <c r="P3801" t="str">
        <f>"2170713394                    "</f>
        <v xml:space="preserve">2170713394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8.58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 s="4">
        <v>50.45</v>
      </c>
      <c r="BM3801" s="4">
        <v>7.57</v>
      </c>
      <c r="BN3801" s="4">
        <v>58.02</v>
      </c>
      <c r="BO3801" s="4">
        <v>58.02</v>
      </c>
      <c r="BQ3801" t="s">
        <v>121</v>
      </c>
      <c r="BR3801" t="s">
        <v>84</v>
      </c>
      <c r="BS3801" s="3">
        <v>43798</v>
      </c>
      <c r="BT3801" s="5">
        <v>0.38611111111111113</v>
      </c>
      <c r="BU3801" t="s">
        <v>3407</v>
      </c>
      <c r="BV3801" t="s">
        <v>86</v>
      </c>
      <c r="BY3801">
        <v>1200</v>
      </c>
      <c r="CA3801" t="s">
        <v>1121</v>
      </c>
      <c r="CC3801" t="s">
        <v>91</v>
      </c>
      <c r="CD3801">
        <v>7764</v>
      </c>
      <c r="CE3801" t="s">
        <v>147</v>
      </c>
      <c r="CI3801">
        <v>1</v>
      </c>
      <c r="CJ3801">
        <v>1</v>
      </c>
      <c r="CK3801">
        <v>21</v>
      </c>
      <c r="CL3801" t="s">
        <v>89</v>
      </c>
    </row>
    <row r="3802" spans="1:90">
      <c r="A3802" t="s">
        <v>72</v>
      </c>
      <c r="B3802" t="s">
        <v>73</v>
      </c>
      <c r="C3802" t="s">
        <v>74</v>
      </c>
      <c r="E3802" t="str">
        <f>"FES1162725751"</f>
        <v>FES1162725751</v>
      </c>
      <c r="F3802" s="3">
        <v>43797</v>
      </c>
      <c r="G3802">
        <v>202005</v>
      </c>
      <c r="H3802" t="s">
        <v>75</v>
      </c>
      <c r="I3802" t="s">
        <v>76</v>
      </c>
      <c r="J3802" t="s">
        <v>77</v>
      </c>
      <c r="K3802" t="s">
        <v>78</v>
      </c>
      <c r="L3802" t="s">
        <v>112</v>
      </c>
      <c r="M3802" t="s">
        <v>113</v>
      </c>
      <c r="N3802" t="s">
        <v>423</v>
      </c>
      <c r="O3802" t="s">
        <v>82</v>
      </c>
      <c r="P3802" t="str">
        <f>"2170717477                    "</f>
        <v xml:space="preserve">2170717477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8.58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 s="4">
        <v>50.45</v>
      </c>
      <c r="BM3802" s="4">
        <v>7.57</v>
      </c>
      <c r="BN3802" s="4">
        <v>58.02</v>
      </c>
      <c r="BO3802" s="4">
        <v>58.02</v>
      </c>
      <c r="BQ3802" t="s">
        <v>424</v>
      </c>
      <c r="BR3802" t="s">
        <v>84</v>
      </c>
      <c r="BS3802" s="3">
        <v>43798</v>
      </c>
      <c r="BT3802" s="5">
        <v>0.3444444444444445</v>
      </c>
      <c r="BU3802" t="s">
        <v>774</v>
      </c>
      <c r="BV3802" t="s">
        <v>86</v>
      </c>
      <c r="BY3802">
        <v>1200</v>
      </c>
      <c r="CA3802" t="s">
        <v>426</v>
      </c>
      <c r="CC3802" t="s">
        <v>113</v>
      </c>
      <c r="CD3802">
        <v>4001</v>
      </c>
      <c r="CE3802" t="s">
        <v>147</v>
      </c>
      <c r="CI3802">
        <v>1</v>
      </c>
      <c r="CJ3802">
        <v>1</v>
      </c>
      <c r="CK3802">
        <v>21</v>
      </c>
      <c r="CL3802" t="s">
        <v>89</v>
      </c>
    </row>
    <row r="3803" spans="1:90">
      <c r="A3803" t="s">
        <v>72</v>
      </c>
      <c r="B3803" t="s">
        <v>73</v>
      </c>
      <c r="C3803" t="s">
        <v>74</v>
      </c>
      <c r="E3803" t="str">
        <f>"FES1162725561"</f>
        <v>FES1162725561</v>
      </c>
      <c r="F3803" s="3">
        <v>43797</v>
      </c>
      <c r="G3803">
        <v>202005</v>
      </c>
      <c r="H3803" t="s">
        <v>75</v>
      </c>
      <c r="I3803" t="s">
        <v>76</v>
      </c>
      <c r="J3803" t="s">
        <v>77</v>
      </c>
      <c r="K3803" t="s">
        <v>78</v>
      </c>
      <c r="L3803" t="s">
        <v>112</v>
      </c>
      <c r="M3803" t="s">
        <v>113</v>
      </c>
      <c r="N3803" t="s">
        <v>160</v>
      </c>
      <c r="O3803" t="s">
        <v>82</v>
      </c>
      <c r="P3803" t="str">
        <f>"2170717543                    "</f>
        <v xml:space="preserve">2170717543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8.58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 s="4">
        <v>50.45</v>
      </c>
      <c r="BM3803" s="4">
        <v>7.57</v>
      </c>
      <c r="BN3803" s="4">
        <v>58.02</v>
      </c>
      <c r="BO3803" s="4">
        <v>58.02</v>
      </c>
      <c r="BQ3803" t="s">
        <v>161</v>
      </c>
      <c r="BR3803" t="s">
        <v>84</v>
      </c>
      <c r="BS3803" s="3">
        <v>43798</v>
      </c>
      <c r="BT3803" s="5">
        <v>0.3659722222222222</v>
      </c>
      <c r="BU3803" t="s">
        <v>162</v>
      </c>
      <c r="BV3803" t="s">
        <v>86</v>
      </c>
      <c r="BY3803">
        <v>1200</v>
      </c>
      <c r="CA3803" t="s">
        <v>163</v>
      </c>
      <c r="CC3803" t="s">
        <v>113</v>
      </c>
      <c r="CD3803">
        <v>4000</v>
      </c>
      <c r="CE3803" t="s">
        <v>147</v>
      </c>
      <c r="CI3803">
        <v>1</v>
      </c>
      <c r="CJ3803">
        <v>1</v>
      </c>
      <c r="CK3803">
        <v>21</v>
      </c>
      <c r="CL3803" t="s">
        <v>89</v>
      </c>
    </row>
    <row r="3804" spans="1:90">
      <c r="A3804" t="s">
        <v>72</v>
      </c>
      <c r="B3804" t="s">
        <v>73</v>
      </c>
      <c r="C3804" t="s">
        <v>74</v>
      </c>
      <c r="E3804" t="str">
        <f>"FES1162725551"</f>
        <v>FES1162725551</v>
      </c>
      <c r="F3804" s="3">
        <v>43797</v>
      </c>
      <c r="G3804">
        <v>202005</v>
      </c>
      <c r="H3804" t="s">
        <v>75</v>
      </c>
      <c r="I3804" t="s">
        <v>76</v>
      </c>
      <c r="J3804" t="s">
        <v>77</v>
      </c>
      <c r="K3804" t="s">
        <v>78</v>
      </c>
      <c r="L3804" t="s">
        <v>90</v>
      </c>
      <c r="M3804" t="s">
        <v>91</v>
      </c>
      <c r="N3804" t="s">
        <v>527</v>
      </c>
      <c r="O3804" t="s">
        <v>82</v>
      </c>
      <c r="P3804" t="str">
        <f>"2170717444                    "</f>
        <v xml:space="preserve">2170717444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8.58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 s="4">
        <v>50.45</v>
      </c>
      <c r="BM3804" s="4">
        <v>7.57</v>
      </c>
      <c r="BN3804" s="4">
        <v>58.02</v>
      </c>
      <c r="BO3804" s="4">
        <v>58.02</v>
      </c>
      <c r="BQ3804" t="s">
        <v>109</v>
      </c>
      <c r="BR3804" t="s">
        <v>84</v>
      </c>
      <c r="BS3804" s="3">
        <v>43798</v>
      </c>
      <c r="BT3804" s="5">
        <v>0.33263888888888887</v>
      </c>
      <c r="BU3804" t="s">
        <v>3360</v>
      </c>
      <c r="BV3804" t="s">
        <v>86</v>
      </c>
      <c r="BY3804">
        <v>1200</v>
      </c>
      <c r="CA3804" t="s">
        <v>1942</v>
      </c>
      <c r="CC3804" t="s">
        <v>91</v>
      </c>
      <c r="CD3804">
        <v>7405</v>
      </c>
      <c r="CE3804" t="s">
        <v>147</v>
      </c>
      <c r="CI3804">
        <v>1</v>
      </c>
      <c r="CJ3804">
        <v>1</v>
      </c>
      <c r="CK3804">
        <v>21</v>
      </c>
      <c r="CL3804" t="s">
        <v>89</v>
      </c>
    </row>
    <row r="3805" spans="1:90">
      <c r="A3805" t="s">
        <v>72</v>
      </c>
      <c r="B3805" t="s">
        <v>73</v>
      </c>
      <c r="C3805" t="s">
        <v>74</v>
      </c>
      <c r="E3805" t="str">
        <f>"FES1162725563"</f>
        <v>FES1162725563</v>
      </c>
      <c r="F3805" s="3">
        <v>43797</v>
      </c>
      <c r="G3805">
        <v>202005</v>
      </c>
      <c r="H3805" t="s">
        <v>75</v>
      </c>
      <c r="I3805" t="s">
        <v>76</v>
      </c>
      <c r="J3805" t="s">
        <v>77</v>
      </c>
      <c r="K3805" t="s">
        <v>78</v>
      </c>
      <c r="L3805" t="s">
        <v>101</v>
      </c>
      <c r="M3805" t="s">
        <v>102</v>
      </c>
      <c r="N3805" t="s">
        <v>2313</v>
      </c>
      <c r="O3805" t="s">
        <v>82</v>
      </c>
      <c r="P3805" t="str">
        <f>"2170717559                    "</f>
        <v xml:space="preserve">2170717559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8.58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 s="4">
        <v>50.45</v>
      </c>
      <c r="BM3805" s="4">
        <v>7.57</v>
      </c>
      <c r="BN3805" s="4">
        <v>58.02</v>
      </c>
      <c r="BO3805" s="4">
        <v>58.02</v>
      </c>
      <c r="BQ3805" t="s">
        <v>2314</v>
      </c>
      <c r="BR3805" t="s">
        <v>84</v>
      </c>
      <c r="BS3805" s="3">
        <v>43798</v>
      </c>
      <c r="BT3805" s="5">
        <v>0.53055555555555556</v>
      </c>
      <c r="BU3805" t="s">
        <v>2315</v>
      </c>
      <c r="BV3805" t="s">
        <v>89</v>
      </c>
      <c r="BW3805" t="s">
        <v>319</v>
      </c>
      <c r="BX3805" t="s">
        <v>3227</v>
      </c>
      <c r="BY3805">
        <v>1200</v>
      </c>
      <c r="CA3805" t="s">
        <v>359</v>
      </c>
      <c r="CC3805" t="s">
        <v>102</v>
      </c>
      <c r="CD3805">
        <v>184</v>
      </c>
      <c r="CE3805" t="s">
        <v>147</v>
      </c>
      <c r="CI3805">
        <v>1</v>
      </c>
      <c r="CJ3805">
        <v>1</v>
      </c>
      <c r="CK3805">
        <v>21</v>
      </c>
      <c r="CL3805" t="s">
        <v>89</v>
      </c>
    </row>
    <row r="3806" spans="1:90">
      <c r="A3806" t="s">
        <v>72</v>
      </c>
      <c r="B3806" t="s">
        <v>73</v>
      </c>
      <c r="C3806" t="s">
        <v>74</v>
      </c>
      <c r="E3806" t="str">
        <f>"FES1162725596"</f>
        <v>FES1162725596</v>
      </c>
      <c r="F3806" s="3">
        <v>43797</v>
      </c>
      <c r="G3806">
        <v>202005</v>
      </c>
      <c r="H3806" t="s">
        <v>75</v>
      </c>
      <c r="I3806" t="s">
        <v>76</v>
      </c>
      <c r="J3806" t="s">
        <v>77</v>
      </c>
      <c r="K3806" t="s">
        <v>78</v>
      </c>
      <c r="L3806" t="s">
        <v>925</v>
      </c>
      <c r="M3806" t="s">
        <v>926</v>
      </c>
      <c r="N3806" t="s">
        <v>927</v>
      </c>
      <c r="O3806" t="s">
        <v>82</v>
      </c>
      <c r="P3806" t="str">
        <f>"2170717816                    "</f>
        <v xml:space="preserve">2170717816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12.07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 s="4">
        <v>70.95</v>
      </c>
      <c r="BM3806" s="4">
        <v>10.64</v>
      </c>
      <c r="BN3806" s="4">
        <v>81.59</v>
      </c>
      <c r="BO3806" s="4">
        <v>81.59</v>
      </c>
      <c r="BQ3806" t="s">
        <v>109</v>
      </c>
      <c r="BR3806" t="s">
        <v>84</v>
      </c>
      <c r="BS3806" t="s">
        <v>201</v>
      </c>
      <c r="BY3806">
        <v>1200</v>
      </c>
      <c r="CC3806" t="s">
        <v>926</v>
      </c>
      <c r="CD3806">
        <v>1028</v>
      </c>
      <c r="CE3806" t="s">
        <v>147</v>
      </c>
      <c r="CI3806">
        <v>1</v>
      </c>
      <c r="CJ3806" t="s">
        <v>201</v>
      </c>
      <c r="CK3806">
        <v>24</v>
      </c>
      <c r="CL3806" t="s">
        <v>89</v>
      </c>
    </row>
    <row r="3807" spans="1:90">
      <c r="A3807" t="s">
        <v>72</v>
      </c>
      <c r="B3807" t="s">
        <v>73</v>
      </c>
      <c r="C3807" t="s">
        <v>74</v>
      </c>
      <c r="E3807" t="str">
        <f>"FES1162725618"</f>
        <v>FES1162725618</v>
      </c>
      <c r="F3807" s="3">
        <v>43797</v>
      </c>
      <c r="G3807">
        <v>202005</v>
      </c>
      <c r="H3807" t="s">
        <v>75</v>
      </c>
      <c r="I3807" t="s">
        <v>76</v>
      </c>
      <c r="J3807" t="s">
        <v>77</v>
      </c>
      <c r="K3807" t="s">
        <v>78</v>
      </c>
      <c r="L3807" t="s">
        <v>522</v>
      </c>
      <c r="M3807" t="s">
        <v>523</v>
      </c>
      <c r="N3807" t="s">
        <v>1080</v>
      </c>
      <c r="O3807" t="s">
        <v>82</v>
      </c>
      <c r="P3807" t="str">
        <f>"2170718397                    "</f>
        <v xml:space="preserve">2170718397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16.63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 s="4">
        <v>97.75</v>
      </c>
      <c r="BM3807" s="4">
        <v>14.66</v>
      </c>
      <c r="BN3807" s="4">
        <v>112.41</v>
      </c>
      <c r="BO3807" s="4">
        <v>112.41</v>
      </c>
      <c r="BQ3807" t="s">
        <v>121</v>
      </c>
      <c r="BR3807" t="s">
        <v>84</v>
      </c>
      <c r="BS3807" s="3">
        <v>43798</v>
      </c>
      <c r="BT3807" s="5">
        <v>0.33333333333333331</v>
      </c>
      <c r="BU3807" t="s">
        <v>3351</v>
      </c>
      <c r="BV3807" t="s">
        <v>86</v>
      </c>
      <c r="BY3807">
        <v>1200</v>
      </c>
      <c r="CA3807" t="s">
        <v>526</v>
      </c>
      <c r="CC3807" t="s">
        <v>523</v>
      </c>
      <c r="CD3807">
        <v>1911</v>
      </c>
      <c r="CE3807" t="s">
        <v>147</v>
      </c>
      <c r="CI3807">
        <v>1</v>
      </c>
      <c r="CJ3807">
        <v>1</v>
      </c>
      <c r="CK3807">
        <v>23</v>
      </c>
      <c r="CL3807" t="s">
        <v>89</v>
      </c>
    </row>
    <row r="3808" spans="1:90">
      <c r="A3808" t="s">
        <v>72</v>
      </c>
      <c r="B3808" t="s">
        <v>73</v>
      </c>
      <c r="C3808" t="s">
        <v>74</v>
      </c>
      <c r="E3808" t="str">
        <f>"FES1162725589"</f>
        <v>FES1162725589</v>
      </c>
      <c r="F3808" s="3">
        <v>43797</v>
      </c>
      <c r="G3808">
        <v>202005</v>
      </c>
      <c r="H3808" t="s">
        <v>75</v>
      </c>
      <c r="I3808" t="s">
        <v>76</v>
      </c>
      <c r="J3808" t="s">
        <v>77</v>
      </c>
      <c r="K3808" t="s">
        <v>78</v>
      </c>
      <c r="L3808" t="s">
        <v>118</v>
      </c>
      <c r="M3808" t="s">
        <v>119</v>
      </c>
      <c r="N3808" t="s">
        <v>2491</v>
      </c>
      <c r="O3808" t="s">
        <v>82</v>
      </c>
      <c r="P3808" t="str">
        <f>"2170717758                    "</f>
        <v xml:space="preserve">2170717758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8.58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 s="4">
        <v>50.45</v>
      </c>
      <c r="BM3808" s="4">
        <v>7.57</v>
      </c>
      <c r="BN3808" s="4">
        <v>58.02</v>
      </c>
      <c r="BO3808" s="4">
        <v>58.02</v>
      </c>
      <c r="BQ3808" t="s">
        <v>121</v>
      </c>
      <c r="BR3808" t="s">
        <v>84</v>
      </c>
      <c r="BS3808" s="3">
        <v>43798</v>
      </c>
      <c r="BT3808" s="5">
        <v>0.3659722222222222</v>
      </c>
      <c r="BU3808" t="s">
        <v>2492</v>
      </c>
      <c r="BV3808" t="s">
        <v>86</v>
      </c>
      <c r="BY3808">
        <v>1200</v>
      </c>
      <c r="CA3808" t="s">
        <v>2493</v>
      </c>
      <c r="CC3808" t="s">
        <v>119</v>
      </c>
      <c r="CD3808">
        <v>3201</v>
      </c>
      <c r="CE3808" t="s">
        <v>147</v>
      </c>
      <c r="CI3808">
        <v>1</v>
      </c>
      <c r="CJ3808">
        <v>1</v>
      </c>
      <c r="CK3808">
        <v>21</v>
      </c>
      <c r="CL3808" t="s">
        <v>89</v>
      </c>
    </row>
    <row r="3809" spans="1:90">
      <c r="A3809" t="s">
        <v>72</v>
      </c>
      <c r="B3809" t="s">
        <v>73</v>
      </c>
      <c r="C3809" t="s">
        <v>74</v>
      </c>
      <c r="E3809" t="str">
        <f>"FES1162725712"</f>
        <v>FES1162725712</v>
      </c>
      <c r="F3809" s="3">
        <v>43797</v>
      </c>
      <c r="G3809">
        <v>202005</v>
      </c>
      <c r="H3809" t="s">
        <v>75</v>
      </c>
      <c r="I3809" t="s">
        <v>76</v>
      </c>
      <c r="J3809" t="s">
        <v>77</v>
      </c>
      <c r="K3809" t="s">
        <v>78</v>
      </c>
      <c r="L3809" t="s">
        <v>124</v>
      </c>
      <c r="M3809" t="s">
        <v>125</v>
      </c>
      <c r="N3809" t="s">
        <v>1492</v>
      </c>
      <c r="O3809" t="s">
        <v>82</v>
      </c>
      <c r="P3809" t="str">
        <f>"2170714227                    "</f>
        <v xml:space="preserve">2170714227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6.71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 s="4">
        <v>39.42</v>
      </c>
      <c r="BM3809" s="4">
        <v>5.91</v>
      </c>
      <c r="BN3809" s="4">
        <v>45.33</v>
      </c>
      <c r="BO3809" s="4">
        <v>45.33</v>
      </c>
      <c r="BQ3809" t="s">
        <v>109</v>
      </c>
      <c r="BR3809" t="s">
        <v>84</v>
      </c>
      <c r="BS3809" s="3">
        <v>43798</v>
      </c>
      <c r="BT3809" s="5">
        <v>0.33333333333333331</v>
      </c>
      <c r="BU3809" t="s">
        <v>3340</v>
      </c>
      <c r="BV3809" t="s">
        <v>86</v>
      </c>
      <c r="BY3809">
        <v>1200</v>
      </c>
      <c r="CC3809" t="s">
        <v>125</v>
      </c>
      <c r="CD3809">
        <v>2090</v>
      </c>
      <c r="CE3809" t="s">
        <v>147</v>
      </c>
      <c r="CI3809">
        <v>1</v>
      </c>
      <c r="CJ3809">
        <v>1</v>
      </c>
      <c r="CK3809">
        <v>22</v>
      </c>
      <c r="CL3809" t="s">
        <v>89</v>
      </c>
    </row>
    <row r="3810" spans="1:90">
      <c r="A3810" t="s">
        <v>72</v>
      </c>
      <c r="B3810" t="s">
        <v>73</v>
      </c>
      <c r="C3810" t="s">
        <v>74</v>
      </c>
      <c r="E3810" t="str">
        <f>"FES1162725537"</f>
        <v>FES1162725537</v>
      </c>
      <c r="F3810" s="3">
        <v>43797</v>
      </c>
      <c r="G3810">
        <v>202005</v>
      </c>
      <c r="H3810" t="s">
        <v>75</v>
      </c>
      <c r="I3810" t="s">
        <v>76</v>
      </c>
      <c r="J3810" t="s">
        <v>77</v>
      </c>
      <c r="K3810" t="s">
        <v>78</v>
      </c>
      <c r="L3810" t="s">
        <v>214</v>
      </c>
      <c r="M3810" t="s">
        <v>214</v>
      </c>
      <c r="N3810" t="s">
        <v>215</v>
      </c>
      <c r="O3810" t="s">
        <v>82</v>
      </c>
      <c r="P3810" t="str">
        <f>"2170717068                    "</f>
        <v xml:space="preserve">2170717068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16.63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 s="4">
        <v>97.75</v>
      </c>
      <c r="BM3810" s="4">
        <v>14.66</v>
      </c>
      <c r="BN3810" s="4">
        <v>112.41</v>
      </c>
      <c r="BO3810" s="4">
        <v>112.41</v>
      </c>
      <c r="BQ3810" t="s">
        <v>109</v>
      </c>
      <c r="BR3810" t="s">
        <v>84</v>
      </c>
      <c r="BS3810" s="3">
        <v>43798</v>
      </c>
      <c r="BT3810" s="5">
        <v>0.4861111111111111</v>
      </c>
      <c r="BU3810" t="s">
        <v>3346</v>
      </c>
      <c r="BV3810" t="s">
        <v>86</v>
      </c>
      <c r="BY3810">
        <v>1200</v>
      </c>
      <c r="CA3810" t="s">
        <v>1643</v>
      </c>
      <c r="CC3810" t="s">
        <v>214</v>
      </c>
      <c r="CD3810">
        <v>7646</v>
      </c>
      <c r="CE3810" t="s">
        <v>147</v>
      </c>
      <c r="CI3810">
        <v>1</v>
      </c>
      <c r="CJ3810">
        <v>1</v>
      </c>
      <c r="CK3810">
        <v>23</v>
      </c>
      <c r="CL3810" t="s">
        <v>89</v>
      </c>
    </row>
    <row r="3811" spans="1:90">
      <c r="A3811" t="s">
        <v>72</v>
      </c>
      <c r="B3811" t="s">
        <v>73</v>
      </c>
      <c r="C3811" t="s">
        <v>74</v>
      </c>
      <c r="E3811" t="str">
        <f>"FES1162725629"</f>
        <v>FES1162725629</v>
      </c>
      <c r="F3811" s="3">
        <v>43797</v>
      </c>
      <c r="G3811">
        <v>202005</v>
      </c>
      <c r="H3811" t="s">
        <v>75</v>
      </c>
      <c r="I3811" t="s">
        <v>76</v>
      </c>
      <c r="J3811" t="s">
        <v>77</v>
      </c>
      <c r="K3811" t="s">
        <v>78</v>
      </c>
      <c r="L3811" t="s">
        <v>112</v>
      </c>
      <c r="M3811" t="s">
        <v>113</v>
      </c>
      <c r="N3811" t="s">
        <v>1332</v>
      </c>
      <c r="O3811" t="s">
        <v>82</v>
      </c>
      <c r="P3811" t="str">
        <f>"2170718843                    "</f>
        <v xml:space="preserve">2170718843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8.58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 s="4">
        <v>50.45</v>
      </c>
      <c r="BM3811" s="4">
        <v>7.57</v>
      </c>
      <c r="BN3811" s="4">
        <v>58.02</v>
      </c>
      <c r="BO3811" s="4">
        <v>58.02</v>
      </c>
      <c r="BQ3811" t="s">
        <v>3160</v>
      </c>
      <c r="BR3811" t="s">
        <v>84</v>
      </c>
      <c r="BS3811" s="3">
        <v>43798</v>
      </c>
      <c r="BT3811" s="5">
        <v>0.3444444444444445</v>
      </c>
      <c r="BU3811" t="s">
        <v>1333</v>
      </c>
      <c r="BV3811" t="s">
        <v>86</v>
      </c>
      <c r="BY3811">
        <v>1200</v>
      </c>
      <c r="CA3811" t="s">
        <v>1334</v>
      </c>
      <c r="CC3811" t="s">
        <v>113</v>
      </c>
      <c r="CD3811">
        <v>4001</v>
      </c>
      <c r="CE3811" t="s">
        <v>147</v>
      </c>
      <c r="CI3811">
        <v>1</v>
      </c>
      <c r="CJ3811">
        <v>1</v>
      </c>
      <c r="CK3811">
        <v>21</v>
      </c>
      <c r="CL3811" t="s">
        <v>89</v>
      </c>
    </row>
    <row r="3812" spans="1:90">
      <c r="A3812" t="s">
        <v>72</v>
      </c>
      <c r="B3812" t="s">
        <v>73</v>
      </c>
      <c r="C3812" t="s">
        <v>74</v>
      </c>
      <c r="E3812" t="str">
        <f>"FES1162725523"</f>
        <v>FES1162725523</v>
      </c>
      <c r="F3812" s="3">
        <v>43797</v>
      </c>
      <c r="G3812">
        <v>202005</v>
      </c>
      <c r="H3812" t="s">
        <v>75</v>
      </c>
      <c r="I3812" t="s">
        <v>76</v>
      </c>
      <c r="J3812" t="s">
        <v>77</v>
      </c>
      <c r="K3812" t="s">
        <v>78</v>
      </c>
      <c r="L3812" t="s">
        <v>90</v>
      </c>
      <c r="M3812" t="s">
        <v>91</v>
      </c>
      <c r="N3812" t="s">
        <v>576</v>
      </c>
      <c r="O3812" t="s">
        <v>82</v>
      </c>
      <c r="P3812" t="str">
        <f>"2170717640                    "</f>
        <v xml:space="preserve">2170717640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8.58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 s="4">
        <v>50.45</v>
      </c>
      <c r="BM3812" s="4">
        <v>7.57</v>
      </c>
      <c r="BN3812" s="4">
        <v>58.02</v>
      </c>
      <c r="BO3812" s="4">
        <v>58.02</v>
      </c>
      <c r="BQ3812" t="s">
        <v>109</v>
      </c>
      <c r="BR3812" t="s">
        <v>84</v>
      </c>
      <c r="BS3812" s="3">
        <v>43798</v>
      </c>
      <c r="BT3812" s="5">
        <v>0.36805555555555558</v>
      </c>
      <c r="BU3812" t="s">
        <v>3353</v>
      </c>
      <c r="BV3812" t="s">
        <v>86</v>
      </c>
      <c r="BY3812">
        <v>1200</v>
      </c>
      <c r="CA3812" t="s">
        <v>1146</v>
      </c>
      <c r="CC3812" t="s">
        <v>91</v>
      </c>
      <c r="CD3812">
        <v>7441</v>
      </c>
      <c r="CE3812" t="s">
        <v>147</v>
      </c>
      <c r="CI3812">
        <v>1</v>
      </c>
      <c r="CJ3812">
        <v>1</v>
      </c>
      <c r="CK3812">
        <v>21</v>
      </c>
      <c r="CL3812" t="s">
        <v>89</v>
      </c>
    </row>
    <row r="3813" spans="1:90">
      <c r="A3813" t="s">
        <v>72</v>
      </c>
      <c r="B3813" t="s">
        <v>73</v>
      </c>
      <c r="C3813" t="s">
        <v>74</v>
      </c>
      <c r="E3813" t="str">
        <f>"FES1162725635"</f>
        <v>FES1162725635</v>
      </c>
      <c r="F3813" s="3">
        <v>43797</v>
      </c>
      <c r="G3813">
        <v>202005</v>
      </c>
      <c r="H3813" t="s">
        <v>75</v>
      </c>
      <c r="I3813" t="s">
        <v>76</v>
      </c>
      <c r="J3813" t="s">
        <v>77</v>
      </c>
      <c r="K3813" t="s">
        <v>78</v>
      </c>
      <c r="L3813" t="s">
        <v>522</v>
      </c>
      <c r="M3813" t="s">
        <v>523</v>
      </c>
      <c r="N3813" t="s">
        <v>3412</v>
      </c>
      <c r="O3813" t="s">
        <v>82</v>
      </c>
      <c r="P3813" t="str">
        <f>"2170719293                    "</f>
        <v xml:space="preserve">2170719293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16.63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 s="4">
        <v>97.75</v>
      </c>
      <c r="BM3813" s="4">
        <v>14.66</v>
      </c>
      <c r="BN3813" s="4">
        <v>112.41</v>
      </c>
      <c r="BO3813" s="4">
        <v>112.41</v>
      </c>
      <c r="BQ3813" t="s">
        <v>121</v>
      </c>
      <c r="BR3813" t="s">
        <v>84</v>
      </c>
      <c r="BS3813" s="3">
        <v>43798</v>
      </c>
      <c r="BT3813" s="5">
        <v>0.33333333333333331</v>
      </c>
      <c r="BU3813" t="s">
        <v>3413</v>
      </c>
      <c r="BV3813" t="s">
        <v>86</v>
      </c>
      <c r="BY3813">
        <v>1200</v>
      </c>
      <c r="CA3813" t="s">
        <v>526</v>
      </c>
      <c r="CC3813" t="s">
        <v>523</v>
      </c>
      <c r="CD3813">
        <v>1900</v>
      </c>
      <c r="CE3813" t="s">
        <v>147</v>
      </c>
      <c r="CI3813">
        <v>1</v>
      </c>
      <c r="CJ3813">
        <v>1</v>
      </c>
      <c r="CK3813">
        <v>23</v>
      </c>
      <c r="CL3813" t="s">
        <v>89</v>
      </c>
    </row>
    <row r="3814" spans="1:90">
      <c r="A3814" t="s">
        <v>72</v>
      </c>
      <c r="B3814" t="s">
        <v>73</v>
      </c>
      <c r="C3814" t="s">
        <v>74</v>
      </c>
      <c r="E3814" t="str">
        <f>"FES1162725576"</f>
        <v>FES1162725576</v>
      </c>
      <c r="F3814" s="3">
        <v>43797</v>
      </c>
      <c r="G3814">
        <v>202005</v>
      </c>
      <c r="H3814" t="s">
        <v>75</v>
      </c>
      <c r="I3814" t="s">
        <v>76</v>
      </c>
      <c r="J3814" t="s">
        <v>77</v>
      </c>
      <c r="K3814" t="s">
        <v>78</v>
      </c>
      <c r="L3814" t="s">
        <v>90</v>
      </c>
      <c r="M3814" t="s">
        <v>91</v>
      </c>
      <c r="N3814" t="s">
        <v>393</v>
      </c>
      <c r="O3814" t="s">
        <v>82</v>
      </c>
      <c r="P3814" t="str">
        <f>"2170717683                    "</f>
        <v xml:space="preserve">2170717683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8.58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 s="4">
        <v>50.45</v>
      </c>
      <c r="BM3814" s="4">
        <v>7.57</v>
      </c>
      <c r="BN3814" s="4">
        <v>58.02</v>
      </c>
      <c r="BO3814" s="4">
        <v>58.02</v>
      </c>
      <c r="BQ3814" t="s">
        <v>1630</v>
      </c>
      <c r="BR3814" t="s">
        <v>84</v>
      </c>
      <c r="BS3814" s="3">
        <v>43798</v>
      </c>
      <c r="BT3814" s="5">
        <v>0.31736111111111115</v>
      </c>
      <c r="BU3814" t="s">
        <v>3414</v>
      </c>
      <c r="BV3814" t="s">
        <v>86</v>
      </c>
      <c r="BY3814">
        <v>1200</v>
      </c>
      <c r="CA3814" t="s">
        <v>1942</v>
      </c>
      <c r="CC3814" t="s">
        <v>91</v>
      </c>
      <c r="CD3814">
        <v>7405</v>
      </c>
      <c r="CE3814" t="s">
        <v>147</v>
      </c>
      <c r="CI3814">
        <v>1</v>
      </c>
      <c r="CJ3814">
        <v>1</v>
      </c>
      <c r="CK3814">
        <v>21</v>
      </c>
      <c r="CL3814" t="s">
        <v>89</v>
      </c>
    </row>
    <row r="3815" spans="1:90">
      <c r="A3815" t="s">
        <v>72</v>
      </c>
      <c r="B3815" t="s">
        <v>73</v>
      </c>
      <c r="C3815" t="s">
        <v>74</v>
      </c>
      <c r="E3815" t="str">
        <f>"FES1162725757"</f>
        <v>FES1162725757</v>
      </c>
      <c r="F3815" s="3">
        <v>43797</v>
      </c>
      <c r="G3815">
        <v>202005</v>
      </c>
      <c r="H3815" t="s">
        <v>75</v>
      </c>
      <c r="I3815" t="s">
        <v>76</v>
      </c>
      <c r="J3815" t="s">
        <v>77</v>
      </c>
      <c r="K3815" t="s">
        <v>78</v>
      </c>
      <c r="L3815" t="s">
        <v>75</v>
      </c>
      <c r="M3815" t="s">
        <v>76</v>
      </c>
      <c r="N3815" t="s">
        <v>3415</v>
      </c>
      <c r="O3815" t="s">
        <v>82</v>
      </c>
      <c r="P3815" t="str">
        <f>"2170717862                    "</f>
        <v xml:space="preserve">2170717862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6.71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 s="4">
        <v>39.42</v>
      </c>
      <c r="BM3815" s="4">
        <v>5.91</v>
      </c>
      <c r="BN3815" s="4">
        <v>45.33</v>
      </c>
      <c r="BO3815" s="4">
        <v>45.33</v>
      </c>
      <c r="BQ3815" t="s">
        <v>121</v>
      </c>
      <c r="BR3815" t="s">
        <v>84</v>
      </c>
      <c r="BS3815" s="3">
        <v>43798</v>
      </c>
      <c r="BT3815" s="5">
        <v>0.33333333333333331</v>
      </c>
      <c r="BU3815" t="s">
        <v>3416</v>
      </c>
      <c r="BV3815" t="s">
        <v>86</v>
      </c>
      <c r="BY3815">
        <v>1200</v>
      </c>
      <c r="CA3815" t="s">
        <v>2334</v>
      </c>
      <c r="CC3815" t="s">
        <v>76</v>
      </c>
      <c r="CD3815">
        <v>1600</v>
      </c>
      <c r="CE3815" t="s">
        <v>147</v>
      </c>
      <c r="CI3815">
        <v>1</v>
      </c>
      <c r="CJ3815">
        <v>1</v>
      </c>
      <c r="CK3815">
        <v>22</v>
      </c>
      <c r="CL3815" t="s">
        <v>89</v>
      </c>
    </row>
    <row r="3816" spans="1:90">
      <c r="A3816" t="s">
        <v>72</v>
      </c>
      <c r="B3816" t="s">
        <v>73</v>
      </c>
      <c r="C3816" t="s">
        <v>74</v>
      </c>
      <c r="E3816" t="str">
        <f>"FES1162725578"</f>
        <v>FES1162725578</v>
      </c>
      <c r="F3816" s="3">
        <v>43797</v>
      </c>
      <c r="G3816">
        <v>202005</v>
      </c>
      <c r="H3816" t="s">
        <v>75</v>
      </c>
      <c r="I3816" t="s">
        <v>76</v>
      </c>
      <c r="J3816" t="s">
        <v>77</v>
      </c>
      <c r="K3816" t="s">
        <v>78</v>
      </c>
      <c r="L3816" t="s">
        <v>112</v>
      </c>
      <c r="M3816" t="s">
        <v>113</v>
      </c>
      <c r="N3816" t="s">
        <v>3417</v>
      </c>
      <c r="O3816" t="s">
        <v>82</v>
      </c>
      <c r="P3816" t="str">
        <f>"2170717689                    "</f>
        <v xml:space="preserve">2170717689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8.58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 s="4">
        <v>50.45</v>
      </c>
      <c r="BM3816" s="4">
        <v>7.57</v>
      </c>
      <c r="BN3816" s="4">
        <v>58.02</v>
      </c>
      <c r="BO3816" s="4">
        <v>58.02</v>
      </c>
      <c r="BQ3816" t="s">
        <v>109</v>
      </c>
      <c r="BR3816" t="s">
        <v>84</v>
      </c>
      <c r="BS3816" s="3">
        <v>43798</v>
      </c>
      <c r="BT3816" s="5">
        <v>0.36874999999999997</v>
      </c>
      <c r="BU3816" t="s">
        <v>3418</v>
      </c>
      <c r="BV3816" t="s">
        <v>86</v>
      </c>
      <c r="BY3816">
        <v>1200</v>
      </c>
      <c r="CA3816" t="s">
        <v>428</v>
      </c>
      <c r="CC3816" t="s">
        <v>113</v>
      </c>
      <c r="CD3816">
        <v>4052</v>
      </c>
      <c r="CE3816" t="s">
        <v>147</v>
      </c>
      <c r="CI3816">
        <v>1</v>
      </c>
      <c r="CJ3816">
        <v>1</v>
      </c>
      <c r="CK3816">
        <v>21</v>
      </c>
      <c r="CL3816" t="s">
        <v>89</v>
      </c>
    </row>
    <row r="3817" spans="1:90">
      <c r="A3817" t="s">
        <v>72</v>
      </c>
      <c r="B3817" t="s">
        <v>73</v>
      </c>
      <c r="C3817" t="s">
        <v>74</v>
      </c>
      <c r="E3817" t="str">
        <f>"FES1162725633"</f>
        <v>FES1162725633</v>
      </c>
      <c r="F3817" s="3">
        <v>43797</v>
      </c>
      <c r="G3817">
        <v>202005</v>
      </c>
      <c r="H3817" t="s">
        <v>75</v>
      </c>
      <c r="I3817" t="s">
        <v>76</v>
      </c>
      <c r="J3817" t="s">
        <v>77</v>
      </c>
      <c r="K3817" t="s">
        <v>78</v>
      </c>
      <c r="L3817" t="s">
        <v>118</v>
      </c>
      <c r="M3817" t="s">
        <v>119</v>
      </c>
      <c r="N3817" t="s">
        <v>120</v>
      </c>
      <c r="O3817" t="s">
        <v>82</v>
      </c>
      <c r="P3817" t="str">
        <f>"2170719147                    "</f>
        <v xml:space="preserve">2170719147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8.58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 s="4">
        <v>50.45</v>
      </c>
      <c r="BM3817" s="4">
        <v>7.57</v>
      </c>
      <c r="BN3817" s="4">
        <v>58.02</v>
      </c>
      <c r="BO3817" s="4">
        <v>58.02</v>
      </c>
      <c r="BQ3817" t="s">
        <v>121</v>
      </c>
      <c r="BR3817" t="s">
        <v>84</v>
      </c>
      <c r="BS3817" s="3">
        <v>43798</v>
      </c>
      <c r="BT3817" s="5">
        <v>0.38194444444444442</v>
      </c>
      <c r="BU3817" t="s">
        <v>623</v>
      </c>
      <c r="BV3817" t="s">
        <v>86</v>
      </c>
      <c r="BY3817">
        <v>1200</v>
      </c>
      <c r="CA3817" t="s">
        <v>435</v>
      </c>
      <c r="CC3817" t="s">
        <v>119</v>
      </c>
      <c r="CD3817">
        <v>3201</v>
      </c>
      <c r="CE3817" t="s">
        <v>147</v>
      </c>
      <c r="CI3817">
        <v>1</v>
      </c>
      <c r="CJ3817">
        <v>1</v>
      </c>
      <c r="CK3817">
        <v>21</v>
      </c>
      <c r="CL3817" t="s">
        <v>89</v>
      </c>
    </row>
    <row r="3818" spans="1:90">
      <c r="A3818" t="s">
        <v>72</v>
      </c>
      <c r="B3818" t="s">
        <v>73</v>
      </c>
      <c r="C3818" t="s">
        <v>74</v>
      </c>
      <c r="E3818" t="str">
        <f>"FES1162725658"</f>
        <v>FES1162725658</v>
      </c>
      <c r="F3818" s="3">
        <v>43797</v>
      </c>
      <c r="G3818">
        <v>202005</v>
      </c>
      <c r="H3818" t="s">
        <v>75</v>
      </c>
      <c r="I3818" t="s">
        <v>76</v>
      </c>
      <c r="J3818" t="s">
        <v>77</v>
      </c>
      <c r="K3818" t="s">
        <v>78</v>
      </c>
      <c r="L3818" t="s">
        <v>112</v>
      </c>
      <c r="M3818" t="s">
        <v>113</v>
      </c>
      <c r="N3818" t="s">
        <v>620</v>
      </c>
      <c r="O3818" t="s">
        <v>82</v>
      </c>
      <c r="P3818" t="str">
        <f>"2170719306                    "</f>
        <v xml:space="preserve">2170719306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8.58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 s="4">
        <v>50.45</v>
      </c>
      <c r="BM3818" s="4">
        <v>7.57</v>
      </c>
      <c r="BN3818" s="4">
        <v>58.02</v>
      </c>
      <c r="BO3818" s="4">
        <v>58.02</v>
      </c>
      <c r="BQ3818" t="s">
        <v>109</v>
      </c>
      <c r="BR3818" t="s">
        <v>84</v>
      </c>
      <c r="BS3818" s="3">
        <v>43798</v>
      </c>
      <c r="BT3818" s="5">
        <v>0.4284722222222222</v>
      </c>
      <c r="BU3818" t="s">
        <v>3324</v>
      </c>
      <c r="BV3818" t="s">
        <v>86</v>
      </c>
      <c r="BY3818">
        <v>1200</v>
      </c>
      <c r="CA3818" t="s">
        <v>448</v>
      </c>
      <c r="CC3818" t="s">
        <v>113</v>
      </c>
      <c r="CD3818">
        <v>4302</v>
      </c>
      <c r="CE3818" t="s">
        <v>147</v>
      </c>
      <c r="CI3818">
        <v>1</v>
      </c>
      <c r="CJ3818">
        <v>1</v>
      </c>
      <c r="CK3818">
        <v>21</v>
      </c>
      <c r="CL3818" t="s">
        <v>89</v>
      </c>
    </row>
    <row r="3819" spans="1:90">
      <c r="A3819" t="s">
        <v>72</v>
      </c>
      <c r="B3819" t="s">
        <v>73</v>
      </c>
      <c r="C3819" t="s">
        <v>74</v>
      </c>
      <c r="E3819" t="str">
        <f>"FES1162725711"</f>
        <v>FES1162725711</v>
      </c>
      <c r="F3819" s="3">
        <v>43797</v>
      </c>
      <c r="G3819">
        <v>202005</v>
      </c>
      <c r="H3819" t="s">
        <v>75</v>
      </c>
      <c r="I3819" t="s">
        <v>76</v>
      </c>
      <c r="J3819" t="s">
        <v>77</v>
      </c>
      <c r="K3819" t="s">
        <v>78</v>
      </c>
      <c r="L3819" t="s">
        <v>112</v>
      </c>
      <c r="M3819" t="s">
        <v>113</v>
      </c>
      <c r="N3819" t="s">
        <v>160</v>
      </c>
      <c r="O3819" t="s">
        <v>82</v>
      </c>
      <c r="P3819" t="str">
        <f>"2170713969                    "</f>
        <v xml:space="preserve">2170713969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8.58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 s="4">
        <v>50.45</v>
      </c>
      <c r="BM3819" s="4">
        <v>7.57</v>
      </c>
      <c r="BN3819" s="4">
        <v>58.02</v>
      </c>
      <c r="BO3819" s="4">
        <v>58.02</v>
      </c>
      <c r="BQ3819" t="s">
        <v>161</v>
      </c>
      <c r="BR3819" t="s">
        <v>84</v>
      </c>
      <c r="BS3819" s="3">
        <v>43798</v>
      </c>
      <c r="BT3819" s="5">
        <v>0.3659722222222222</v>
      </c>
      <c r="BU3819" t="s">
        <v>162</v>
      </c>
      <c r="BV3819" t="s">
        <v>86</v>
      </c>
      <c r="BY3819">
        <v>1200</v>
      </c>
      <c r="CA3819" t="s">
        <v>163</v>
      </c>
      <c r="CC3819" t="s">
        <v>113</v>
      </c>
      <c r="CD3819">
        <v>4000</v>
      </c>
      <c r="CE3819" t="s">
        <v>147</v>
      </c>
      <c r="CI3819">
        <v>1</v>
      </c>
      <c r="CJ3819">
        <v>1</v>
      </c>
      <c r="CK3819">
        <v>21</v>
      </c>
      <c r="CL3819" t="s">
        <v>89</v>
      </c>
    </row>
    <row r="3820" spans="1:90">
      <c r="A3820" t="s">
        <v>72</v>
      </c>
      <c r="B3820" t="s">
        <v>73</v>
      </c>
      <c r="C3820" t="s">
        <v>74</v>
      </c>
      <c r="E3820" t="str">
        <f>"FES1162725884"</f>
        <v>FES1162725884</v>
      </c>
      <c r="F3820" s="3">
        <v>43797</v>
      </c>
      <c r="G3820">
        <v>202005</v>
      </c>
      <c r="H3820" t="s">
        <v>75</v>
      </c>
      <c r="I3820" t="s">
        <v>76</v>
      </c>
      <c r="J3820" t="s">
        <v>77</v>
      </c>
      <c r="K3820" t="s">
        <v>78</v>
      </c>
      <c r="L3820" t="s">
        <v>482</v>
      </c>
      <c r="M3820" t="s">
        <v>483</v>
      </c>
      <c r="N3820" t="s">
        <v>3419</v>
      </c>
      <c r="O3820" t="s">
        <v>82</v>
      </c>
      <c r="P3820" t="str">
        <f>"2170717103                    "</f>
        <v xml:space="preserve">2170717103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12.33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5.3</v>
      </c>
      <c r="BJ3820">
        <v>3.7</v>
      </c>
      <c r="BK3820">
        <v>5.5</v>
      </c>
      <c r="BL3820" s="4">
        <v>72.48</v>
      </c>
      <c r="BM3820" s="4">
        <v>10.87</v>
      </c>
      <c r="BN3820" s="4">
        <v>83.35</v>
      </c>
      <c r="BO3820" s="4">
        <v>83.35</v>
      </c>
      <c r="BQ3820" t="s">
        <v>3420</v>
      </c>
      <c r="BR3820" t="s">
        <v>84</v>
      </c>
      <c r="BS3820" s="3">
        <v>43798</v>
      </c>
      <c r="BT3820" s="5">
        <v>0.46111111111111108</v>
      </c>
      <c r="BU3820" t="s">
        <v>3421</v>
      </c>
      <c r="BV3820" t="s">
        <v>89</v>
      </c>
      <c r="BW3820" t="s">
        <v>319</v>
      </c>
      <c r="BX3820" t="s">
        <v>2566</v>
      </c>
      <c r="BY3820">
        <v>18322.2</v>
      </c>
      <c r="CA3820" t="s">
        <v>1336</v>
      </c>
      <c r="CC3820" t="s">
        <v>483</v>
      </c>
      <c r="CD3820">
        <v>1459</v>
      </c>
      <c r="CE3820" t="s">
        <v>88</v>
      </c>
      <c r="CI3820">
        <v>1</v>
      </c>
      <c r="CJ3820">
        <v>1</v>
      </c>
      <c r="CK3820">
        <v>22</v>
      </c>
      <c r="CL3820" t="s">
        <v>89</v>
      </c>
    </row>
    <row r="3821" spans="1:90">
      <c r="A3821" t="s">
        <v>72</v>
      </c>
      <c r="B3821" t="s">
        <v>73</v>
      </c>
      <c r="C3821" t="s">
        <v>74</v>
      </c>
      <c r="E3821" t="str">
        <f>"FES1162725533"</f>
        <v>FES1162725533</v>
      </c>
      <c r="F3821" s="3">
        <v>43797</v>
      </c>
      <c r="G3821">
        <v>202005</v>
      </c>
      <c r="H3821" t="s">
        <v>75</v>
      </c>
      <c r="I3821" t="s">
        <v>76</v>
      </c>
      <c r="J3821" t="s">
        <v>77</v>
      </c>
      <c r="K3821" t="s">
        <v>78</v>
      </c>
      <c r="L3821" t="s">
        <v>482</v>
      </c>
      <c r="M3821" t="s">
        <v>483</v>
      </c>
      <c r="N3821" t="s">
        <v>3393</v>
      </c>
      <c r="O3821" t="s">
        <v>82</v>
      </c>
      <c r="P3821" t="str">
        <f>"2170716548                    "</f>
        <v xml:space="preserve">2170716548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6.71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0.2</v>
      </c>
      <c r="BJ3821">
        <v>1</v>
      </c>
      <c r="BK3821">
        <v>1</v>
      </c>
      <c r="BL3821" s="4">
        <v>39.42</v>
      </c>
      <c r="BM3821" s="4">
        <v>5.91</v>
      </c>
      <c r="BN3821" s="4">
        <v>45.33</v>
      </c>
      <c r="BO3821" s="4">
        <v>45.33</v>
      </c>
      <c r="BQ3821" t="s">
        <v>3422</v>
      </c>
      <c r="BR3821" t="s">
        <v>84</v>
      </c>
      <c r="BS3821" s="3">
        <v>43798</v>
      </c>
      <c r="BT3821" s="5">
        <v>0.3659722222222222</v>
      </c>
      <c r="BU3821" t="s">
        <v>3394</v>
      </c>
      <c r="BV3821" t="s">
        <v>86</v>
      </c>
      <c r="BY3821">
        <v>4998.88</v>
      </c>
      <c r="CA3821" t="s">
        <v>123</v>
      </c>
      <c r="CC3821" t="s">
        <v>483</v>
      </c>
      <c r="CD3821">
        <v>1459</v>
      </c>
      <c r="CE3821" t="s">
        <v>1598</v>
      </c>
      <c r="CI3821">
        <v>1</v>
      </c>
      <c r="CJ3821">
        <v>1</v>
      </c>
      <c r="CK3821">
        <v>22</v>
      </c>
      <c r="CL3821" t="s">
        <v>89</v>
      </c>
    </row>
    <row r="3822" spans="1:90">
      <c r="A3822" t="s">
        <v>72</v>
      </c>
      <c r="B3822" t="s">
        <v>73</v>
      </c>
      <c r="C3822" t="s">
        <v>74</v>
      </c>
      <c r="E3822" t="str">
        <f>"FES1162725518"</f>
        <v>FES1162725518</v>
      </c>
      <c r="F3822" s="3">
        <v>43797</v>
      </c>
      <c r="G3822">
        <v>202005</v>
      </c>
      <c r="H3822" t="s">
        <v>75</v>
      </c>
      <c r="I3822" t="s">
        <v>76</v>
      </c>
      <c r="J3822" t="s">
        <v>77</v>
      </c>
      <c r="K3822" t="s">
        <v>78</v>
      </c>
      <c r="L3822" t="s">
        <v>202</v>
      </c>
      <c r="M3822" t="s">
        <v>203</v>
      </c>
      <c r="N3822" t="s">
        <v>1870</v>
      </c>
      <c r="O3822" t="s">
        <v>82</v>
      </c>
      <c r="P3822" t="str">
        <f>"2170719289                    "</f>
        <v xml:space="preserve">2170719289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19.559999999999999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5.3</v>
      </c>
      <c r="BJ3822">
        <v>9.6</v>
      </c>
      <c r="BK3822">
        <v>10</v>
      </c>
      <c r="BL3822" s="4">
        <v>114.99</v>
      </c>
      <c r="BM3822" s="4">
        <v>17.25</v>
      </c>
      <c r="BN3822" s="4">
        <v>132.24</v>
      </c>
      <c r="BO3822" s="4">
        <v>132.24</v>
      </c>
      <c r="BQ3822" t="s">
        <v>1871</v>
      </c>
      <c r="BR3822" t="s">
        <v>84</v>
      </c>
      <c r="BS3822" s="3">
        <v>43798</v>
      </c>
      <c r="BT3822" s="5">
        <v>0.33333333333333331</v>
      </c>
      <c r="BU3822" t="s">
        <v>299</v>
      </c>
      <c r="BV3822" t="s">
        <v>86</v>
      </c>
      <c r="BY3822">
        <v>48236.5</v>
      </c>
      <c r="CA3822" t="s">
        <v>1067</v>
      </c>
      <c r="CC3822" t="s">
        <v>203</v>
      </c>
      <c r="CD3822">
        <v>1406</v>
      </c>
      <c r="CE3822" t="s">
        <v>1598</v>
      </c>
      <c r="CI3822">
        <v>1</v>
      </c>
      <c r="CJ3822">
        <v>1</v>
      </c>
      <c r="CK3822">
        <v>22</v>
      </c>
      <c r="CL3822" t="s">
        <v>89</v>
      </c>
    </row>
    <row r="3823" spans="1:90">
      <c r="A3823" t="s">
        <v>72</v>
      </c>
      <c r="B3823" t="s">
        <v>73</v>
      </c>
      <c r="C3823" t="s">
        <v>74</v>
      </c>
      <c r="E3823" t="str">
        <f>"FES1162725605"</f>
        <v>FES1162725605</v>
      </c>
      <c r="F3823" s="3">
        <v>43797</v>
      </c>
      <c r="G3823">
        <v>202005</v>
      </c>
      <c r="H3823" t="s">
        <v>75</v>
      </c>
      <c r="I3823" t="s">
        <v>76</v>
      </c>
      <c r="J3823" t="s">
        <v>77</v>
      </c>
      <c r="K3823" t="s">
        <v>78</v>
      </c>
      <c r="L3823" t="s">
        <v>106</v>
      </c>
      <c r="M3823" t="s">
        <v>107</v>
      </c>
      <c r="N3823" t="s">
        <v>771</v>
      </c>
      <c r="O3823" t="s">
        <v>82</v>
      </c>
      <c r="P3823" t="str">
        <f>"2170717897                    "</f>
        <v xml:space="preserve">2170717897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8.58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 s="4">
        <v>50.45</v>
      </c>
      <c r="BM3823" s="4">
        <v>7.57</v>
      </c>
      <c r="BN3823" s="4">
        <v>58.02</v>
      </c>
      <c r="BO3823" s="4">
        <v>58.02</v>
      </c>
      <c r="BQ3823" t="s">
        <v>109</v>
      </c>
      <c r="BR3823" t="s">
        <v>84</v>
      </c>
      <c r="BS3823" s="3">
        <v>43798</v>
      </c>
      <c r="BT3823" s="5">
        <v>0.39652777777777781</v>
      </c>
      <c r="BU3823" t="s">
        <v>3330</v>
      </c>
      <c r="BV3823" t="s">
        <v>86</v>
      </c>
      <c r="BY3823">
        <v>1200</v>
      </c>
      <c r="CA3823" t="s">
        <v>773</v>
      </c>
      <c r="CC3823" t="s">
        <v>107</v>
      </c>
      <c r="CD3823">
        <v>6012</v>
      </c>
      <c r="CE3823" t="s">
        <v>147</v>
      </c>
      <c r="CI3823">
        <v>1</v>
      </c>
      <c r="CJ3823">
        <v>1</v>
      </c>
      <c r="CK3823">
        <v>21</v>
      </c>
      <c r="CL3823" t="s">
        <v>89</v>
      </c>
    </row>
    <row r="3824" spans="1:90">
      <c r="A3824" t="s">
        <v>72</v>
      </c>
      <c r="B3824" t="s">
        <v>73</v>
      </c>
      <c r="C3824" t="s">
        <v>74</v>
      </c>
      <c r="E3824" t="str">
        <f>"FES1162725611"</f>
        <v>FES1162725611</v>
      </c>
      <c r="F3824" s="3">
        <v>43797</v>
      </c>
      <c r="G3824">
        <v>202005</v>
      </c>
      <c r="H3824" t="s">
        <v>75</v>
      </c>
      <c r="I3824" t="s">
        <v>76</v>
      </c>
      <c r="J3824" t="s">
        <v>77</v>
      </c>
      <c r="K3824" t="s">
        <v>78</v>
      </c>
      <c r="L3824" t="s">
        <v>124</v>
      </c>
      <c r="M3824" t="s">
        <v>125</v>
      </c>
      <c r="N3824" t="s">
        <v>460</v>
      </c>
      <c r="O3824" t="s">
        <v>82</v>
      </c>
      <c r="P3824" t="str">
        <f>"2170718114                    "</f>
        <v xml:space="preserve">2170718114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6.71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 s="4">
        <v>39.42</v>
      </c>
      <c r="BM3824" s="4">
        <v>5.91</v>
      </c>
      <c r="BN3824" s="4">
        <v>45.33</v>
      </c>
      <c r="BO3824" s="4">
        <v>45.33</v>
      </c>
      <c r="BQ3824" t="s">
        <v>121</v>
      </c>
      <c r="BR3824" t="s">
        <v>84</v>
      </c>
      <c r="BS3824" s="3">
        <v>43798</v>
      </c>
      <c r="BT3824" s="5">
        <v>0.34027777777777773</v>
      </c>
      <c r="BU3824" t="s">
        <v>3423</v>
      </c>
      <c r="BV3824" t="s">
        <v>86</v>
      </c>
      <c r="BY3824">
        <v>1200</v>
      </c>
      <c r="CA3824" t="s">
        <v>837</v>
      </c>
      <c r="CC3824" t="s">
        <v>125</v>
      </c>
      <c r="CD3824">
        <v>2094</v>
      </c>
      <c r="CE3824" t="s">
        <v>147</v>
      </c>
      <c r="CI3824">
        <v>1</v>
      </c>
      <c r="CJ3824">
        <v>1</v>
      </c>
      <c r="CK3824">
        <v>22</v>
      </c>
      <c r="CL3824" t="s">
        <v>89</v>
      </c>
    </row>
    <row r="3825" spans="1:90">
      <c r="A3825" t="s">
        <v>72</v>
      </c>
      <c r="B3825" t="s">
        <v>73</v>
      </c>
      <c r="C3825" t="s">
        <v>74</v>
      </c>
      <c r="E3825" t="str">
        <f>"FES1162725666"</f>
        <v>FES1162725666</v>
      </c>
      <c r="F3825" s="3">
        <v>43797</v>
      </c>
      <c r="G3825">
        <v>202005</v>
      </c>
      <c r="H3825" t="s">
        <v>75</v>
      </c>
      <c r="I3825" t="s">
        <v>76</v>
      </c>
      <c r="J3825" t="s">
        <v>77</v>
      </c>
      <c r="K3825" t="s">
        <v>78</v>
      </c>
      <c r="L3825" t="s">
        <v>133</v>
      </c>
      <c r="M3825" t="s">
        <v>134</v>
      </c>
      <c r="N3825" t="s">
        <v>310</v>
      </c>
      <c r="O3825" t="s">
        <v>82</v>
      </c>
      <c r="P3825" t="str">
        <f>"2170719309                    "</f>
        <v xml:space="preserve">2170719309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8.58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 s="4">
        <v>50.45</v>
      </c>
      <c r="BM3825" s="4">
        <v>7.57</v>
      </c>
      <c r="BN3825" s="4">
        <v>58.02</v>
      </c>
      <c r="BO3825" s="4">
        <v>58.02</v>
      </c>
      <c r="BQ3825" t="s">
        <v>121</v>
      </c>
      <c r="BR3825" t="s">
        <v>84</v>
      </c>
      <c r="BS3825" s="3">
        <v>43798</v>
      </c>
      <c r="BT3825" s="5">
        <v>0.43333333333333335</v>
      </c>
      <c r="BU3825" t="s">
        <v>911</v>
      </c>
      <c r="BV3825" t="s">
        <v>86</v>
      </c>
      <c r="BY3825">
        <v>1200</v>
      </c>
      <c r="CA3825" t="s">
        <v>137</v>
      </c>
      <c r="CC3825" t="s">
        <v>134</v>
      </c>
      <c r="CD3825">
        <v>5201</v>
      </c>
      <c r="CE3825" t="s">
        <v>147</v>
      </c>
      <c r="CI3825">
        <v>1</v>
      </c>
      <c r="CJ3825">
        <v>1</v>
      </c>
      <c r="CK3825">
        <v>21</v>
      </c>
      <c r="CL3825" t="s">
        <v>89</v>
      </c>
    </row>
    <row r="3826" spans="1:90">
      <c r="A3826" t="s">
        <v>72</v>
      </c>
      <c r="B3826" t="s">
        <v>73</v>
      </c>
      <c r="C3826" t="s">
        <v>74</v>
      </c>
      <c r="E3826" t="str">
        <f>"FES1162725553"</f>
        <v>FES1162725553</v>
      </c>
      <c r="F3826" s="3">
        <v>43797</v>
      </c>
      <c r="G3826">
        <v>202005</v>
      </c>
      <c r="H3826" t="s">
        <v>75</v>
      </c>
      <c r="I3826" t="s">
        <v>76</v>
      </c>
      <c r="J3826" t="s">
        <v>77</v>
      </c>
      <c r="K3826" t="s">
        <v>78</v>
      </c>
      <c r="L3826" t="s">
        <v>106</v>
      </c>
      <c r="M3826" t="s">
        <v>107</v>
      </c>
      <c r="N3826" t="s">
        <v>242</v>
      </c>
      <c r="O3826" t="s">
        <v>82</v>
      </c>
      <c r="P3826" t="str">
        <f>"2170717481                    "</f>
        <v xml:space="preserve">2170717481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8.58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 s="4">
        <v>50.45</v>
      </c>
      <c r="BM3826" s="4">
        <v>7.57</v>
      </c>
      <c r="BN3826" s="4">
        <v>58.02</v>
      </c>
      <c r="BO3826" s="4">
        <v>58.02</v>
      </c>
      <c r="BQ3826" t="s">
        <v>109</v>
      </c>
      <c r="BR3826" t="s">
        <v>84</v>
      </c>
      <c r="BS3826" s="3">
        <v>43798</v>
      </c>
      <c r="BT3826" s="5">
        <v>0.3659722222222222</v>
      </c>
      <c r="BU3826" t="s">
        <v>2359</v>
      </c>
      <c r="BV3826" t="s">
        <v>86</v>
      </c>
      <c r="BY3826">
        <v>1200</v>
      </c>
      <c r="CA3826" t="s">
        <v>244</v>
      </c>
      <c r="CC3826" t="s">
        <v>107</v>
      </c>
      <c r="CD3826">
        <v>6001</v>
      </c>
      <c r="CE3826" t="s">
        <v>147</v>
      </c>
      <c r="CI3826">
        <v>1</v>
      </c>
      <c r="CJ3826">
        <v>1</v>
      </c>
      <c r="CK3826">
        <v>21</v>
      </c>
      <c r="CL3826" t="s">
        <v>89</v>
      </c>
    </row>
    <row r="3827" spans="1:90">
      <c r="A3827" t="s">
        <v>72</v>
      </c>
      <c r="B3827" t="s">
        <v>73</v>
      </c>
      <c r="C3827" t="s">
        <v>74</v>
      </c>
      <c r="E3827" t="str">
        <f>"FES1162725517"</f>
        <v>FES1162725517</v>
      </c>
      <c r="F3827" s="3">
        <v>43797</v>
      </c>
      <c r="G3827">
        <v>202005</v>
      </c>
      <c r="H3827" t="s">
        <v>75</v>
      </c>
      <c r="I3827" t="s">
        <v>76</v>
      </c>
      <c r="J3827" t="s">
        <v>77</v>
      </c>
      <c r="K3827" t="s">
        <v>78</v>
      </c>
      <c r="L3827" t="s">
        <v>292</v>
      </c>
      <c r="M3827" t="s">
        <v>293</v>
      </c>
      <c r="N3827" t="s">
        <v>294</v>
      </c>
      <c r="O3827" t="s">
        <v>82</v>
      </c>
      <c r="P3827" t="str">
        <f>"2170719285                    "</f>
        <v xml:space="preserve">2170719285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16.63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 s="4">
        <v>97.75</v>
      </c>
      <c r="BM3827" s="4">
        <v>14.66</v>
      </c>
      <c r="BN3827" s="4">
        <v>112.41</v>
      </c>
      <c r="BO3827" s="4">
        <v>112.41</v>
      </c>
      <c r="BQ3827" t="s">
        <v>121</v>
      </c>
      <c r="BR3827" t="s">
        <v>84</v>
      </c>
      <c r="BS3827" s="3">
        <v>43798</v>
      </c>
      <c r="BT3827" s="5">
        <v>0.33333333333333331</v>
      </c>
      <c r="BU3827" t="s">
        <v>3424</v>
      </c>
      <c r="BV3827" t="s">
        <v>86</v>
      </c>
      <c r="BY3827">
        <v>1200</v>
      </c>
      <c r="CC3827" t="s">
        <v>293</v>
      </c>
      <c r="CD3827">
        <v>1947</v>
      </c>
      <c r="CE3827" t="s">
        <v>147</v>
      </c>
      <c r="CI3827">
        <v>1</v>
      </c>
      <c r="CJ3827">
        <v>1</v>
      </c>
      <c r="CK3827">
        <v>23</v>
      </c>
      <c r="CL3827" t="s">
        <v>89</v>
      </c>
    </row>
    <row r="3828" spans="1:90">
      <c r="A3828" t="s">
        <v>72</v>
      </c>
      <c r="B3828" t="s">
        <v>73</v>
      </c>
      <c r="C3828" t="s">
        <v>74</v>
      </c>
      <c r="E3828" t="str">
        <f>"FES116272566"</f>
        <v>FES116272566</v>
      </c>
      <c r="F3828" s="3">
        <v>43797</v>
      </c>
      <c r="G3828">
        <v>202005</v>
      </c>
      <c r="H3828" t="s">
        <v>75</v>
      </c>
      <c r="I3828" t="s">
        <v>76</v>
      </c>
      <c r="J3828" t="s">
        <v>77</v>
      </c>
      <c r="K3828" t="s">
        <v>78</v>
      </c>
      <c r="L3828" t="s">
        <v>106</v>
      </c>
      <c r="M3828" t="s">
        <v>107</v>
      </c>
      <c r="N3828" t="s">
        <v>324</v>
      </c>
      <c r="O3828" t="s">
        <v>82</v>
      </c>
      <c r="P3828" t="str">
        <f>"2170717576                    "</f>
        <v xml:space="preserve">2170717576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8.58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 s="4">
        <v>50.45</v>
      </c>
      <c r="BM3828" s="4">
        <v>7.57</v>
      </c>
      <c r="BN3828" s="4">
        <v>58.02</v>
      </c>
      <c r="BO3828" s="4">
        <v>58.02</v>
      </c>
      <c r="BQ3828" t="s">
        <v>121</v>
      </c>
      <c r="BR3828" t="s">
        <v>84</v>
      </c>
      <c r="BS3828" s="3">
        <v>43798</v>
      </c>
      <c r="BT3828" s="5">
        <v>0.3611111111111111</v>
      </c>
      <c r="BU3828" t="s">
        <v>325</v>
      </c>
      <c r="BV3828" t="s">
        <v>86</v>
      </c>
      <c r="BY3828">
        <v>1200</v>
      </c>
      <c r="CA3828" t="s">
        <v>111</v>
      </c>
      <c r="CC3828" t="s">
        <v>107</v>
      </c>
      <c r="CD3828">
        <v>6001</v>
      </c>
      <c r="CE3828" t="s">
        <v>147</v>
      </c>
      <c r="CI3828">
        <v>1</v>
      </c>
      <c r="CJ3828">
        <v>1</v>
      </c>
      <c r="CK3828">
        <v>21</v>
      </c>
      <c r="CL3828" t="s">
        <v>89</v>
      </c>
    </row>
    <row r="3829" spans="1:90">
      <c r="A3829" t="s">
        <v>72</v>
      </c>
      <c r="B3829" t="s">
        <v>73</v>
      </c>
      <c r="C3829" t="s">
        <v>74</v>
      </c>
      <c r="E3829" t="str">
        <f>"FES1162725759"</f>
        <v>FES1162725759</v>
      </c>
      <c r="F3829" s="3">
        <v>43797</v>
      </c>
      <c r="G3829">
        <v>202005</v>
      </c>
      <c r="H3829" t="s">
        <v>75</v>
      </c>
      <c r="I3829" t="s">
        <v>76</v>
      </c>
      <c r="J3829" t="s">
        <v>77</v>
      </c>
      <c r="K3829" t="s">
        <v>78</v>
      </c>
      <c r="L3829" t="s">
        <v>133</v>
      </c>
      <c r="M3829" t="s">
        <v>134</v>
      </c>
      <c r="N3829" t="s">
        <v>1751</v>
      </c>
      <c r="O3829" t="s">
        <v>82</v>
      </c>
      <c r="P3829" t="str">
        <f>"21707181365                   "</f>
        <v xml:space="preserve">21707181365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8.58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 s="4">
        <v>50.45</v>
      </c>
      <c r="BM3829" s="4">
        <v>7.57</v>
      </c>
      <c r="BN3829" s="4">
        <v>58.02</v>
      </c>
      <c r="BO3829" s="4">
        <v>58.02</v>
      </c>
      <c r="BQ3829" t="s">
        <v>121</v>
      </c>
      <c r="BR3829" t="s">
        <v>84</v>
      </c>
      <c r="BS3829" s="3">
        <v>43798</v>
      </c>
      <c r="BT3829" s="5">
        <v>0.37152777777777773</v>
      </c>
      <c r="BU3829" t="s">
        <v>3425</v>
      </c>
      <c r="BV3829" t="s">
        <v>86</v>
      </c>
      <c r="BY3829">
        <v>1200</v>
      </c>
      <c r="CA3829" t="s">
        <v>698</v>
      </c>
      <c r="CC3829" t="s">
        <v>134</v>
      </c>
      <c r="CD3829">
        <v>5201</v>
      </c>
      <c r="CE3829" t="s">
        <v>147</v>
      </c>
      <c r="CI3829">
        <v>1</v>
      </c>
      <c r="CJ3829">
        <v>1</v>
      </c>
      <c r="CK3829">
        <v>21</v>
      </c>
      <c r="CL3829" t="s">
        <v>89</v>
      </c>
    </row>
    <row r="3830" spans="1:90">
      <c r="A3830" t="s">
        <v>72</v>
      </c>
      <c r="B3830" t="s">
        <v>73</v>
      </c>
      <c r="C3830" t="s">
        <v>74</v>
      </c>
      <c r="E3830" t="str">
        <f>"FES1162725656"</f>
        <v>FES1162725656</v>
      </c>
      <c r="F3830" s="3">
        <v>43797</v>
      </c>
      <c r="G3830">
        <v>202005</v>
      </c>
      <c r="H3830" t="s">
        <v>75</v>
      </c>
      <c r="I3830" t="s">
        <v>76</v>
      </c>
      <c r="J3830" t="s">
        <v>77</v>
      </c>
      <c r="K3830" t="s">
        <v>78</v>
      </c>
      <c r="L3830" t="s">
        <v>95</v>
      </c>
      <c r="M3830" t="s">
        <v>96</v>
      </c>
      <c r="N3830" t="s">
        <v>2307</v>
      </c>
      <c r="O3830" t="s">
        <v>82</v>
      </c>
      <c r="P3830" t="str">
        <f>"2170719302                    "</f>
        <v xml:space="preserve">2170719302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6.71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 s="4">
        <v>39.42</v>
      </c>
      <c r="BM3830" s="4">
        <v>5.91</v>
      </c>
      <c r="BN3830" s="4">
        <v>45.33</v>
      </c>
      <c r="BO3830" s="4">
        <v>45.33</v>
      </c>
      <c r="BQ3830" t="s">
        <v>121</v>
      </c>
      <c r="BR3830" t="s">
        <v>84</v>
      </c>
      <c r="BS3830" s="3">
        <v>43798</v>
      </c>
      <c r="BT3830" s="5">
        <v>0.3888888888888889</v>
      </c>
      <c r="BU3830" t="s">
        <v>2309</v>
      </c>
      <c r="BV3830" t="s">
        <v>86</v>
      </c>
      <c r="BY3830">
        <v>1200</v>
      </c>
      <c r="CC3830" t="s">
        <v>96</v>
      </c>
      <c r="CD3830">
        <v>1451</v>
      </c>
      <c r="CE3830" t="s">
        <v>147</v>
      </c>
      <c r="CI3830">
        <v>1</v>
      </c>
      <c r="CJ3830">
        <v>1</v>
      </c>
      <c r="CK3830">
        <v>22</v>
      </c>
      <c r="CL3830" t="s">
        <v>89</v>
      </c>
    </row>
    <row r="3831" spans="1:90">
      <c r="A3831" t="s">
        <v>72</v>
      </c>
      <c r="B3831" t="s">
        <v>73</v>
      </c>
      <c r="C3831" t="s">
        <v>74</v>
      </c>
      <c r="E3831" t="str">
        <f>"FES1162725587"</f>
        <v>FES1162725587</v>
      </c>
      <c r="F3831" s="3">
        <v>43797</v>
      </c>
      <c r="G3831">
        <v>202005</v>
      </c>
      <c r="H3831" t="s">
        <v>75</v>
      </c>
      <c r="I3831" t="s">
        <v>76</v>
      </c>
      <c r="J3831" t="s">
        <v>77</v>
      </c>
      <c r="K3831" t="s">
        <v>78</v>
      </c>
      <c r="L3831" t="s">
        <v>825</v>
      </c>
      <c r="M3831" t="s">
        <v>826</v>
      </c>
      <c r="N3831" t="s">
        <v>2862</v>
      </c>
      <c r="O3831" t="s">
        <v>82</v>
      </c>
      <c r="P3831" t="str">
        <f>"2170717754                    "</f>
        <v xml:space="preserve">2170717754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12.07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 s="4">
        <v>70.95</v>
      </c>
      <c r="BM3831" s="4">
        <v>10.64</v>
      </c>
      <c r="BN3831" s="4">
        <v>81.59</v>
      </c>
      <c r="BO3831" s="4">
        <v>81.59</v>
      </c>
      <c r="BQ3831" t="s">
        <v>121</v>
      </c>
      <c r="BR3831" t="s">
        <v>84</v>
      </c>
      <c r="BS3831" s="3">
        <v>43798</v>
      </c>
      <c r="BT3831" s="5">
        <v>0.43611111111111112</v>
      </c>
      <c r="BU3831" t="s">
        <v>2863</v>
      </c>
      <c r="BV3831" t="s">
        <v>86</v>
      </c>
      <c r="BY3831">
        <v>1200</v>
      </c>
      <c r="CC3831" t="s">
        <v>826</v>
      </c>
      <c r="CD3831">
        <v>1759</v>
      </c>
      <c r="CE3831" t="s">
        <v>147</v>
      </c>
      <c r="CI3831">
        <v>1</v>
      </c>
      <c r="CJ3831">
        <v>1</v>
      </c>
      <c r="CK3831">
        <v>24</v>
      </c>
      <c r="CL3831" t="s">
        <v>89</v>
      </c>
    </row>
    <row r="3832" spans="1:90">
      <c r="A3832" t="s">
        <v>72</v>
      </c>
      <c r="B3832" t="s">
        <v>73</v>
      </c>
      <c r="C3832" t="s">
        <v>74</v>
      </c>
      <c r="E3832" t="str">
        <f>"FES1162725731"</f>
        <v>FES1162725731</v>
      </c>
      <c r="F3832" s="3">
        <v>43797</v>
      </c>
      <c r="G3832">
        <v>202005</v>
      </c>
      <c r="H3832" t="s">
        <v>75</v>
      </c>
      <c r="I3832" t="s">
        <v>76</v>
      </c>
      <c r="J3832" t="s">
        <v>77</v>
      </c>
      <c r="K3832" t="s">
        <v>78</v>
      </c>
      <c r="L3832" t="s">
        <v>106</v>
      </c>
      <c r="M3832" t="s">
        <v>107</v>
      </c>
      <c r="N3832" t="s">
        <v>150</v>
      </c>
      <c r="O3832" t="s">
        <v>82</v>
      </c>
      <c r="P3832" t="str">
        <f>"217071722                     "</f>
        <v xml:space="preserve">217071722 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8.58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 s="4">
        <v>50.45</v>
      </c>
      <c r="BM3832" s="4">
        <v>7.57</v>
      </c>
      <c r="BN3832" s="4">
        <v>58.02</v>
      </c>
      <c r="BO3832" s="4">
        <v>58.02</v>
      </c>
      <c r="BQ3832" t="s">
        <v>109</v>
      </c>
      <c r="BR3832" t="s">
        <v>84</v>
      </c>
      <c r="BS3832" s="3">
        <v>43798</v>
      </c>
      <c r="BT3832" s="5">
        <v>0.3666666666666667</v>
      </c>
      <c r="BU3832" t="s">
        <v>151</v>
      </c>
      <c r="BV3832" t="s">
        <v>86</v>
      </c>
      <c r="BY3832">
        <v>1200</v>
      </c>
      <c r="CA3832" t="s">
        <v>111</v>
      </c>
      <c r="CC3832" t="s">
        <v>107</v>
      </c>
      <c r="CD3832">
        <v>6001</v>
      </c>
      <c r="CE3832" t="s">
        <v>147</v>
      </c>
      <c r="CI3832">
        <v>1</v>
      </c>
      <c r="CJ3832">
        <v>1</v>
      </c>
      <c r="CK3832">
        <v>21</v>
      </c>
      <c r="CL3832" t="s">
        <v>89</v>
      </c>
    </row>
    <row r="3833" spans="1:90">
      <c r="A3833" t="s">
        <v>72</v>
      </c>
      <c r="B3833" t="s">
        <v>73</v>
      </c>
      <c r="C3833" t="s">
        <v>74</v>
      </c>
      <c r="E3833" t="str">
        <f>"FES1162725673"</f>
        <v>FES1162725673</v>
      </c>
      <c r="F3833" s="3">
        <v>43797</v>
      </c>
      <c r="G3833">
        <v>202005</v>
      </c>
      <c r="H3833" t="s">
        <v>75</v>
      </c>
      <c r="I3833" t="s">
        <v>76</v>
      </c>
      <c r="J3833" t="s">
        <v>77</v>
      </c>
      <c r="K3833" t="s">
        <v>78</v>
      </c>
      <c r="L3833" t="s">
        <v>106</v>
      </c>
      <c r="M3833" t="s">
        <v>107</v>
      </c>
      <c r="N3833" t="s">
        <v>150</v>
      </c>
      <c r="O3833" t="s">
        <v>82</v>
      </c>
      <c r="P3833" t="str">
        <f>"2170719311                    "</f>
        <v xml:space="preserve">2170719311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8.58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 s="4">
        <v>50.45</v>
      </c>
      <c r="BM3833" s="4">
        <v>7.57</v>
      </c>
      <c r="BN3833" s="4">
        <v>58.02</v>
      </c>
      <c r="BO3833" s="4">
        <v>58.02</v>
      </c>
      <c r="BQ3833" t="s">
        <v>109</v>
      </c>
      <c r="BR3833" t="s">
        <v>84</v>
      </c>
      <c r="BS3833" s="3">
        <v>43798</v>
      </c>
      <c r="BT3833" s="5">
        <v>0.3666666666666667</v>
      </c>
      <c r="BU3833" t="s">
        <v>151</v>
      </c>
      <c r="BV3833" t="s">
        <v>86</v>
      </c>
      <c r="BY3833">
        <v>1200</v>
      </c>
      <c r="CA3833" t="s">
        <v>111</v>
      </c>
      <c r="CC3833" t="s">
        <v>107</v>
      </c>
      <c r="CD3833">
        <v>6001</v>
      </c>
      <c r="CE3833" t="s">
        <v>147</v>
      </c>
      <c r="CI3833">
        <v>1</v>
      </c>
      <c r="CJ3833">
        <v>1</v>
      </c>
      <c r="CK3833">
        <v>21</v>
      </c>
      <c r="CL3833" t="s">
        <v>89</v>
      </c>
    </row>
    <row r="3834" spans="1:90">
      <c r="A3834" t="s">
        <v>72</v>
      </c>
      <c r="B3834" t="s">
        <v>73</v>
      </c>
      <c r="C3834" t="s">
        <v>74</v>
      </c>
      <c r="E3834" t="str">
        <f>"FES1162725693"</f>
        <v>FES1162725693</v>
      </c>
      <c r="F3834" s="3">
        <v>43797</v>
      </c>
      <c r="G3834">
        <v>202005</v>
      </c>
      <c r="H3834" t="s">
        <v>75</v>
      </c>
      <c r="I3834" t="s">
        <v>76</v>
      </c>
      <c r="J3834" t="s">
        <v>77</v>
      </c>
      <c r="K3834" t="s">
        <v>78</v>
      </c>
      <c r="L3834" t="s">
        <v>133</v>
      </c>
      <c r="M3834" t="s">
        <v>134</v>
      </c>
      <c r="N3834" t="s">
        <v>310</v>
      </c>
      <c r="O3834" t="s">
        <v>82</v>
      </c>
      <c r="P3834" t="str">
        <f>"2170717390                    "</f>
        <v xml:space="preserve">2170717390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8.58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 s="4">
        <v>50.45</v>
      </c>
      <c r="BM3834" s="4">
        <v>7.57</v>
      </c>
      <c r="BN3834" s="4">
        <v>58.02</v>
      </c>
      <c r="BO3834" s="4">
        <v>58.02</v>
      </c>
      <c r="BQ3834" t="s">
        <v>121</v>
      </c>
      <c r="BR3834" t="s">
        <v>84</v>
      </c>
      <c r="BS3834" s="3">
        <v>43798</v>
      </c>
      <c r="BT3834" s="5">
        <v>0.43333333333333335</v>
      </c>
      <c r="BU3834" t="s">
        <v>911</v>
      </c>
      <c r="BV3834" t="s">
        <v>86</v>
      </c>
      <c r="BY3834">
        <v>1200</v>
      </c>
      <c r="CA3834" t="s">
        <v>137</v>
      </c>
      <c r="CC3834" t="s">
        <v>134</v>
      </c>
      <c r="CD3834">
        <v>5201</v>
      </c>
      <c r="CE3834" t="s">
        <v>147</v>
      </c>
      <c r="CI3834">
        <v>1</v>
      </c>
      <c r="CJ3834">
        <v>1</v>
      </c>
      <c r="CK3834">
        <v>21</v>
      </c>
      <c r="CL3834" t="s">
        <v>89</v>
      </c>
    </row>
    <row r="3835" spans="1:90">
      <c r="A3835" t="s">
        <v>72</v>
      </c>
      <c r="B3835" t="s">
        <v>73</v>
      </c>
      <c r="C3835" t="s">
        <v>74</v>
      </c>
      <c r="E3835" t="str">
        <f>"FES1162725623"</f>
        <v>FES1162725623</v>
      </c>
      <c r="F3835" s="3">
        <v>43797</v>
      </c>
      <c r="G3835">
        <v>202005</v>
      </c>
      <c r="H3835" t="s">
        <v>75</v>
      </c>
      <c r="I3835" t="s">
        <v>76</v>
      </c>
      <c r="J3835" t="s">
        <v>77</v>
      </c>
      <c r="K3835" t="s">
        <v>78</v>
      </c>
      <c r="L3835" t="s">
        <v>106</v>
      </c>
      <c r="M3835" t="s">
        <v>107</v>
      </c>
      <c r="N3835" t="s">
        <v>150</v>
      </c>
      <c r="O3835" t="s">
        <v>82</v>
      </c>
      <c r="P3835" t="str">
        <f>"2170718612                    "</f>
        <v xml:space="preserve">2170718612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8.58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 s="4">
        <v>50.45</v>
      </c>
      <c r="BM3835" s="4">
        <v>7.57</v>
      </c>
      <c r="BN3835" s="4">
        <v>58.02</v>
      </c>
      <c r="BO3835" s="4">
        <v>58.02</v>
      </c>
      <c r="BQ3835" t="s">
        <v>109</v>
      </c>
      <c r="BR3835" t="s">
        <v>84</v>
      </c>
      <c r="BS3835" s="3">
        <v>43798</v>
      </c>
      <c r="BT3835" s="5">
        <v>0.3666666666666667</v>
      </c>
      <c r="BU3835" t="s">
        <v>151</v>
      </c>
      <c r="BV3835" t="s">
        <v>86</v>
      </c>
      <c r="BY3835">
        <v>1200</v>
      </c>
      <c r="CA3835" t="s">
        <v>111</v>
      </c>
      <c r="CC3835" t="s">
        <v>107</v>
      </c>
      <c r="CD3835">
        <v>6001</v>
      </c>
      <c r="CE3835" t="s">
        <v>147</v>
      </c>
      <c r="CI3835">
        <v>1</v>
      </c>
      <c r="CJ3835">
        <v>1</v>
      </c>
      <c r="CK3835">
        <v>21</v>
      </c>
      <c r="CL3835" t="s">
        <v>89</v>
      </c>
    </row>
    <row r="3836" spans="1:90">
      <c r="A3836" t="s">
        <v>72</v>
      </c>
      <c r="B3836" t="s">
        <v>73</v>
      </c>
      <c r="C3836" t="s">
        <v>74</v>
      </c>
      <c r="E3836" t="str">
        <f>"FES1162725784"</f>
        <v>FES1162725784</v>
      </c>
      <c r="F3836" s="3">
        <v>43797</v>
      </c>
      <c r="G3836">
        <v>202005</v>
      </c>
      <c r="H3836" t="s">
        <v>75</v>
      </c>
      <c r="I3836" t="s">
        <v>76</v>
      </c>
      <c r="J3836" t="s">
        <v>77</v>
      </c>
      <c r="K3836" t="s">
        <v>78</v>
      </c>
      <c r="L3836" t="s">
        <v>133</v>
      </c>
      <c r="M3836" t="s">
        <v>134</v>
      </c>
      <c r="N3836" t="s">
        <v>310</v>
      </c>
      <c r="O3836" t="s">
        <v>82</v>
      </c>
      <c r="P3836" t="str">
        <f>"2170719348                    "</f>
        <v xml:space="preserve">2170719348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8.58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 s="4">
        <v>50.45</v>
      </c>
      <c r="BM3836" s="4">
        <v>7.57</v>
      </c>
      <c r="BN3836" s="4">
        <v>58.02</v>
      </c>
      <c r="BO3836" s="4">
        <v>58.02</v>
      </c>
      <c r="BQ3836" t="s">
        <v>121</v>
      </c>
      <c r="BR3836" t="s">
        <v>84</v>
      </c>
      <c r="BS3836" s="3">
        <v>43798</v>
      </c>
      <c r="BT3836" s="5">
        <v>0.43402777777777773</v>
      </c>
      <c r="BU3836" t="s">
        <v>911</v>
      </c>
      <c r="BV3836" t="s">
        <v>86</v>
      </c>
      <c r="BY3836">
        <v>1200</v>
      </c>
      <c r="CA3836" t="s">
        <v>137</v>
      </c>
      <c r="CC3836" t="s">
        <v>134</v>
      </c>
      <c r="CD3836">
        <v>5201</v>
      </c>
      <c r="CE3836" t="s">
        <v>147</v>
      </c>
      <c r="CI3836">
        <v>1</v>
      </c>
      <c r="CJ3836">
        <v>1</v>
      </c>
      <c r="CK3836">
        <v>21</v>
      </c>
      <c r="CL3836" t="s">
        <v>89</v>
      </c>
    </row>
    <row r="3837" spans="1:90">
      <c r="A3837" t="s">
        <v>72</v>
      </c>
      <c r="B3837" t="s">
        <v>73</v>
      </c>
      <c r="C3837" t="s">
        <v>74</v>
      </c>
      <c r="E3837" t="str">
        <f>"FES1162725512"</f>
        <v>FES1162725512</v>
      </c>
      <c r="F3837" s="3">
        <v>43797</v>
      </c>
      <c r="G3837">
        <v>202005</v>
      </c>
      <c r="H3837" t="s">
        <v>75</v>
      </c>
      <c r="I3837" t="s">
        <v>76</v>
      </c>
      <c r="J3837" t="s">
        <v>77</v>
      </c>
      <c r="K3837" t="s">
        <v>78</v>
      </c>
      <c r="L3837" t="s">
        <v>3426</v>
      </c>
      <c r="M3837" t="s">
        <v>3427</v>
      </c>
      <c r="N3837" t="s">
        <v>3428</v>
      </c>
      <c r="O3837" t="s">
        <v>82</v>
      </c>
      <c r="P3837" t="str">
        <f>"2170719288                    "</f>
        <v xml:space="preserve">2170719288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27.9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1.8</v>
      </c>
      <c r="BJ3837">
        <v>3.1</v>
      </c>
      <c r="BK3837">
        <v>3.5</v>
      </c>
      <c r="BL3837" s="4">
        <v>163.98</v>
      </c>
      <c r="BM3837" s="4">
        <v>24.6</v>
      </c>
      <c r="BN3837" s="4">
        <v>188.58</v>
      </c>
      <c r="BO3837" s="4">
        <v>188.58</v>
      </c>
      <c r="BQ3837" t="s">
        <v>187</v>
      </c>
      <c r="BR3837" t="s">
        <v>84</v>
      </c>
      <c r="BS3837" s="3">
        <v>43798</v>
      </c>
      <c r="BT3837" s="5">
        <v>0.48541666666666666</v>
      </c>
      <c r="BU3837" t="s">
        <v>3380</v>
      </c>
      <c r="BV3837" t="s">
        <v>86</v>
      </c>
      <c r="BY3837">
        <v>15540.17</v>
      </c>
      <c r="CA3837" t="s">
        <v>1364</v>
      </c>
      <c r="CC3837" t="s">
        <v>3427</v>
      </c>
      <c r="CD3837">
        <v>7139</v>
      </c>
      <c r="CE3837" t="s">
        <v>88</v>
      </c>
      <c r="CI3837">
        <v>1</v>
      </c>
      <c r="CJ3837">
        <v>1</v>
      </c>
      <c r="CK3837">
        <v>23</v>
      </c>
      <c r="CL3837" t="s">
        <v>89</v>
      </c>
    </row>
    <row r="3838" spans="1:90">
      <c r="A3838" t="s">
        <v>72</v>
      </c>
      <c r="B3838" t="s">
        <v>73</v>
      </c>
      <c r="C3838" t="s">
        <v>74</v>
      </c>
      <c r="E3838" t="str">
        <f>"FES1162725773"</f>
        <v>FES1162725773</v>
      </c>
      <c r="F3838" s="3">
        <v>43797</v>
      </c>
      <c r="G3838">
        <v>202005</v>
      </c>
      <c r="H3838" t="s">
        <v>75</v>
      </c>
      <c r="I3838" t="s">
        <v>76</v>
      </c>
      <c r="J3838" t="s">
        <v>77</v>
      </c>
      <c r="K3838" t="s">
        <v>78</v>
      </c>
      <c r="L3838" t="s">
        <v>339</v>
      </c>
      <c r="M3838" t="s">
        <v>340</v>
      </c>
      <c r="N3838" t="s">
        <v>565</v>
      </c>
      <c r="O3838" t="s">
        <v>82</v>
      </c>
      <c r="P3838" t="str">
        <f>"2170718821                    "</f>
        <v xml:space="preserve">2170718821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8.58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 s="4">
        <v>50.45</v>
      </c>
      <c r="BM3838" s="4">
        <v>7.57</v>
      </c>
      <c r="BN3838" s="4">
        <v>58.02</v>
      </c>
      <c r="BO3838" s="4">
        <v>58.02</v>
      </c>
      <c r="BQ3838" t="s">
        <v>121</v>
      </c>
      <c r="BR3838" t="s">
        <v>84</v>
      </c>
      <c r="BS3838" s="3">
        <v>43798</v>
      </c>
      <c r="BT3838" s="5">
        <v>0.39930555555555558</v>
      </c>
      <c r="BU3838" t="s">
        <v>342</v>
      </c>
      <c r="BV3838" t="s">
        <v>86</v>
      </c>
      <c r="BY3838">
        <v>1200</v>
      </c>
      <c r="CA3838" t="s">
        <v>343</v>
      </c>
      <c r="CC3838" t="s">
        <v>340</v>
      </c>
      <c r="CD3838">
        <v>46</v>
      </c>
      <c r="CE3838" t="s">
        <v>147</v>
      </c>
      <c r="CI3838">
        <v>1</v>
      </c>
      <c r="CJ3838">
        <v>1</v>
      </c>
      <c r="CK3838">
        <v>21</v>
      </c>
      <c r="CL3838" t="s">
        <v>89</v>
      </c>
    </row>
    <row r="3839" spans="1:90">
      <c r="A3839" t="s">
        <v>72</v>
      </c>
      <c r="B3839" t="s">
        <v>73</v>
      </c>
      <c r="C3839" t="s">
        <v>74</v>
      </c>
      <c r="E3839" t="str">
        <f>"FES1162725545"</f>
        <v>FES1162725545</v>
      </c>
      <c r="F3839" s="3">
        <v>43797</v>
      </c>
      <c r="G3839">
        <v>202005</v>
      </c>
      <c r="H3839" t="s">
        <v>75</v>
      </c>
      <c r="I3839" t="s">
        <v>76</v>
      </c>
      <c r="J3839" t="s">
        <v>77</v>
      </c>
      <c r="K3839" t="s">
        <v>78</v>
      </c>
      <c r="L3839" t="s">
        <v>917</v>
      </c>
      <c r="M3839" t="s">
        <v>918</v>
      </c>
      <c r="N3839" t="s">
        <v>2754</v>
      </c>
      <c r="O3839" t="s">
        <v>82</v>
      </c>
      <c r="P3839" t="str">
        <f>"217071305                     "</f>
        <v xml:space="preserve">217071305 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20.89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3.2</v>
      </c>
      <c r="BJ3839">
        <v>2</v>
      </c>
      <c r="BK3839">
        <v>3.5</v>
      </c>
      <c r="BL3839" s="4">
        <v>122.79</v>
      </c>
      <c r="BM3839" s="4">
        <v>18.420000000000002</v>
      </c>
      <c r="BN3839" s="4">
        <v>141.21</v>
      </c>
      <c r="BO3839" s="4">
        <v>141.21</v>
      </c>
      <c r="BQ3839" t="s">
        <v>2755</v>
      </c>
      <c r="BR3839" t="s">
        <v>84</v>
      </c>
      <c r="BS3839" s="3">
        <v>43798</v>
      </c>
      <c r="BT3839" s="5">
        <v>0.34583333333333338</v>
      </c>
      <c r="BU3839" t="s">
        <v>3429</v>
      </c>
      <c r="BV3839" t="s">
        <v>86</v>
      </c>
      <c r="BY3839">
        <v>10237.75</v>
      </c>
      <c r="CA3839" t="s">
        <v>2710</v>
      </c>
      <c r="CC3839" t="s">
        <v>918</v>
      </c>
      <c r="CD3839">
        <v>2210</v>
      </c>
      <c r="CE3839" t="s">
        <v>88</v>
      </c>
      <c r="CI3839">
        <v>1</v>
      </c>
      <c r="CJ3839">
        <v>1</v>
      </c>
      <c r="CK3839">
        <v>24</v>
      </c>
      <c r="CL3839" t="s">
        <v>89</v>
      </c>
    </row>
    <row r="3840" spans="1:90">
      <c r="A3840" t="s">
        <v>72</v>
      </c>
      <c r="B3840" t="s">
        <v>73</v>
      </c>
      <c r="C3840" t="s">
        <v>74</v>
      </c>
      <c r="E3840" t="str">
        <f>"019911311453"</f>
        <v>019911311453</v>
      </c>
      <c r="F3840" s="3">
        <v>43797</v>
      </c>
      <c r="G3840">
        <v>202005</v>
      </c>
      <c r="H3840" t="s">
        <v>90</v>
      </c>
      <c r="I3840" t="s">
        <v>91</v>
      </c>
      <c r="J3840" t="s">
        <v>3430</v>
      </c>
      <c r="K3840" t="s">
        <v>78</v>
      </c>
      <c r="L3840" t="s">
        <v>75</v>
      </c>
      <c r="M3840" t="s">
        <v>76</v>
      </c>
      <c r="N3840" t="s">
        <v>1014</v>
      </c>
      <c r="O3840" t="s">
        <v>82</v>
      </c>
      <c r="P3840" t="str">
        <f>"1703                          "</f>
        <v xml:space="preserve">1703      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167.26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17.7</v>
      </c>
      <c r="BJ3840">
        <v>38.700000000000003</v>
      </c>
      <c r="BK3840">
        <v>39</v>
      </c>
      <c r="BL3840" s="4">
        <v>983.17</v>
      </c>
      <c r="BM3840" s="4">
        <v>147.47999999999999</v>
      </c>
      <c r="BN3840" s="4">
        <v>1130.6500000000001</v>
      </c>
      <c r="BO3840" s="4">
        <v>1130.6500000000001</v>
      </c>
      <c r="BQ3840" t="s">
        <v>1015</v>
      </c>
      <c r="BR3840" t="s">
        <v>1011</v>
      </c>
      <c r="BS3840" s="3">
        <v>43798</v>
      </c>
      <c r="BT3840" s="5">
        <v>0.33333333333333331</v>
      </c>
      <c r="BU3840" t="s">
        <v>3221</v>
      </c>
      <c r="BV3840" t="s">
        <v>86</v>
      </c>
      <c r="BY3840">
        <v>193477.68</v>
      </c>
      <c r="BZ3840" t="s">
        <v>27</v>
      </c>
      <c r="CC3840" t="s">
        <v>76</v>
      </c>
      <c r="CD3840">
        <v>1619</v>
      </c>
      <c r="CE3840" t="s">
        <v>1598</v>
      </c>
      <c r="CI3840">
        <v>1</v>
      </c>
      <c r="CJ3840">
        <v>1</v>
      </c>
      <c r="CK3840">
        <v>21</v>
      </c>
      <c r="CL3840" t="s">
        <v>89</v>
      </c>
    </row>
    <row r="3841" spans="1:90">
      <c r="A3841" t="s">
        <v>72</v>
      </c>
      <c r="B3841" t="s">
        <v>73</v>
      </c>
      <c r="C3841" t="s">
        <v>74</v>
      </c>
      <c r="E3841" t="str">
        <f>"FES1162725706"</f>
        <v>FES1162725706</v>
      </c>
      <c r="F3841" s="3">
        <v>43797</v>
      </c>
      <c r="G3841">
        <v>202005</v>
      </c>
      <c r="H3841" t="s">
        <v>75</v>
      </c>
      <c r="I3841" t="s">
        <v>76</v>
      </c>
      <c r="J3841" t="s">
        <v>77</v>
      </c>
      <c r="K3841" t="s">
        <v>78</v>
      </c>
      <c r="L3841" t="s">
        <v>90</v>
      </c>
      <c r="M3841" t="s">
        <v>91</v>
      </c>
      <c r="N3841" t="s">
        <v>1854</v>
      </c>
      <c r="O3841" t="s">
        <v>82</v>
      </c>
      <c r="P3841" t="str">
        <f>"2170719333                    "</f>
        <v xml:space="preserve">2170719333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8.58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0.8</v>
      </c>
      <c r="BJ3841">
        <v>1</v>
      </c>
      <c r="BK3841">
        <v>1</v>
      </c>
      <c r="BL3841" s="4">
        <v>50.45</v>
      </c>
      <c r="BM3841" s="4">
        <v>7.57</v>
      </c>
      <c r="BN3841" s="4">
        <v>58.02</v>
      </c>
      <c r="BO3841" s="4">
        <v>58.02</v>
      </c>
      <c r="BQ3841" t="s">
        <v>109</v>
      </c>
      <c r="BR3841" t="s">
        <v>84</v>
      </c>
      <c r="BS3841" s="3">
        <v>43798</v>
      </c>
      <c r="BT3841" s="5">
        <v>0.39861111111111108</v>
      </c>
      <c r="BU3841" t="s">
        <v>335</v>
      </c>
      <c r="BV3841" t="s">
        <v>86</v>
      </c>
      <c r="BY3841">
        <v>4887.6400000000003</v>
      </c>
      <c r="CA3841" t="s">
        <v>680</v>
      </c>
      <c r="CC3841" t="s">
        <v>91</v>
      </c>
      <c r="CD3841">
        <v>7480</v>
      </c>
      <c r="CE3841" t="s">
        <v>88</v>
      </c>
      <c r="CI3841">
        <v>1</v>
      </c>
      <c r="CJ3841">
        <v>1</v>
      </c>
      <c r="CK3841">
        <v>21</v>
      </c>
      <c r="CL3841" t="s">
        <v>89</v>
      </c>
    </row>
    <row r="3842" spans="1:90">
      <c r="A3842" t="s">
        <v>72</v>
      </c>
      <c r="B3842" t="s">
        <v>73</v>
      </c>
      <c r="C3842" t="s">
        <v>74</v>
      </c>
      <c r="E3842" t="str">
        <f>"FES1162725539"</f>
        <v>FES1162725539</v>
      </c>
      <c r="F3842" s="3">
        <v>43797</v>
      </c>
      <c r="G3842">
        <v>202005</v>
      </c>
      <c r="H3842" t="s">
        <v>75</v>
      </c>
      <c r="I3842" t="s">
        <v>76</v>
      </c>
      <c r="J3842" t="s">
        <v>77</v>
      </c>
      <c r="K3842" t="s">
        <v>78</v>
      </c>
      <c r="L3842" t="s">
        <v>691</v>
      </c>
      <c r="M3842" t="s">
        <v>692</v>
      </c>
      <c r="N3842" t="s">
        <v>521</v>
      </c>
      <c r="O3842" t="s">
        <v>82</v>
      </c>
      <c r="P3842" t="str">
        <f>"2170717128                    "</f>
        <v xml:space="preserve">2170717128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6.71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 s="4">
        <v>39.42</v>
      </c>
      <c r="BM3842" s="4">
        <v>5.91</v>
      </c>
      <c r="BN3842" s="4">
        <v>45.33</v>
      </c>
      <c r="BO3842" s="4">
        <v>45.33</v>
      </c>
      <c r="BQ3842" t="s">
        <v>109</v>
      </c>
      <c r="BR3842" t="s">
        <v>84</v>
      </c>
      <c r="BS3842" s="3">
        <v>43798</v>
      </c>
      <c r="BT3842" s="5">
        <v>0.41666666666666669</v>
      </c>
      <c r="BU3842" t="s">
        <v>3350</v>
      </c>
      <c r="BV3842" t="s">
        <v>86</v>
      </c>
      <c r="BY3842">
        <v>1200</v>
      </c>
      <c r="CC3842" t="s">
        <v>692</v>
      </c>
      <c r="CD3842">
        <v>1559</v>
      </c>
      <c r="CE3842" t="s">
        <v>147</v>
      </c>
      <c r="CI3842">
        <v>1</v>
      </c>
      <c r="CJ3842">
        <v>1</v>
      </c>
      <c r="CK3842">
        <v>22</v>
      </c>
      <c r="CL3842" t="s">
        <v>89</v>
      </c>
    </row>
    <row r="3843" spans="1:90">
      <c r="A3843" t="s">
        <v>72</v>
      </c>
      <c r="B3843" t="s">
        <v>73</v>
      </c>
      <c r="C3843" t="s">
        <v>74</v>
      </c>
      <c r="E3843" t="str">
        <f>"009939512500"</f>
        <v>009939512500</v>
      </c>
      <c r="F3843" s="3">
        <v>43797</v>
      </c>
      <c r="G3843">
        <v>202005</v>
      </c>
      <c r="H3843" t="s">
        <v>90</v>
      </c>
      <c r="I3843" t="s">
        <v>91</v>
      </c>
      <c r="J3843" t="s">
        <v>211</v>
      </c>
      <c r="K3843" t="s">
        <v>78</v>
      </c>
      <c r="L3843" t="s">
        <v>106</v>
      </c>
      <c r="M3843" t="s">
        <v>107</v>
      </c>
      <c r="N3843" t="s">
        <v>211</v>
      </c>
      <c r="O3843" t="s">
        <v>82</v>
      </c>
      <c r="P3843" t="str">
        <f>"1703                          "</f>
        <v xml:space="preserve">1703      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8.58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1.5</v>
      </c>
      <c r="BJ3843">
        <v>1.7</v>
      </c>
      <c r="BK3843">
        <v>2</v>
      </c>
      <c r="BL3843" s="4">
        <v>50.45</v>
      </c>
      <c r="BM3843" s="4">
        <v>7.57</v>
      </c>
      <c r="BN3843" s="4">
        <v>58.02</v>
      </c>
      <c r="BO3843" s="4">
        <v>58.02</v>
      </c>
      <c r="BQ3843" t="s">
        <v>3431</v>
      </c>
      <c r="BR3843" t="s">
        <v>1011</v>
      </c>
      <c r="BS3843" s="3">
        <v>43798</v>
      </c>
      <c r="BT3843" s="5">
        <v>0.3298611111111111</v>
      </c>
      <c r="BU3843" t="s">
        <v>3432</v>
      </c>
      <c r="BV3843" t="s">
        <v>86</v>
      </c>
      <c r="BY3843">
        <v>8736</v>
      </c>
      <c r="BZ3843" t="s">
        <v>27</v>
      </c>
      <c r="CA3843" t="s">
        <v>244</v>
      </c>
      <c r="CC3843" t="s">
        <v>107</v>
      </c>
      <c r="CD3843">
        <v>6001</v>
      </c>
      <c r="CE3843" t="s">
        <v>1598</v>
      </c>
      <c r="CI3843">
        <v>1</v>
      </c>
      <c r="CJ3843">
        <v>1</v>
      </c>
      <c r="CK3843">
        <v>21</v>
      </c>
      <c r="CL3843" t="s">
        <v>89</v>
      </c>
    </row>
    <row r="3844" spans="1:90">
      <c r="A3844" t="s">
        <v>72</v>
      </c>
      <c r="B3844" t="s">
        <v>73</v>
      </c>
      <c r="C3844" t="s">
        <v>74</v>
      </c>
      <c r="E3844" t="str">
        <f>"FES1162725682"</f>
        <v>FES1162725682</v>
      </c>
      <c r="F3844" s="3">
        <v>43797</v>
      </c>
      <c r="G3844">
        <v>202005</v>
      </c>
      <c r="H3844" t="s">
        <v>75</v>
      </c>
      <c r="I3844" t="s">
        <v>76</v>
      </c>
      <c r="J3844" t="s">
        <v>77</v>
      </c>
      <c r="K3844" t="s">
        <v>78</v>
      </c>
      <c r="L3844" t="s">
        <v>112</v>
      </c>
      <c r="M3844" t="s">
        <v>113</v>
      </c>
      <c r="N3844" t="s">
        <v>3433</v>
      </c>
      <c r="O3844" t="s">
        <v>82</v>
      </c>
      <c r="P3844" t="str">
        <f>"2170715106                    "</f>
        <v xml:space="preserve">2170715106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27.88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6.4</v>
      </c>
      <c r="BJ3844">
        <v>3.9</v>
      </c>
      <c r="BK3844">
        <v>6.5</v>
      </c>
      <c r="BL3844" s="4">
        <v>163.89</v>
      </c>
      <c r="BM3844" s="4">
        <v>24.58</v>
      </c>
      <c r="BN3844" s="4">
        <v>188.47</v>
      </c>
      <c r="BO3844" s="4">
        <v>188.47</v>
      </c>
      <c r="BQ3844" t="s">
        <v>142</v>
      </c>
      <c r="BR3844" t="s">
        <v>84</v>
      </c>
      <c r="BS3844" s="3">
        <v>43798</v>
      </c>
      <c r="BT3844" s="5">
        <v>0.37986111111111115</v>
      </c>
      <c r="BU3844" t="s">
        <v>3434</v>
      </c>
      <c r="BV3844" t="s">
        <v>86</v>
      </c>
      <c r="BY3844">
        <v>19651.37</v>
      </c>
      <c r="CA3844" t="s">
        <v>448</v>
      </c>
      <c r="CC3844" t="s">
        <v>113</v>
      </c>
      <c r="CD3844">
        <v>4302</v>
      </c>
      <c r="CE3844" t="s">
        <v>88</v>
      </c>
      <c r="CI3844">
        <v>1</v>
      </c>
      <c r="CJ3844">
        <v>1</v>
      </c>
      <c r="CK3844">
        <v>21</v>
      </c>
      <c r="CL3844" t="s">
        <v>89</v>
      </c>
    </row>
    <row r="3845" spans="1:90">
      <c r="A3845" t="s">
        <v>72</v>
      </c>
      <c r="B3845" t="s">
        <v>73</v>
      </c>
      <c r="C3845" t="s">
        <v>74</v>
      </c>
      <c r="E3845" t="str">
        <f>"FES1162725768"</f>
        <v>FES1162725768</v>
      </c>
      <c r="F3845" s="3">
        <v>43797</v>
      </c>
      <c r="G3845">
        <v>202005</v>
      </c>
      <c r="H3845" t="s">
        <v>75</v>
      </c>
      <c r="I3845" t="s">
        <v>76</v>
      </c>
      <c r="J3845" t="s">
        <v>77</v>
      </c>
      <c r="K3845" t="s">
        <v>78</v>
      </c>
      <c r="L3845" t="s">
        <v>124</v>
      </c>
      <c r="M3845" t="s">
        <v>125</v>
      </c>
      <c r="N3845" t="s">
        <v>218</v>
      </c>
      <c r="O3845" t="s">
        <v>82</v>
      </c>
      <c r="P3845" t="str">
        <f>"2170718689                    "</f>
        <v xml:space="preserve">2170718689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6.71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 s="4">
        <v>39.42</v>
      </c>
      <c r="BM3845" s="4">
        <v>5.91</v>
      </c>
      <c r="BN3845" s="4">
        <v>45.33</v>
      </c>
      <c r="BO3845" s="4">
        <v>45.33</v>
      </c>
      <c r="BQ3845" t="s">
        <v>121</v>
      </c>
      <c r="BR3845" t="s">
        <v>84</v>
      </c>
      <c r="BS3845" s="3">
        <v>43798</v>
      </c>
      <c r="BT3845" s="5">
        <v>0.42708333333333331</v>
      </c>
      <c r="BU3845" t="s">
        <v>3435</v>
      </c>
      <c r="BV3845" t="s">
        <v>86</v>
      </c>
      <c r="BY3845">
        <v>1200</v>
      </c>
      <c r="CA3845" t="s">
        <v>837</v>
      </c>
      <c r="CC3845" t="s">
        <v>125</v>
      </c>
      <c r="CD3845">
        <v>2094</v>
      </c>
      <c r="CE3845" t="s">
        <v>147</v>
      </c>
      <c r="CI3845">
        <v>1</v>
      </c>
      <c r="CJ3845">
        <v>1</v>
      </c>
      <c r="CK3845">
        <v>22</v>
      </c>
      <c r="CL3845" t="s">
        <v>89</v>
      </c>
    </row>
    <row r="3846" spans="1:90">
      <c r="A3846" t="s">
        <v>72</v>
      </c>
      <c r="B3846" t="s">
        <v>73</v>
      </c>
      <c r="C3846" t="s">
        <v>74</v>
      </c>
      <c r="E3846" t="str">
        <f>"FES1162725528"</f>
        <v>FES1162725528</v>
      </c>
      <c r="F3846" s="3">
        <v>43797</v>
      </c>
      <c r="G3846">
        <v>202005</v>
      </c>
      <c r="H3846" t="s">
        <v>75</v>
      </c>
      <c r="I3846" t="s">
        <v>76</v>
      </c>
      <c r="J3846" t="s">
        <v>77</v>
      </c>
      <c r="K3846" t="s">
        <v>78</v>
      </c>
      <c r="L3846" t="s">
        <v>482</v>
      </c>
      <c r="M3846" t="s">
        <v>483</v>
      </c>
      <c r="N3846" t="s">
        <v>1256</v>
      </c>
      <c r="O3846" t="s">
        <v>82</v>
      </c>
      <c r="P3846" t="str">
        <f>"2170715955                    "</f>
        <v xml:space="preserve">2170715955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6.71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 s="4">
        <v>39.42</v>
      </c>
      <c r="BM3846" s="4">
        <v>5.91</v>
      </c>
      <c r="BN3846" s="4">
        <v>45.33</v>
      </c>
      <c r="BO3846" s="4">
        <v>45.33</v>
      </c>
      <c r="BQ3846" t="s">
        <v>121</v>
      </c>
      <c r="BR3846" t="s">
        <v>84</v>
      </c>
      <c r="BS3846" s="3">
        <v>43798</v>
      </c>
      <c r="BT3846" s="5">
        <v>0.33263888888888887</v>
      </c>
      <c r="BU3846" t="s">
        <v>3436</v>
      </c>
      <c r="BV3846" t="s">
        <v>86</v>
      </c>
      <c r="BY3846">
        <v>1200</v>
      </c>
      <c r="CA3846" t="s">
        <v>3369</v>
      </c>
      <c r="CC3846" t="s">
        <v>483</v>
      </c>
      <c r="CD3846">
        <v>1459</v>
      </c>
      <c r="CE3846" t="s">
        <v>147</v>
      </c>
      <c r="CI3846">
        <v>1</v>
      </c>
      <c r="CJ3846">
        <v>1</v>
      </c>
      <c r="CK3846">
        <v>22</v>
      </c>
      <c r="CL3846" t="s">
        <v>89</v>
      </c>
    </row>
    <row r="3847" spans="1:90">
      <c r="A3847" t="s">
        <v>72</v>
      </c>
      <c r="B3847" t="s">
        <v>73</v>
      </c>
      <c r="C3847" t="s">
        <v>74</v>
      </c>
      <c r="E3847" t="str">
        <f>"FES1162725794"</f>
        <v>FES1162725794</v>
      </c>
      <c r="F3847" s="3">
        <v>43797</v>
      </c>
      <c r="G3847">
        <v>202005</v>
      </c>
      <c r="H3847" t="s">
        <v>75</v>
      </c>
      <c r="I3847" t="s">
        <v>76</v>
      </c>
      <c r="J3847" t="s">
        <v>77</v>
      </c>
      <c r="K3847" t="s">
        <v>78</v>
      </c>
      <c r="L3847" t="s">
        <v>133</v>
      </c>
      <c r="M3847" t="s">
        <v>134</v>
      </c>
      <c r="N3847" t="s">
        <v>1569</v>
      </c>
      <c r="O3847" t="s">
        <v>82</v>
      </c>
      <c r="P3847" t="str">
        <f>"2170719359                    "</f>
        <v xml:space="preserve">2170719359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8.58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 s="4">
        <v>50.45</v>
      </c>
      <c r="BM3847" s="4">
        <v>7.57</v>
      </c>
      <c r="BN3847" s="4">
        <v>58.02</v>
      </c>
      <c r="BO3847" s="4">
        <v>58.02</v>
      </c>
      <c r="BQ3847" t="s">
        <v>121</v>
      </c>
      <c r="BR3847" t="s">
        <v>84</v>
      </c>
      <c r="BS3847" s="3">
        <v>43798</v>
      </c>
      <c r="BT3847" s="5">
        <v>0.43055555555555558</v>
      </c>
      <c r="BU3847" t="s">
        <v>2633</v>
      </c>
      <c r="BV3847" t="s">
        <v>86</v>
      </c>
      <c r="BY3847">
        <v>1200</v>
      </c>
      <c r="CA3847" t="s">
        <v>698</v>
      </c>
      <c r="CC3847" t="s">
        <v>134</v>
      </c>
      <c r="CD3847">
        <v>5201</v>
      </c>
      <c r="CE3847" t="s">
        <v>147</v>
      </c>
      <c r="CI3847">
        <v>1</v>
      </c>
      <c r="CJ3847">
        <v>1</v>
      </c>
      <c r="CK3847">
        <v>21</v>
      </c>
      <c r="CL3847" t="s">
        <v>89</v>
      </c>
    </row>
    <row r="3848" spans="1:90">
      <c r="A3848" t="s">
        <v>72</v>
      </c>
      <c r="B3848" t="s">
        <v>73</v>
      </c>
      <c r="C3848" t="s">
        <v>74</v>
      </c>
      <c r="E3848" t="str">
        <f>"FES1162725594"</f>
        <v>FES1162725594</v>
      </c>
      <c r="F3848" s="3">
        <v>43797</v>
      </c>
      <c r="G3848">
        <v>202005</v>
      </c>
      <c r="H3848" t="s">
        <v>75</v>
      </c>
      <c r="I3848" t="s">
        <v>76</v>
      </c>
      <c r="J3848" t="s">
        <v>77</v>
      </c>
      <c r="K3848" t="s">
        <v>78</v>
      </c>
      <c r="L3848" t="s">
        <v>79</v>
      </c>
      <c r="M3848" t="s">
        <v>80</v>
      </c>
      <c r="N3848" t="s">
        <v>908</v>
      </c>
      <c r="O3848" t="s">
        <v>82</v>
      </c>
      <c r="P3848" t="str">
        <f>"2170717801                    "</f>
        <v xml:space="preserve">2170717801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8.58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 s="4">
        <v>50.45</v>
      </c>
      <c r="BM3848" s="4">
        <v>7.57</v>
      </c>
      <c r="BN3848" s="4">
        <v>58.02</v>
      </c>
      <c r="BO3848" s="4">
        <v>58.02</v>
      </c>
      <c r="BQ3848" t="s">
        <v>121</v>
      </c>
      <c r="BR3848" t="s">
        <v>84</v>
      </c>
      <c r="BS3848" s="3">
        <v>43798</v>
      </c>
      <c r="BT3848" s="5">
        <v>0.34375</v>
      </c>
      <c r="BU3848" t="s">
        <v>2250</v>
      </c>
      <c r="BV3848" t="s">
        <v>86</v>
      </c>
      <c r="BY3848">
        <v>1200</v>
      </c>
      <c r="CA3848" t="s">
        <v>87</v>
      </c>
      <c r="CC3848" t="s">
        <v>80</v>
      </c>
      <c r="CD3848">
        <v>6230</v>
      </c>
      <c r="CE3848" t="s">
        <v>147</v>
      </c>
      <c r="CI3848">
        <v>1</v>
      </c>
      <c r="CJ3848">
        <v>1</v>
      </c>
      <c r="CK3848">
        <v>21</v>
      </c>
      <c r="CL3848" t="s">
        <v>89</v>
      </c>
    </row>
    <row r="3849" spans="1:90">
      <c r="A3849" t="s">
        <v>72</v>
      </c>
      <c r="B3849" t="s">
        <v>73</v>
      </c>
      <c r="C3849" t="s">
        <v>74</v>
      </c>
      <c r="E3849" t="str">
        <f>"FES1162725760"</f>
        <v>FES1162725760</v>
      </c>
      <c r="F3849" s="3">
        <v>43797</v>
      </c>
      <c r="G3849">
        <v>202005</v>
      </c>
      <c r="H3849" t="s">
        <v>75</v>
      </c>
      <c r="I3849" t="s">
        <v>76</v>
      </c>
      <c r="J3849" t="s">
        <v>77</v>
      </c>
      <c r="K3849" t="s">
        <v>78</v>
      </c>
      <c r="L3849" t="s">
        <v>124</v>
      </c>
      <c r="M3849" t="s">
        <v>125</v>
      </c>
      <c r="N3849" t="s">
        <v>3280</v>
      </c>
      <c r="O3849" t="s">
        <v>82</v>
      </c>
      <c r="P3849" t="str">
        <f>"2170718170                    "</f>
        <v xml:space="preserve">2170718170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6.71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 s="4">
        <v>39.42</v>
      </c>
      <c r="BM3849" s="4">
        <v>5.91</v>
      </c>
      <c r="BN3849" s="4">
        <v>45.33</v>
      </c>
      <c r="BO3849" s="4">
        <v>45.33</v>
      </c>
      <c r="BQ3849" t="s">
        <v>3437</v>
      </c>
      <c r="BR3849" t="s">
        <v>84</v>
      </c>
      <c r="BS3849" s="3">
        <v>43798</v>
      </c>
      <c r="BT3849" s="5">
        <v>0.40833333333333338</v>
      </c>
      <c r="BU3849" t="s">
        <v>3438</v>
      </c>
      <c r="BV3849" t="s">
        <v>86</v>
      </c>
      <c r="BY3849">
        <v>1200</v>
      </c>
      <c r="CC3849" t="s">
        <v>125</v>
      </c>
      <c r="CD3849">
        <v>2091</v>
      </c>
      <c r="CE3849" t="s">
        <v>147</v>
      </c>
      <c r="CI3849">
        <v>1</v>
      </c>
      <c r="CJ3849">
        <v>1</v>
      </c>
      <c r="CK3849">
        <v>22</v>
      </c>
      <c r="CL3849" t="s">
        <v>89</v>
      </c>
    </row>
    <row r="3850" spans="1:90">
      <c r="A3850" t="s">
        <v>72</v>
      </c>
      <c r="B3850" t="s">
        <v>73</v>
      </c>
      <c r="C3850" t="s">
        <v>74</v>
      </c>
      <c r="E3850" t="str">
        <f>"FES1162725724"</f>
        <v>FES1162725724</v>
      </c>
      <c r="F3850" s="3">
        <v>43797</v>
      </c>
      <c r="G3850">
        <v>202005</v>
      </c>
      <c r="H3850" t="s">
        <v>75</v>
      </c>
      <c r="I3850" t="s">
        <v>76</v>
      </c>
      <c r="J3850" t="s">
        <v>77</v>
      </c>
      <c r="K3850" t="s">
        <v>78</v>
      </c>
      <c r="L3850" t="s">
        <v>691</v>
      </c>
      <c r="M3850" t="s">
        <v>692</v>
      </c>
      <c r="N3850" t="s">
        <v>521</v>
      </c>
      <c r="O3850" t="s">
        <v>82</v>
      </c>
      <c r="P3850" t="str">
        <f>"2170717128                    "</f>
        <v xml:space="preserve">2170717128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6.71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 s="4">
        <v>39.42</v>
      </c>
      <c r="BM3850" s="4">
        <v>5.91</v>
      </c>
      <c r="BN3850" s="4">
        <v>45.33</v>
      </c>
      <c r="BO3850" s="4">
        <v>45.33</v>
      </c>
      <c r="BQ3850" t="s">
        <v>109</v>
      </c>
      <c r="BR3850" t="s">
        <v>84</v>
      </c>
      <c r="BS3850" s="3">
        <v>43798</v>
      </c>
      <c r="BT3850" s="5">
        <v>0.41666666666666669</v>
      </c>
      <c r="BU3850" t="s">
        <v>3350</v>
      </c>
      <c r="BV3850" t="s">
        <v>86</v>
      </c>
      <c r="BY3850">
        <v>1200</v>
      </c>
      <c r="CC3850" t="s">
        <v>692</v>
      </c>
      <c r="CD3850">
        <v>1559</v>
      </c>
      <c r="CE3850" t="s">
        <v>147</v>
      </c>
      <c r="CI3850">
        <v>1</v>
      </c>
      <c r="CJ3850">
        <v>1</v>
      </c>
      <c r="CK3850">
        <v>22</v>
      </c>
      <c r="CL3850" t="s">
        <v>89</v>
      </c>
    </row>
    <row r="3851" spans="1:90">
      <c r="A3851" t="s">
        <v>72</v>
      </c>
      <c r="B3851" t="s">
        <v>73</v>
      </c>
      <c r="C3851" t="s">
        <v>74</v>
      </c>
      <c r="E3851" t="str">
        <f>"FES1162725606"</f>
        <v>FES1162725606</v>
      </c>
      <c r="F3851" s="3">
        <v>43797</v>
      </c>
      <c r="G3851">
        <v>202005</v>
      </c>
      <c r="H3851" t="s">
        <v>75</v>
      </c>
      <c r="I3851" t="s">
        <v>76</v>
      </c>
      <c r="J3851" t="s">
        <v>77</v>
      </c>
      <c r="K3851" t="s">
        <v>78</v>
      </c>
      <c r="L3851" t="s">
        <v>681</v>
      </c>
      <c r="M3851" t="s">
        <v>682</v>
      </c>
      <c r="N3851" t="s">
        <v>2585</v>
      </c>
      <c r="O3851" t="s">
        <v>82</v>
      </c>
      <c r="P3851" t="str">
        <f>"2170717900                    "</f>
        <v xml:space="preserve">2170717900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12.07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 s="4">
        <v>70.95</v>
      </c>
      <c r="BM3851" s="4">
        <v>10.64</v>
      </c>
      <c r="BN3851" s="4">
        <v>81.59</v>
      </c>
      <c r="BO3851" s="4">
        <v>81.59</v>
      </c>
      <c r="BQ3851" t="s">
        <v>121</v>
      </c>
      <c r="BR3851" t="s">
        <v>84</v>
      </c>
      <c r="BS3851" s="3">
        <v>43798</v>
      </c>
      <c r="BT3851" s="5">
        <v>0.33333333333333331</v>
      </c>
      <c r="BU3851" t="s">
        <v>3439</v>
      </c>
      <c r="BV3851" t="s">
        <v>86</v>
      </c>
      <c r="BY3851">
        <v>1200</v>
      </c>
      <c r="CA3851" t="s">
        <v>1224</v>
      </c>
      <c r="CC3851" t="s">
        <v>682</v>
      </c>
      <c r="CD3851">
        <v>1939</v>
      </c>
      <c r="CE3851" t="s">
        <v>147</v>
      </c>
      <c r="CI3851">
        <v>1</v>
      </c>
      <c r="CJ3851">
        <v>1</v>
      </c>
      <c r="CK3851">
        <v>24</v>
      </c>
      <c r="CL3851" t="s">
        <v>89</v>
      </c>
    </row>
    <row r="3852" spans="1:90">
      <c r="A3852" t="s">
        <v>72</v>
      </c>
      <c r="B3852" t="s">
        <v>73</v>
      </c>
      <c r="C3852" t="s">
        <v>74</v>
      </c>
      <c r="E3852" t="str">
        <f>"FES1162725758"</f>
        <v>FES1162725758</v>
      </c>
      <c r="F3852" s="3">
        <v>43797</v>
      </c>
      <c r="G3852">
        <v>202005</v>
      </c>
      <c r="H3852" t="s">
        <v>75</v>
      </c>
      <c r="I3852" t="s">
        <v>76</v>
      </c>
      <c r="J3852" t="s">
        <v>77</v>
      </c>
      <c r="K3852" t="s">
        <v>78</v>
      </c>
      <c r="L3852" t="s">
        <v>106</v>
      </c>
      <c r="M3852" t="s">
        <v>107</v>
      </c>
      <c r="N3852" t="s">
        <v>2413</v>
      </c>
      <c r="O3852" t="s">
        <v>82</v>
      </c>
      <c r="P3852" t="str">
        <f>"2170717880                    "</f>
        <v xml:space="preserve">2170717880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8.58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 s="4">
        <v>50.45</v>
      </c>
      <c r="BM3852" s="4">
        <v>7.57</v>
      </c>
      <c r="BN3852" s="4">
        <v>58.02</v>
      </c>
      <c r="BO3852" s="4">
        <v>58.02</v>
      </c>
      <c r="BQ3852" t="s">
        <v>109</v>
      </c>
      <c r="BR3852" t="s">
        <v>84</v>
      </c>
      <c r="BS3852" s="3">
        <v>43798</v>
      </c>
      <c r="BT3852" s="5">
        <v>0.35694444444444445</v>
      </c>
      <c r="BU3852" t="s">
        <v>3440</v>
      </c>
      <c r="BV3852" t="s">
        <v>86</v>
      </c>
      <c r="BY3852">
        <v>1200</v>
      </c>
      <c r="CA3852" t="s">
        <v>111</v>
      </c>
      <c r="CC3852" t="s">
        <v>107</v>
      </c>
      <c r="CD3852">
        <v>6001</v>
      </c>
      <c r="CE3852" t="s">
        <v>147</v>
      </c>
      <c r="CI3852">
        <v>1</v>
      </c>
      <c r="CJ3852">
        <v>1</v>
      </c>
      <c r="CK3852">
        <v>21</v>
      </c>
      <c r="CL3852" t="s">
        <v>89</v>
      </c>
    </row>
    <row r="3853" spans="1:90">
      <c r="A3853" t="s">
        <v>72</v>
      </c>
      <c r="B3853" t="s">
        <v>73</v>
      </c>
      <c r="C3853" t="s">
        <v>74</v>
      </c>
      <c r="E3853" t="str">
        <f>"FES1162725544"</f>
        <v>FES1162725544</v>
      </c>
      <c r="F3853" s="3">
        <v>43797</v>
      </c>
      <c r="G3853">
        <v>202005</v>
      </c>
      <c r="H3853" t="s">
        <v>75</v>
      </c>
      <c r="I3853" t="s">
        <v>76</v>
      </c>
      <c r="J3853" t="s">
        <v>77</v>
      </c>
      <c r="K3853" t="s">
        <v>78</v>
      </c>
      <c r="L3853" t="s">
        <v>101</v>
      </c>
      <c r="M3853" t="s">
        <v>102</v>
      </c>
      <c r="N3853" t="s">
        <v>707</v>
      </c>
      <c r="O3853" t="s">
        <v>82</v>
      </c>
      <c r="P3853" t="str">
        <f>"2170717267                    "</f>
        <v xml:space="preserve">2170717267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10.73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2.5</v>
      </c>
      <c r="BJ3853">
        <v>1.5</v>
      </c>
      <c r="BK3853">
        <v>2.5</v>
      </c>
      <c r="BL3853" s="4">
        <v>63.06</v>
      </c>
      <c r="BM3853" s="4">
        <v>9.4600000000000009</v>
      </c>
      <c r="BN3853" s="4">
        <v>72.52</v>
      </c>
      <c r="BO3853" s="4">
        <v>72.52</v>
      </c>
      <c r="BQ3853" t="s">
        <v>121</v>
      </c>
      <c r="BR3853" t="s">
        <v>84</v>
      </c>
      <c r="BS3853" s="3">
        <v>43798</v>
      </c>
      <c r="BT3853" s="5">
        <v>0.38819444444444445</v>
      </c>
      <c r="BU3853" t="s">
        <v>708</v>
      </c>
      <c r="BV3853" t="s">
        <v>86</v>
      </c>
      <c r="BY3853">
        <v>7401.61</v>
      </c>
      <c r="CA3853" t="s">
        <v>709</v>
      </c>
      <c r="CC3853" t="s">
        <v>102</v>
      </c>
      <c r="CD3853">
        <v>1</v>
      </c>
      <c r="CE3853" t="s">
        <v>88</v>
      </c>
      <c r="CI3853">
        <v>1</v>
      </c>
      <c r="CJ3853">
        <v>1</v>
      </c>
      <c r="CK3853">
        <v>21</v>
      </c>
      <c r="CL3853" t="s">
        <v>89</v>
      </c>
    </row>
    <row r="3854" spans="1:90">
      <c r="A3854" t="s">
        <v>72</v>
      </c>
      <c r="B3854" t="s">
        <v>73</v>
      </c>
      <c r="C3854" t="s">
        <v>74</v>
      </c>
      <c r="E3854" t="str">
        <f>"FES1162725574"</f>
        <v>FES1162725574</v>
      </c>
      <c r="F3854" s="3">
        <v>43797</v>
      </c>
      <c r="G3854">
        <v>202005</v>
      </c>
      <c r="H3854" t="s">
        <v>75</v>
      </c>
      <c r="I3854" t="s">
        <v>76</v>
      </c>
      <c r="J3854" t="s">
        <v>77</v>
      </c>
      <c r="K3854" t="s">
        <v>78</v>
      </c>
      <c r="L3854" t="s">
        <v>500</v>
      </c>
      <c r="M3854" t="s">
        <v>501</v>
      </c>
      <c r="N3854" t="s">
        <v>502</v>
      </c>
      <c r="O3854" t="s">
        <v>82</v>
      </c>
      <c r="P3854" t="str">
        <f>"2170717674                    "</f>
        <v xml:space="preserve">2170717674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24.14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2.6</v>
      </c>
      <c r="BJ3854">
        <v>1.5</v>
      </c>
      <c r="BK3854">
        <v>3</v>
      </c>
      <c r="BL3854" s="4">
        <v>141.9</v>
      </c>
      <c r="BM3854" s="4">
        <v>21.29</v>
      </c>
      <c r="BN3854" s="4">
        <v>163.19</v>
      </c>
      <c r="BO3854" s="4">
        <v>163.19</v>
      </c>
      <c r="BQ3854" t="s">
        <v>109</v>
      </c>
      <c r="BR3854" t="s">
        <v>84</v>
      </c>
      <c r="BS3854" s="3">
        <v>43798</v>
      </c>
      <c r="BT3854" s="5">
        <v>0.5</v>
      </c>
      <c r="BU3854" t="s">
        <v>3441</v>
      </c>
      <c r="BV3854" t="s">
        <v>86</v>
      </c>
      <c r="BY3854">
        <v>7662.08</v>
      </c>
      <c r="CA3854" t="s">
        <v>504</v>
      </c>
      <c r="CC3854" t="s">
        <v>501</v>
      </c>
      <c r="CD3854">
        <v>7349</v>
      </c>
      <c r="CE3854" t="s">
        <v>88</v>
      </c>
      <c r="CI3854">
        <v>1</v>
      </c>
      <c r="CJ3854">
        <v>1</v>
      </c>
      <c r="CK3854">
        <v>23</v>
      </c>
      <c r="CL3854" t="s">
        <v>89</v>
      </c>
    </row>
    <row r="3855" spans="1:90">
      <c r="A3855" t="s">
        <v>72</v>
      </c>
      <c r="B3855" t="s">
        <v>73</v>
      </c>
      <c r="C3855" t="s">
        <v>74</v>
      </c>
      <c r="E3855" t="str">
        <f>"FES1162725737"</f>
        <v>FES1162725737</v>
      </c>
      <c r="F3855" s="3">
        <v>43797</v>
      </c>
      <c r="G3855">
        <v>202005</v>
      </c>
      <c r="H3855" t="s">
        <v>75</v>
      </c>
      <c r="I3855" t="s">
        <v>76</v>
      </c>
      <c r="J3855" t="s">
        <v>77</v>
      </c>
      <c r="K3855" t="s">
        <v>78</v>
      </c>
      <c r="L3855" t="s">
        <v>124</v>
      </c>
      <c r="M3855" t="s">
        <v>125</v>
      </c>
      <c r="N3855" t="s">
        <v>230</v>
      </c>
      <c r="O3855" t="s">
        <v>82</v>
      </c>
      <c r="P3855" t="str">
        <f>"2170717313                    "</f>
        <v xml:space="preserve">2170717313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6.71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 s="4">
        <v>39.42</v>
      </c>
      <c r="BM3855" s="4">
        <v>5.91</v>
      </c>
      <c r="BN3855" s="4">
        <v>45.33</v>
      </c>
      <c r="BO3855" s="4">
        <v>45.33</v>
      </c>
      <c r="BQ3855" t="s">
        <v>109</v>
      </c>
      <c r="BR3855" t="s">
        <v>84</v>
      </c>
      <c r="BS3855" s="3">
        <v>43798</v>
      </c>
      <c r="BT3855" s="5">
        <v>0.41666666666666669</v>
      </c>
      <c r="BU3855" t="s">
        <v>694</v>
      </c>
      <c r="BV3855" t="s">
        <v>86</v>
      </c>
      <c r="BY3855">
        <v>1200</v>
      </c>
      <c r="CA3855" t="s">
        <v>2186</v>
      </c>
      <c r="CC3855" t="s">
        <v>125</v>
      </c>
      <c r="CD3855">
        <v>2091</v>
      </c>
      <c r="CE3855" t="s">
        <v>147</v>
      </c>
      <c r="CI3855">
        <v>1</v>
      </c>
      <c r="CJ3855">
        <v>1</v>
      </c>
      <c r="CK3855">
        <v>22</v>
      </c>
      <c r="CL3855" t="s">
        <v>89</v>
      </c>
    </row>
    <row r="3856" spans="1:90">
      <c r="A3856" t="s">
        <v>72</v>
      </c>
      <c r="B3856" t="s">
        <v>73</v>
      </c>
      <c r="C3856" t="s">
        <v>74</v>
      </c>
      <c r="E3856" t="str">
        <f>"FES1162725755"</f>
        <v>FES1162725755</v>
      </c>
      <c r="F3856" s="3">
        <v>43797</v>
      </c>
      <c r="G3856">
        <v>202005</v>
      </c>
      <c r="H3856" t="s">
        <v>75</v>
      </c>
      <c r="I3856" t="s">
        <v>76</v>
      </c>
      <c r="J3856" t="s">
        <v>77</v>
      </c>
      <c r="K3856" t="s">
        <v>78</v>
      </c>
      <c r="L3856" t="s">
        <v>90</v>
      </c>
      <c r="M3856" t="s">
        <v>91</v>
      </c>
      <c r="N3856" t="s">
        <v>2502</v>
      </c>
      <c r="O3856" t="s">
        <v>82</v>
      </c>
      <c r="P3856" t="str">
        <f>"2170717703                    "</f>
        <v xml:space="preserve">2170717703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8.58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1.2</v>
      </c>
      <c r="BJ3856">
        <v>1.5</v>
      </c>
      <c r="BK3856">
        <v>1.5</v>
      </c>
      <c r="BL3856" s="4">
        <v>50.45</v>
      </c>
      <c r="BM3856" s="4">
        <v>7.57</v>
      </c>
      <c r="BN3856" s="4">
        <v>58.02</v>
      </c>
      <c r="BO3856" s="4">
        <v>58.02</v>
      </c>
      <c r="BQ3856" t="s">
        <v>121</v>
      </c>
      <c r="BR3856" t="s">
        <v>84</v>
      </c>
      <c r="BS3856" s="3">
        <v>43798</v>
      </c>
      <c r="BT3856" s="5">
        <v>0.5083333333333333</v>
      </c>
      <c r="BU3856" t="s">
        <v>3399</v>
      </c>
      <c r="BV3856" t="s">
        <v>89</v>
      </c>
      <c r="BW3856" t="s">
        <v>596</v>
      </c>
      <c r="BX3856" t="s">
        <v>365</v>
      </c>
      <c r="BY3856">
        <v>7712.82</v>
      </c>
      <c r="CA3856" t="s">
        <v>677</v>
      </c>
      <c r="CC3856" t="s">
        <v>91</v>
      </c>
      <c r="CD3856">
        <v>8001</v>
      </c>
      <c r="CE3856" t="s">
        <v>1598</v>
      </c>
      <c r="CI3856">
        <v>1</v>
      </c>
      <c r="CJ3856">
        <v>1</v>
      </c>
      <c r="CK3856">
        <v>21</v>
      </c>
      <c r="CL3856" t="s">
        <v>89</v>
      </c>
    </row>
    <row r="3857" spans="1:90">
      <c r="A3857" t="s">
        <v>72</v>
      </c>
      <c r="B3857" t="s">
        <v>73</v>
      </c>
      <c r="C3857" t="s">
        <v>74</v>
      </c>
      <c r="E3857" t="str">
        <f>"FES1162725790"</f>
        <v>FES1162725790</v>
      </c>
      <c r="F3857" s="3">
        <v>43797</v>
      </c>
      <c r="G3857">
        <v>202005</v>
      </c>
      <c r="H3857" t="s">
        <v>75</v>
      </c>
      <c r="I3857" t="s">
        <v>76</v>
      </c>
      <c r="J3857" t="s">
        <v>77</v>
      </c>
      <c r="K3857" t="s">
        <v>78</v>
      </c>
      <c r="L3857" t="s">
        <v>90</v>
      </c>
      <c r="M3857" t="s">
        <v>91</v>
      </c>
      <c r="N3857" t="s">
        <v>2297</v>
      </c>
      <c r="O3857" t="s">
        <v>82</v>
      </c>
      <c r="P3857" t="str">
        <f>"2170719357                    "</f>
        <v xml:space="preserve">2170719357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8.58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 s="4">
        <v>50.45</v>
      </c>
      <c r="BM3857" s="4">
        <v>7.57</v>
      </c>
      <c r="BN3857" s="4">
        <v>58.02</v>
      </c>
      <c r="BO3857" s="4">
        <v>58.02</v>
      </c>
      <c r="BQ3857" t="s">
        <v>121</v>
      </c>
      <c r="BR3857" t="s">
        <v>84</v>
      </c>
      <c r="BS3857" s="3">
        <v>43798</v>
      </c>
      <c r="BT3857" s="5">
        <v>0.35416666666666669</v>
      </c>
      <c r="BU3857" t="s">
        <v>2299</v>
      </c>
      <c r="BV3857" t="s">
        <v>86</v>
      </c>
      <c r="BY3857">
        <v>1200</v>
      </c>
      <c r="CA3857" t="s">
        <v>1309</v>
      </c>
      <c r="CC3857" t="s">
        <v>91</v>
      </c>
      <c r="CD3857">
        <v>7530</v>
      </c>
      <c r="CE3857" t="s">
        <v>147</v>
      </c>
      <c r="CI3857">
        <v>1</v>
      </c>
      <c r="CJ3857">
        <v>1</v>
      </c>
      <c r="CK3857">
        <v>21</v>
      </c>
      <c r="CL3857" t="s">
        <v>89</v>
      </c>
    </row>
    <row r="3858" spans="1:90">
      <c r="A3858" t="s">
        <v>72</v>
      </c>
      <c r="B3858" t="s">
        <v>73</v>
      </c>
      <c r="C3858" t="s">
        <v>74</v>
      </c>
      <c r="E3858" t="str">
        <f>"FES1162725687"</f>
        <v>FES1162725687</v>
      </c>
      <c r="F3858" s="3">
        <v>43797</v>
      </c>
      <c r="G3858">
        <v>202005</v>
      </c>
      <c r="H3858" t="s">
        <v>75</v>
      </c>
      <c r="I3858" t="s">
        <v>76</v>
      </c>
      <c r="J3858" t="s">
        <v>77</v>
      </c>
      <c r="K3858" t="s">
        <v>78</v>
      </c>
      <c r="L3858" t="s">
        <v>79</v>
      </c>
      <c r="M3858" t="s">
        <v>80</v>
      </c>
      <c r="N3858" t="s">
        <v>458</v>
      </c>
      <c r="O3858" t="s">
        <v>82</v>
      </c>
      <c r="P3858" t="str">
        <f>"2170717136                    "</f>
        <v xml:space="preserve">2170717136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36.46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8.1999999999999993</v>
      </c>
      <c r="BJ3858">
        <v>3.3</v>
      </c>
      <c r="BK3858">
        <v>8.5</v>
      </c>
      <c r="BL3858" s="4">
        <v>214.31</v>
      </c>
      <c r="BM3858" s="4">
        <v>32.15</v>
      </c>
      <c r="BN3858" s="4">
        <v>246.46</v>
      </c>
      <c r="BO3858" s="4">
        <v>246.46</v>
      </c>
      <c r="BQ3858" t="s">
        <v>109</v>
      </c>
      <c r="BR3858" t="s">
        <v>84</v>
      </c>
      <c r="BS3858" s="3">
        <v>43798</v>
      </c>
      <c r="BT3858" s="5">
        <v>0.31597222222222221</v>
      </c>
      <c r="BU3858" t="s">
        <v>3335</v>
      </c>
      <c r="BV3858" t="s">
        <v>86</v>
      </c>
      <c r="BY3858">
        <v>16405.48</v>
      </c>
      <c r="CA3858" t="s">
        <v>87</v>
      </c>
      <c r="CC3858" t="s">
        <v>80</v>
      </c>
      <c r="CD3858">
        <v>6230</v>
      </c>
      <c r="CE3858" t="s">
        <v>1598</v>
      </c>
      <c r="CI3858">
        <v>1</v>
      </c>
      <c r="CJ3858">
        <v>1</v>
      </c>
      <c r="CK3858">
        <v>21</v>
      </c>
      <c r="CL3858" t="s">
        <v>89</v>
      </c>
    </row>
    <row r="3859" spans="1:90">
      <c r="A3859" t="s">
        <v>72</v>
      </c>
      <c r="B3859" t="s">
        <v>73</v>
      </c>
      <c r="C3859" t="s">
        <v>74</v>
      </c>
      <c r="E3859" t="str">
        <f>"FES1162725584"</f>
        <v>FES1162725584</v>
      </c>
      <c r="F3859" s="3">
        <v>43797</v>
      </c>
      <c r="G3859">
        <v>202005</v>
      </c>
      <c r="H3859" t="s">
        <v>75</v>
      </c>
      <c r="I3859" t="s">
        <v>76</v>
      </c>
      <c r="J3859" t="s">
        <v>77</v>
      </c>
      <c r="K3859" t="s">
        <v>78</v>
      </c>
      <c r="L3859" t="s">
        <v>106</v>
      </c>
      <c r="M3859" t="s">
        <v>107</v>
      </c>
      <c r="N3859" t="s">
        <v>108</v>
      </c>
      <c r="O3859" t="s">
        <v>82</v>
      </c>
      <c r="P3859" t="str">
        <f>"2170717229                    "</f>
        <v xml:space="preserve">2170717229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38.6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2</v>
      </c>
      <c r="BI3859">
        <v>8.6</v>
      </c>
      <c r="BJ3859">
        <v>3</v>
      </c>
      <c r="BK3859">
        <v>9</v>
      </c>
      <c r="BL3859" s="4">
        <v>226.91</v>
      </c>
      <c r="BM3859" s="4">
        <v>34.04</v>
      </c>
      <c r="BN3859" s="4">
        <v>260.95</v>
      </c>
      <c r="BO3859" s="4">
        <v>260.95</v>
      </c>
      <c r="BQ3859" t="s">
        <v>109</v>
      </c>
      <c r="BR3859" t="s">
        <v>84</v>
      </c>
      <c r="BS3859" s="3">
        <v>43798</v>
      </c>
      <c r="BT3859" s="5">
        <v>0.37847222222222227</v>
      </c>
      <c r="BU3859" t="s">
        <v>2881</v>
      </c>
      <c r="BV3859" t="s">
        <v>86</v>
      </c>
      <c r="BY3859">
        <v>14784.44</v>
      </c>
      <c r="CA3859" t="s">
        <v>111</v>
      </c>
      <c r="CC3859" t="s">
        <v>107</v>
      </c>
      <c r="CD3859">
        <v>6001</v>
      </c>
      <c r="CE3859" t="s">
        <v>2197</v>
      </c>
      <c r="CI3859">
        <v>1</v>
      </c>
      <c r="CJ3859">
        <v>1</v>
      </c>
      <c r="CK3859">
        <v>21</v>
      </c>
      <c r="CL3859" t="s">
        <v>89</v>
      </c>
    </row>
    <row r="3860" spans="1:90">
      <c r="A3860" t="s">
        <v>72</v>
      </c>
      <c r="B3860" t="s">
        <v>73</v>
      </c>
      <c r="C3860" t="s">
        <v>74</v>
      </c>
      <c r="E3860" t="str">
        <f>"FES1162725560"</f>
        <v>FES1162725560</v>
      </c>
      <c r="F3860" s="3">
        <v>43797</v>
      </c>
      <c r="G3860">
        <v>202005</v>
      </c>
      <c r="H3860" t="s">
        <v>75</v>
      </c>
      <c r="I3860" t="s">
        <v>76</v>
      </c>
      <c r="J3860" t="s">
        <v>77</v>
      </c>
      <c r="K3860" t="s">
        <v>78</v>
      </c>
      <c r="L3860" t="s">
        <v>133</v>
      </c>
      <c r="M3860" t="s">
        <v>134</v>
      </c>
      <c r="N3860" t="s">
        <v>310</v>
      </c>
      <c r="O3860" t="s">
        <v>82</v>
      </c>
      <c r="P3860" t="str">
        <f>"2170717531                    "</f>
        <v xml:space="preserve">2170717531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8.58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 s="4">
        <v>50.45</v>
      </c>
      <c r="BM3860" s="4">
        <v>7.57</v>
      </c>
      <c r="BN3860" s="4">
        <v>58.02</v>
      </c>
      <c r="BO3860" s="4">
        <v>58.02</v>
      </c>
      <c r="BQ3860" t="s">
        <v>121</v>
      </c>
      <c r="BR3860" t="s">
        <v>84</v>
      </c>
      <c r="BS3860" s="3">
        <v>43798</v>
      </c>
      <c r="BT3860" s="5">
        <v>0.3659722222222222</v>
      </c>
      <c r="BU3860" t="s">
        <v>1108</v>
      </c>
      <c r="BV3860" t="s">
        <v>86</v>
      </c>
      <c r="BY3860">
        <v>1200</v>
      </c>
      <c r="CA3860" t="s">
        <v>912</v>
      </c>
      <c r="CC3860" t="s">
        <v>134</v>
      </c>
      <c r="CD3860">
        <v>5201</v>
      </c>
      <c r="CE3860" t="s">
        <v>147</v>
      </c>
      <c r="CI3860">
        <v>1</v>
      </c>
      <c r="CJ3860">
        <v>1</v>
      </c>
      <c r="CK3860">
        <v>21</v>
      </c>
      <c r="CL3860" t="s">
        <v>89</v>
      </c>
    </row>
    <row r="3861" spans="1:90">
      <c r="A3861" t="s">
        <v>72</v>
      </c>
      <c r="B3861" t="s">
        <v>73</v>
      </c>
      <c r="C3861" t="s">
        <v>74</v>
      </c>
      <c r="E3861" t="str">
        <f>"FES1162725998"</f>
        <v>FES1162725998</v>
      </c>
      <c r="F3861" s="3">
        <v>43798</v>
      </c>
      <c r="G3861">
        <v>202005</v>
      </c>
      <c r="H3861" t="s">
        <v>75</v>
      </c>
      <c r="I3861" t="s">
        <v>76</v>
      </c>
      <c r="J3861" t="s">
        <v>77</v>
      </c>
      <c r="K3861" t="s">
        <v>78</v>
      </c>
      <c r="L3861" t="s">
        <v>202</v>
      </c>
      <c r="M3861" t="s">
        <v>203</v>
      </c>
      <c r="N3861" t="s">
        <v>2871</v>
      </c>
      <c r="O3861" t="s">
        <v>82</v>
      </c>
      <c r="P3861" t="str">
        <f>"2170718382                    "</f>
        <v xml:space="preserve">2170718382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6.71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 s="4">
        <v>39.42</v>
      </c>
      <c r="BM3861" s="4">
        <v>5.91</v>
      </c>
      <c r="BN3861" s="4">
        <v>45.33</v>
      </c>
      <c r="BO3861" s="4">
        <v>45.33</v>
      </c>
      <c r="BQ3861" t="s">
        <v>142</v>
      </c>
      <c r="BR3861" t="s">
        <v>84</v>
      </c>
      <c r="BS3861" t="s">
        <v>201</v>
      </c>
      <c r="BY3861">
        <v>1200</v>
      </c>
      <c r="CC3861" t="s">
        <v>203</v>
      </c>
      <c r="CD3861">
        <v>1401</v>
      </c>
      <c r="CE3861" t="s">
        <v>147</v>
      </c>
      <c r="CI3861">
        <v>1</v>
      </c>
      <c r="CJ3861" t="s">
        <v>201</v>
      </c>
      <c r="CK3861">
        <v>22</v>
      </c>
      <c r="CL3861" t="s">
        <v>89</v>
      </c>
    </row>
    <row r="3862" spans="1:90">
      <c r="A3862" t="s">
        <v>72</v>
      </c>
      <c r="B3862" t="s">
        <v>73</v>
      </c>
      <c r="C3862" t="s">
        <v>74</v>
      </c>
      <c r="E3862" t="str">
        <f>"FES116725690"</f>
        <v>FES116725690</v>
      </c>
      <c r="F3862" s="3">
        <v>43798</v>
      </c>
      <c r="G3862">
        <v>202005</v>
      </c>
      <c r="H3862" t="s">
        <v>75</v>
      </c>
      <c r="I3862" t="s">
        <v>76</v>
      </c>
      <c r="J3862" t="s">
        <v>77</v>
      </c>
      <c r="K3862" t="s">
        <v>78</v>
      </c>
      <c r="L3862" t="s">
        <v>101</v>
      </c>
      <c r="M3862" t="s">
        <v>102</v>
      </c>
      <c r="N3862" t="s">
        <v>707</v>
      </c>
      <c r="O3862" t="s">
        <v>82</v>
      </c>
      <c r="P3862" t="str">
        <f>"2170717267                    "</f>
        <v xml:space="preserve">2170717267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8.58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 s="4">
        <v>50.45</v>
      </c>
      <c r="BM3862" s="4">
        <v>7.57</v>
      </c>
      <c r="BN3862" s="4">
        <v>58.02</v>
      </c>
      <c r="BO3862" s="4">
        <v>58.02</v>
      </c>
      <c r="BQ3862" t="s">
        <v>121</v>
      </c>
      <c r="BR3862" t="s">
        <v>84</v>
      </c>
      <c r="BS3862" t="s">
        <v>201</v>
      </c>
      <c r="BY3862">
        <v>1200</v>
      </c>
      <c r="CC3862" t="s">
        <v>102</v>
      </c>
      <c r="CD3862">
        <v>1</v>
      </c>
      <c r="CE3862" t="s">
        <v>147</v>
      </c>
      <c r="CI3862">
        <v>1</v>
      </c>
      <c r="CJ3862" t="s">
        <v>201</v>
      </c>
      <c r="CK3862">
        <v>21</v>
      </c>
      <c r="CL3862" t="s">
        <v>89</v>
      </c>
    </row>
    <row r="3863" spans="1:90">
      <c r="A3863" t="s">
        <v>72</v>
      </c>
      <c r="B3863" t="s">
        <v>73</v>
      </c>
      <c r="C3863" t="s">
        <v>74</v>
      </c>
      <c r="E3863" t="str">
        <f>"FES1162725827"</f>
        <v>FES1162725827</v>
      </c>
      <c r="F3863" s="3">
        <v>43798</v>
      </c>
      <c r="G3863">
        <v>202005</v>
      </c>
      <c r="H3863" t="s">
        <v>75</v>
      </c>
      <c r="I3863" t="s">
        <v>76</v>
      </c>
      <c r="J3863" t="s">
        <v>77</v>
      </c>
      <c r="K3863" t="s">
        <v>78</v>
      </c>
      <c r="L3863" t="s">
        <v>75</v>
      </c>
      <c r="M3863" t="s">
        <v>76</v>
      </c>
      <c r="N3863" t="s">
        <v>360</v>
      </c>
      <c r="O3863" t="s">
        <v>82</v>
      </c>
      <c r="P3863" t="str">
        <f>"2170719404                    "</f>
        <v xml:space="preserve">2170719404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6.71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1.2</v>
      </c>
      <c r="BJ3863">
        <v>0.6</v>
      </c>
      <c r="BK3863">
        <v>1.5</v>
      </c>
      <c r="BL3863" s="4">
        <v>39.42</v>
      </c>
      <c r="BM3863" s="4">
        <v>5.91</v>
      </c>
      <c r="BN3863" s="4">
        <v>45.33</v>
      </c>
      <c r="BO3863" s="4">
        <v>45.33</v>
      </c>
      <c r="BQ3863" t="s">
        <v>109</v>
      </c>
      <c r="BR3863" t="s">
        <v>84</v>
      </c>
      <c r="BS3863" t="s">
        <v>201</v>
      </c>
      <c r="BY3863">
        <v>3202.13</v>
      </c>
      <c r="CC3863" t="s">
        <v>76</v>
      </c>
      <c r="CD3863">
        <v>1645</v>
      </c>
      <c r="CE3863" t="s">
        <v>88</v>
      </c>
      <c r="CI3863">
        <v>1</v>
      </c>
      <c r="CJ3863" t="s">
        <v>201</v>
      </c>
      <c r="CK3863">
        <v>22</v>
      </c>
      <c r="CL3863" t="s">
        <v>89</v>
      </c>
    </row>
    <row r="3864" spans="1:90">
      <c r="A3864" t="s">
        <v>72</v>
      </c>
      <c r="B3864" t="s">
        <v>73</v>
      </c>
      <c r="C3864" t="s">
        <v>74</v>
      </c>
      <c r="E3864" t="str">
        <f>"FES1162725992"</f>
        <v>FES1162725992</v>
      </c>
      <c r="F3864" s="3">
        <v>43798</v>
      </c>
      <c r="G3864">
        <v>202005</v>
      </c>
      <c r="H3864" t="s">
        <v>75</v>
      </c>
      <c r="I3864" t="s">
        <v>76</v>
      </c>
      <c r="J3864" t="s">
        <v>77</v>
      </c>
      <c r="K3864" t="s">
        <v>78</v>
      </c>
      <c r="L3864" t="s">
        <v>124</v>
      </c>
      <c r="M3864" t="s">
        <v>125</v>
      </c>
      <c r="N3864" t="s">
        <v>2184</v>
      </c>
      <c r="O3864" t="s">
        <v>82</v>
      </c>
      <c r="P3864" t="str">
        <f>"2170717410                    "</f>
        <v xml:space="preserve">2170717410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6.71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 s="4">
        <v>39.42</v>
      </c>
      <c r="BM3864" s="4">
        <v>5.91</v>
      </c>
      <c r="BN3864" s="4">
        <v>45.33</v>
      </c>
      <c r="BO3864" s="4">
        <v>45.33</v>
      </c>
      <c r="BQ3864" t="s">
        <v>142</v>
      </c>
      <c r="BR3864" t="s">
        <v>84</v>
      </c>
      <c r="BS3864" t="s">
        <v>201</v>
      </c>
      <c r="BY3864">
        <v>1200</v>
      </c>
      <c r="CC3864" t="s">
        <v>125</v>
      </c>
      <c r="CD3864">
        <v>2013</v>
      </c>
      <c r="CE3864" t="s">
        <v>147</v>
      </c>
      <c r="CI3864">
        <v>1</v>
      </c>
      <c r="CJ3864" t="s">
        <v>201</v>
      </c>
      <c r="CK3864">
        <v>22</v>
      </c>
      <c r="CL3864" t="s">
        <v>89</v>
      </c>
    </row>
    <row r="3865" spans="1:90">
      <c r="A3865" t="s">
        <v>72</v>
      </c>
      <c r="B3865" t="s">
        <v>73</v>
      </c>
      <c r="C3865" t="s">
        <v>74</v>
      </c>
      <c r="E3865" t="str">
        <f>"FES1162723996"</f>
        <v>FES1162723996</v>
      </c>
      <c r="F3865" s="3">
        <v>43789</v>
      </c>
      <c r="G3865">
        <v>202005</v>
      </c>
      <c r="H3865" t="s">
        <v>75</v>
      </c>
      <c r="I3865" t="s">
        <v>76</v>
      </c>
      <c r="J3865" t="s">
        <v>211</v>
      </c>
      <c r="K3865" t="s">
        <v>78</v>
      </c>
      <c r="L3865" t="s">
        <v>566</v>
      </c>
      <c r="M3865" t="s">
        <v>567</v>
      </c>
      <c r="N3865" t="s">
        <v>568</v>
      </c>
      <c r="O3865" t="s">
        <v>756</v>
      </c>
      <c r="P3865" t="str">
        <f>"2170716444                    "</f>
        <v xml:space="preserve">2170716444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22.94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6.2</v>
      </c>
      <c r="BJ3865">
        <v>2.2999999999999998</v>
      </c>
      <c r="BK3865">
        <v>7</v>
      </c>
      <c r="BL3865" s="4">
        <v>134.83000000000001</v>
      </c>
      <c r="BM3865" s="4">
        <v>20.22</v>
      </c>
      <c r="BN3865" s="4">
        <v>155.05000000000001</v>
      </c>
      <c r="BO3865" s="4">
        <v>155.05000000000001</v>
      </c>
      <c r="BQ3865" t="s">
        <v>121</v>
      </c>
      <c r="BR3865" t="s">
        <v>212</v>
      </c>
      <c r="BS3865" s="3">
        <v>42370</v>
      </c>
      <c r="BT3865" s="5">
        <v>0.61319444444444449</v>
      </c>
      <c r="BU3865" t="s">
        <v>2006</v>
      </c>
      <c r="BV3865" t="s">
        <v>86</v>
      </c>
      <c r="BY3865">
        <v>11538.43</v>
      </c>
      <c r="BZ3865" t="s">
        <v>27</v>
      </c>
      <c r="CA3865" t="s">
        <v>2007</v>
      </c>
      <c r="CC3865" t="s">
        <v>567</v>
      </c>
      <c r="CD3865">
        <v>2410</v>
      </c>
      <c r="CE3865" t="s">
        <v>88</v>
      </c>
      <c r="CF3865" s="3">
        <v>43791</v>
      </c>
      <c r="CI3865">
        <v>1</v>
      </c>
      <c r="CJ3865">
        <v>-1419</v>
      </c>
      <c r="CK3865">
        <v>34</v>
      </c>
      <c r="CL3865" t="s">
        <v>89</v>
      </c>
    </row>
    <row r="3866" spans="1:90">
      <c r="A3866" t="s">
        <v>72</v>
      </c>
      <c r="B3866" t="s">
        <v>73</v>
      </c>
      <c r="C3866" t="s">
        <v>74</v>
      </c>
      <c r="E3866" t="str">
        <f>"FES1162725988"</f>
        <v>FES1162725988</v>
      </c>
      <c r="F3866" s="3">
        <v>43798</v>
      </c>
      <c r="G3866">
        <v>202005</v>
      </c>
      <c r="H3866" t="s">
        <v>75</v>
      </c>
      <c r="I3866" t="s">
        <v>76</v>
      </c>
      <c r="J3866" t="s">
        <v>77</v>
      </c>
      <c r="K3866" t="s">
        <v>78</v>
      </c>
      <c r="L3866" t="s">
        <v>90</v>
      </c>
      <c r="M3866" t="s">
        <v>91</v>
      </c>
      <c r="N3866" t="s">
        <v>1194</v>
      </c>
      <c r="O3866" t="s">
        <v>82</v>
      </c>
      <c r="P3866" t="str">
        <f>"2170716589                    "</f>
        <v xml:space="preserve">2170716589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8.58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 s="4">
        <v>50.45</v>
      </c>
      <c r="BM3866" s="4">
        <v>7.57</v>
      </c>
      <c r="BN3866" s="4">
        <v>58.02</v>
      </c>
      <c r="BO3866" s="4">
        <v>58.02</v>
      </c>
      <c r="BR3866" t="s">
        <v>84</v>
      </c>
      <c r="BS3866" t="s">
        <v>201</v>
      </c>
      <c r="BY3866">
        <v>1200</v>
      </c>
      <c r="CC3866" t="s">
        <v>91</v>
      </c>
      <c r="CD3866">
        <v>7580</v>
      </c>
      <c r="CE3866" t="s">
        <v>147</v>
      </c>
      <c r="CI3866">
        <v>1</v>
      </c>
      <c r="CJ3866" t="s">
        <v>201</v>
      </c>
      <c r="CK3866">
        <v>21</v>
      </c>
      <c r="CL3866" t="s">
        <v>89</v>
      </c>
    </row>
    <row r="3867" spans="1:90">
      <c r="A3867" t="s">
        <v>72</v>
      </c>
      <c r="B3867" t="s">
        <v>73</v>
      </c>
      <c r="C3867" t="s">
        <v>74</v>
      </c>
      <c r="E3867" t="str">
        <f>"FES1162725997"</f>
        <v>FES1162725997</v>
      </c>
      <c r="F3867" s="3">
        <v>43798</v>
      </c>
      <c r="G3867">
        <v>202005</v>
      </c>
      <c r="H3867" t="s">
        <v>75</v>
      </c>
      <c r="I3867" t="s">
        <v>76</v>
      </c>
      <c r="J3867" t="s">
        <v>77</v>
      </c>
      <c r="K3867" t="s">
        <v>78</v>
      </c>
      <c r="L3867" t="s">
        <v>90</v>
      </c>
      <c r="M3867" t="s">
        <v>91</v>
      </c>
      <c r="N3867" t="s">
        <v>2832</v>
      </c>
      <c r="O3867" t="s">
        <v>82</v>
      </c>
      <c r="P3867" t="str">
        <f>"2170718246                    "</f>
        <v xml:space="preserve">2170718246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8.58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 s="4">
        <v>50.45</v>
      </c>
      <c r="BM3867" s="4">
        <v>7.57</v>
      </c>
      <c r="BN3867" s="4">
        <v>58.02</v>
      </c>
      <c r="BO3867" s="4">
        <v>58.02</v>
      </c>
      <c r="BQ3867" t="s">
        <v>109</v>
      </c>
      <c r="BR3867" t="s">
        <v>84</v>
      </c>
      <c r="BS3867" t="s">
        <v>201</v>
      </c>
      <c r="BY3867">
        <v>1200</v>
      </c>
      <c r="CC3867" t="s">
        <v>91</v>
      </c>
      <c r="CD3867">
        <v>7530</v>
      </c>
      <c r="CE3867" t="s">
        <v>147</v>
      </c>
      <c r="CI3867">
        <v>1</v>
      </c>
      <c r="CJ3867" t="s">
        <v>201</v>
      </c>
      <c r="CK3867">
        <v>21</v>
      </c>
      <c r="CL3867" t="s">
        <v>89</v>
      </c>
    </row>
    <row r="3868" spans="1:90">
      <c r="A3868" t="s">
        <v>72</v>
      </c>
      <c r="B3868" t="s">
        <v>73</v>
      </c>
      <c r="C3868" t="s">
        <v>74</v>
      </c>
      <c r="E3868" t="str">
        <f>"FES1162725971"</f>
        <v>FES1162725971</v>
      </c>
      <c r="F3868" s="3">
        <v>43798</v>
      </c>
      <c r="G3868">
        <v>202005</v>
      </c>
      <c r="H3868" t="s">
        <v>75</v>
      </c>
      <c r="I3868" t="s">
        <v>76</v>
      </c>
      <c r="J3868" t="s">
        <v>77</v>
      </c>
      <c r="K3868" t="s">
        <v>78</v>
      </c>
      <c r="L3868" t="s">
        <v>825</v>
      </c>
      <c r="M3868" t="s">
        <v>826</v>
      </c>
      <c r="N3868" t="s">
        <v>1881</v>
      </c>
      <c r="O3868" t="s">
        <v>82</v>
      </c>
      <c r="P3868" t="str">
        <f>"2170715434                    "</f>
        <v xml:space="preserve">2170715434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12.07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 s="4">
        <v>70.95</v>
      </c>
      <c r="BM3868" s="4">
        <v>10.64</v>
      </c>
      <c r="BN3868" s="4">
        <v>81.59</v>
      </c>
      <c r="BO3868" s="4">
        <v>81.59</v>
      </c>
      <c r="BQ3868" t="s">
        <v>337</v>
      </c>
      <c r="BR3868" t="s">
        <v>84</v>
      </c>
      <c r="BS3868" t="s">
        <v>201</v>
      </c>
      <c r="BY3868">
        <v>1200</v>
      </c>
      <c r="CC3868" t="s">
        <v>826</v>
      </c>
      <c r="CD3868">
        <v>1759</v>
      </c>
      <c r="CE3868" t="s">
        <v>147</v>
      </c>
      <c r="CI3868">
        <v>1</v>
      </c>
      <c r="CJ3868" t="s">
        <v>201</v>
      </c>
      <c r="CK3868">
        <v>24</v>
      </c>
      <c r="CL3868" t="s">
        <v>89</v>
      </c>
    </row>
    <row r="3869" spans="1:90">
      <c r="A3869" t="s">
        <v>72</v>
      </c>
      <c r="B3869" t="s">
        <v>73</v>
      </c>
      <c r="C3869" t="s">
        <v>74</v>
      </c>
      <c r="E3869" t="str">
        <f>"FES1162726052"</f>
        <v>FES1162726052</v>
      </c>
      <c r="F3869" s="3">
        <v>43798</v>
      </c>
      <c r="G3869">
        <v>202005</v>
      </c>
      <c r="H3869" t="s">
        <v>75</v>
      </c>
      <c r="I3869" t="s">
        <v>76</v>
      </c>
      <c r="J3869" t="s">
        <v>77</v>
      </c>
      <c r="K3869" t="s">
        <v>78</v>
      </c>
      <c r="L3869" t="s">
        <v>405</v>
      </c>
      <c r="M3869" t="s">
        <v>406</v>
      </c>
      <c r="N3869" t="s">
        <v>931</v>
      </c>
      <c r="O3869" t="s">
        <v>82</v>
      </c>
      <c r="P3869" t="str">
        <f>"2170715191                    "</f>
        <v xml:space="preserve">2170715191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29.71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2.2000000000000002</v>
      </c>
      <c r="BJ3869">
        <v>4.5999999999999996</v>
      </c>
      <c r="BK3869">
        <v>5</v>
      </c>
      <c r="BL3869" s="4">
        <v>174.63</v>
      </c>
      <c r="BM3869" s="4">
        <v>26.19</v>
      </c>
      <c r="BN3869" s="4">
        <v>200.82</v>
      </c>
      <c r="BO3869" s="4">
        <v>200.82</v>
      </c>
      <c r="BQ3869" t="s">
        <v>932</v>
      </c>
      <c r="BR3869" t="s">
        <v>84</v>
      </c>
      <c r="BS3869" t="s">
        <v>201</v>
      </c>
      <c r="BY3869">
        <v>23224.35</v>
      </c>
      <c r="CC3869" t="s">
        <v>406</v>
      </c>
      <c r="CD3869">
        <v>250</v>
      </c>
      <c r="CE3869" t="s">
        <v>1598</v>
      </c>
      <c r="CI3869">
        <v>1</v>
      </c>
      <c r="CJ3869" t="s">
        <v>201</v>
      </c>
      <c r="CK3869">
        <v>24</v>
      </c>
      <c r="CL3869" t="s">
        <v>89</v>
      </c>
    </row>
    <row r="3870" spans="1:90">
      <c r="A3870" t="s">
        <v>72</v>
      </c>
      <c r="B3870" t="s">
        <v>73</v>
      </c>
      <c r="C3870" t="s">
        <v>74</v>
      </c>
      <c r="E3870" t="str">
        <f>"FES1162725469"</f>
        <v>FES1162725469</v>
      </c>
      <c r="F3870" s="3">
        <v>43797</v>
      </c>
      <c r="G3870">
        <v>202005</v>
      </c>
      <c r="H3870" t="s">
        <v>75</v>
      </c>
      <c r="I3870" t="s">
        <v>76</v>
      </c>
      <c r="J3870" t="s">
        <v>77</v>
      </c>
      <c r="K3870" t="s">
        <v>78</v>
      </c>
      <c r="L3870" t="s">
        <v>999</v>
      </c>
      <c r="M3870" t="s">
        <v>91</v>
      </c>
      <c r="N3870" t="s">
        <v>1194</v>
      </c>
      <c r="O3870" t="s">
        <v>282</v>
      </c>
      <c r="P3870" t="str">
        <f>"2170716521                    "</f>
        <v xml:space="preserve">2170716521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25.85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25.3</v>
      </c>
      <c r="BJ3870">
        <v>12.3</v>
      </c>
      <c r="BK3870">
        <v>26</v>
      </c>
      <c r="BL3870" s="4">
        <v>156.93</v>
      </c>
      <c r="BM3870" s="4">
        <v>23.54</v>
      </c>
      <c r="BN3870" s="4">
        <v>180.47</v>
      </c>
      <c r="BO3870" s="4">
        <v>180.47</v>
      </c>
      <c r="BQ3870" t="s">
        <v>121</v>
      </c>
      <c r="BR3870" t="s">
        <v>84</v>
      </c>
      <c r="BS3870" t="s">
        <v>201</v>
      </c>
      <c r="BY3870">
        <v>61685.64</v>
      </c>
      <c r="CC3870" t="s">
        <v>91</v>
      </c>
      <c r="CD3870">
        <v>7580</v>
      </c>
      <c r="CE3870" t="s">
        <v>88</v>
      </c>
      <c r="CI3870">
        <v>2</v>
      </c>
      <c r="CJ3870" t="s">
        <v>201</v>
      </c>
      <c r="CK3870" t="s">
        <v>1002</v>
      </c>
      <c r="CL3870" t="s">
        <v>89</v>
      </c>
    </row>
    <row r="3871" spans="1:90">
      <c r="A3871" t="s">
        <v>72</v>
      </c>
      <c r="B3871" t="s">
        <v>73</v>
      </c>
      <c r="C3871" t="s">
        <v>74</v>
      </c>
      <c r="E3871" t="str">
        <f>"019911311452"</f>
        <v>019911311452</v>
      </c>
      <c r="F3871" s="3">
        <v>43797</v>
      </c>
      <c r="G3871">
        <v>202005</v>
      </c>
      <c r="H3871" t="s">
        <v>90</v>
      </c>
      <c r="I3871" t="s">
        <v>91</v>
      </c>
      <c r="J3871" t="s">
        <v>211</v>
      </c>
      <c r="K3871" t="s">
        <v>78</v>
      </c>
      <c r="L3871" t="s">
        <v>75</v>
      </c>
      <c r="M3871" t="s">
        <v>76</v>
      </c>
      <c r="N3871" t="s">
        <v>1014</v>
      </c>
      <c r="O3871" t="s">
        <v>282</v>
      </c>
      <c r="P3871" t="str">
        <f>"1703                          "</f>
        <v xml:space="preserve">1703      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57.45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4</v>
      </c>
      <c r="BI3871">
        <v>67.7</v>
      </c>
      <c r="BJ3871">
        <v>52.3</v>
      </c>
      <c r="BK3871">
        <v>68</v>
      </c>
      <c r="BL3871" s="4">
        <v>342.67</v>
      </c>
      <c r="BM3871" s="4">
        <v>51.4</v>
      </c>
      <c r="BN3871" s="4">
        <v>394.07</v>
      </c>
      <c r="BO3871" s="4">
        <v>394.07</v>
      </c>
      <c r="BQ3871" t="s">
        <v>1015</v>
      </c>
      <c r="BR3871" t="s">
        <v>1011</v>
      </c>
      <c r="BS3871" t="s">
        <v>201</v>
      </c>
      <c r="BY3871">
        <v>261419.7</v>
      </c>
      <c r="CC3871" t="s">
        <v>76</v>
      </c>
      <c r="CD3871">
        <v>1619</v>
      </c>
      <c r="CE3871" t="s">
        <v>3442</v>
      </c>
      <c r="CI3871">
        <v>2</v>
      </c>
      <c r="CJ3871" t="s">
        <v>201</v>
      </c>
      <c r="CK3871" t="s">
        <v>1002</v>
      </c>
      <c r="CL3871" t="s">
        <v>89</v>
      </c>
    </row>
    <row r="3872" spans="1:90">
      <c r="A3872" t="s">
        <v>72</v>
      </c>
      <c r="B3872" t="s">
        <v>73</v>
      </c>
      <c r="C3872" t="s">
        <v>74</v>
      </c>
      <c r="E3872" t="str">
        <f>"FES1162725610"</f>
        <v>FES1162725610</v>
      </c>
      <c r="F3872" s="3">
        <v>43797</v>
      </c>
      <c r="G3872">
        <v>202005</v>
      </c>
      <c r="H3872" t="s">
        <v>75</v>
      </c>
      <c r="I3872" t="s">
        <v>76</v>
      </c>
      <c r="J3872" t="s">
        <v>77</v>
      </c>
      <c r="K3872" t="s">
        <v>78</v>
      </c>
      <c r="L3872" t="s">
        <v>118</v>
      </c>
      <c r="M3872" t="s">
        <v>119</v>
      </c>
      <c r="N3872" t="s">
        <v>439</v>
      </c>
      <c r="O3872" t="s">
        <v>282</v>
      </c>
      <c r="P3872" t="str">
        <f>"2170718109                    "</f>
        <v xml:space="preserve">2170718109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29.98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2</v>
      </c>
      <c r="BI3872">
        <v>21.3</v>
      </c>
      <c r="BJ3872">
        <v>32.9</v>
      </c>
      <c r="BK3872">
        <v>33</v>
      </c>
      <c r="BL3872" s="4">
        <v>181.22</v>
      </c>
      <c r="BM3872" s="4">
        <v>27.18</v>
      </c>
      <c r="BN3872" s="4">
        <v>208.4</v>
      </c>
      <c r="BO3872" s="4">
        <v>208.4</v>
      </c>
      <c r="BQ3872" t="s">
        <v>121</v>
      </c>
      <c r="BR3872" t="s">
        <v>84</v>
      </c>
      <c r="BS3872" s="3">
        <v>43798</v>
      </c>
      <c r="BT3872" s="5">
        <v>0.44097222222222227</v>
      </c>
      <c r="BU3872" t="s">
        <v>2077</v>
      </c>
      <c r="BV3872" t="s">
        <v>86</v>
      </c>
      <c r="BY3872">
        <v>164650.71</v>
      </c>
      <c r="CA3872" t="s">
        <v>132</v>
      </c>
      <c r="CC3872" t="s">
        <v>119</v>
      </c>
      <c r="CD3872">
        <v>3201</v>
      </c>
      <c r="CE3872" t="s">
        <v>1892</v>
      </c>
      <c r="CI3872">
        <v>1</v>
      </c>
      <c r="CJ3872">
        <v>1</v>
      </c>
      <c r="CK3872" t="s">
        <v>2377</v>
      </c>
      <c r="CL3872" t="s">
        <v>89</v>
      </c>
    </row>
    <row r="3873" spans="1:90">
      <c r="A3873" t="s">
        <v>72</v>
      </c>
      <c r="B3873" t="s">
        <v>73</v>
      </c>
      <c r="C3873" t="s">
        <v>74</v>
      </c>
      <c r="E3873" t="str">
        <f>"FES1162725087"</f>
        <v>FES1162725087</v>
      </c>
      <c r="F3873" s="3">
        <v>43795</v>
      </c>
      <c r="G3873">
        <v>202005</v>
      </c>
      <c r="H3873" t="s">
        <v>75</v>
      </c>
      <c r="I3873" t="s">
        <v>76</v>
      </c>
      <c r="J3873" t="s">
        <v>211</v>
      </c>
      <c r="K3873" t="s">
        <v>78</v>
      </c>
      <c r="L3873" t="s">
        <v>1063</v>
      </c>
      <c r="M3873" t="s">
        <v>1064</v>
      </c>
      <c r="N3873" t="s">
        <v>3443</v>
      </c>
      <c r="O3873" t="s">
        <v>756</v>
      </c>
      <c r="P3873" t="str">
        <f>"2170718826                    "</f>
        <v xml:space="preserve">2170718826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12.07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2.5</v>
      </c>
      <c r="BJ3873">
        <v>4</v>
      </c>
      <c r="BK3873">
        <v>4</v>
      </c>
      <c r="BL3873" s="4">
        <v>70.95</v>
      </c>
      <c r="BM3873" s="4">
        <v>10.64</v>
      </c>
      <c r="BN3873" s="4">
        <v>81.59</v>
      </c>
      <c r="BO3873" s="4">
        <v>81.59</v>
      </c>
      <c r="BQ3873" t="s">
        <v>121</v>
      </c>
      <c r="BR3873" t="s">
        <v>212</v>
      </c>
      <c r="BS3873" s="3">
        <v>43796</v>
      </c>
      <c r="BT3873" s="5">
        <v>0.45624999999999999</v>
      </c>
      <c r="BU3873" t="s">
        <v>231</v>
      </c>
      <c r="BV3873" t="s">
        <v>86</v>
      </c>
      <c r="BY3873">
        <v>20214.560000000001</v>
      </c>
      <c r="BZ3873" t="s">
        <v>27</v>
      </c>
      <c r="CC3873" t="s">
        <v>1064</v>
      </c>
      <c r="CD3873">
        <v>1786</v>
      </c>
      <c r="CE3873" t="s">
        <v>88</v>
      </c>
      <c r="CF3873" s="3">
        <v>43797</v>
      </c>
      <c r="CI3873">
        <v>1</v>
      </c>
      <c r="CJ3873">
        <v>1</v>
      </c>
      <c r="CK3873">
        <v>34</v>
      </c>
      <c r="CL3873" t="s">
        <v>89</v>
      </c>
    </row>
    <row r="3874" spans="1:90">
      <c r="A3874" t="s">
        <v>72</v>
      </c>
      <c r="B3874" t="s">
        <v>73</v>
      </c>
      <c r="C3874" t="s">
        <v>74</v>
      </c>
      <c r="E3874" t="str">
        <f>"FES1162725959"</f>
        <v>FES1162725959</v>
      </c>
      <c r="F3874" s="3">
        <v>43798</v>
      </c>
      <c r="G3874">
        <v>202005</v>
      </c>
      <c r="H3874" t="s">
        <v>75</v>
      </c>
      <c r="I3874" t="s">
        <v>76</v>
      </c>
      <c r="J3874" t="s">
        <v>77</v>
      </c>
      <c r="K3874" t="s">
        <v>78</v>
      </c>
      <c r="L3874" t="s">
        <v>106</v>
      </c>
      <c r="M3874" t="s">
        <v>107</v>
      </c>
      <c r="N3874" t="s">
        <v>3397</v>
      </c>
      <c r="O3874" t="s">
        <v>82</v>
      </c>
      <c r="P3874" t="str">
        <f>"2170719430                    "</f>
        <v xml:space="preserve">2170719430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8.58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 s="4">
        <v>50.45</v>
      </c>
      <c r="BM3874" s="4">
        <v>7.57</v>
      </c>
      <c r="BN3874" s="4">
        <v>58.02</v>
      </c>
      <c r="BO3874" s="4">
        <v>58.02</v>
      </c>
      <c r="BQ3874" t="s">
        <v>109</v>
      </c>
      <c r="BR3874" t="s">
        <v>84</v>
      </c>
      <c r="BS3874" t="s">
        <v>201</v>
      </c>
      <c r="BY3874">
        <v>1200</v>
      </c>
      <c r="CC3874" t="s">
        <v>107</v>
      </c>
      <c r="CD3874">
        <v>6000</v>
      </c>
      <c r="CE3874" t="s">
        <v>147</v>
      </c>
      <c r="CI3874">
        <v>1</v>
      </c>
      <c r="CJ3874" t="s">
        <v>201</v>
      </c>
      <c r="CK3874">
        <v>21</v>
      </c>
      <c r="CL3874" t="s">
        <v>89</v>
      </c>
    </row>
    <row r="3875" spans="1:90">
      <c r="A3875" t="s">
        <v>72</v>
      </c>
      <c r="B3875" t="s">
        <v>73</v>
      </c>
      <c r="C3875" t="s">
        <v>74</v>
      </c>
      <c r="E3875" t="str">
        <f>"FES1162725579"</f>
        <v>FES1162725579</v>
      </c>
      <c r="F3875" s="3">
        <v>43798</v>
      </c>
      <c r="G3875">
        <v>202005</v>
      </c>
      <c r="H3875" t="s">
        <v>75</v>
      </c>
      <c r="I3875" t="s">
        <v>76</v>
      </c>
      <c r="J3875" t="s">
        <v>77</v>
      </c>
      <c r="K3875" t="s">
        <v>78</v>
      </c>
      <c r="L3875" t="s">
        <v>79</v>
      </c>
      <c r="M3875" t="s">
        <v>80</v>
      </c>
      <c r="N3875" t="s">
        <v>1843</v>
      </c>
      <c r="O3875" t="s">
        <v>82</v>
      </c>
      <c r="P3875" t="str">
        <f>"2170717702                    "</f>
        <v xml:space="preserve">2170717702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17.16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3.9</v>
      </c>
      <c r="BJ3875">
        <v>1.6</v>
      </c>
      <c r="BK3875">
        <v>4</v>
      </c>
      <c r="BL3875" s="4">
        <v>100.87</v>
      </c>
      <c r="BM3875" s="4">
        <v>15.13</v>
      </c>
      <c r="BN3875" s="4">
        <v>116</v>
      </c>
      <c r="BO3875" s="4">
        <v>116</v>
      </c>
      <c r="BQ3875" t="s">
        <v>109</v>
      </c>
      <c r="BR3875" t="s">
        <v>84</v>
      </c>
      <c r="BS3875" t="s">
        <v>201</v>
      </c>
      <c r="BY3875">
        <v>7994.9</v>
      </c>
      <c r="CC3875" t="s">
        <v>80</v>
      </c>
      <c r="CD3875">
        <v>6229</v>
      </c>
      <c r="CE3875" t="s">
        <v>88</v>
      </c>
      <c r="CI3875">
        <v>1</v>
      </c>
      <c r="CJ3875" t="s">
        <v>201</v>
      </c>
      <c r="CK3875">
        <v>21</v>
      </c>
      <c r="CL3875" t="s">
        <v>89</v>
      </c>
    </row>
    <row r="3876" spans="1:90">
      <c r="A3876" t="s">
        <v>72</v>
      </c>
      <c r="B3876" t="s">
        <v>73</v>
      </c>
      <c r="C3876" t="s">
        <v>74</v>
      </c>
      <c r="E3876" t="str">
        <f>"FES1162725902"</f>
        <v>FES1162725902</v>
      </c>
      <c r="F3876" s="3">
        <v>43798</v>
      </c>
      <c r="G3876">
        <v>202005</v>
      </c>
      <c r="H3876" t="s">
        <v>75</v>
      </c>
      <c r="I3876" t="s">
        <v>76</v>
      </c>
      <c r="J3876" t="s">
        <v>77</v>
      </c>
      <c r="K3876" t="s">
        <v>78</v>
      </c>
      <c r="L3876" t="s">
        <v>106</v>
      </c>
      <c r="M3876" t="s">
        <v>107</v>
      </c>
      <c r="N3876" t="s">
        <v>108</v>
      </c>
      <c r="O3876" t="s">
        <v>82</v>
      </c>
      <c r="P3876" t="str">
        <f>"2170719449                    "</f>
        <v xml:space="preserve">2170719449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23.59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5.2</v>
      </c>
      <c r="BJ3876">
        <v>1.7</v>
      </c>
      <c r="BK3876">
        <v>5.5</v>
      </c>
      <c r="BL3876" s="4">
        <v>138.68</v>
      </c>
      <c r="BM3876" s="4">
        <v>20.8</v>
      </c>
      <c r="BN3876" s="4">
        <v>159.47999999999999</v>
      </c>
      <c r="BO3876" s="4">
        <v>159.47999999999999</v>
      </c>
      <c r="BQ3876" t="s">
        <v>109</v>
      </c>
      <c r="BR3876" t="s">
        <v>84</v>
      </c>
      <c r="BS3876" t="s">
        <v>201</v>
      </c>
      <c r="BY3876">
        <v>8372.5499999999993</v>
      </c>
      <c r="CC3876" t="s">
        <v>107</v>
      </c>
      <c r="CD3876">
        <v>6001</v>
      </c>
      <c r="CE3876" t="s">
        <v>88</v>
      </c>
      <c r="CI3876">
        <v>1</v>
      </c>
      <c r="CJ3876" t="s">
        <v>201</v>
      </c>
      <c r="CK3876">
        <v>21</v>
      </c>
      <c r="CL3876" t="s">
        <v>89</v>
      </c>
    </row>
    <row r="3877" spans="1:90">
      <c r="A3877" t="s">
        <v>72</v>
      </c>
      <c r="B3877" t="s">
        <v>73</v>
      </c>
      <c r="C3877" t="s">
        <v>74</v>
      </c>
      <c r="E3877" t="str">
        <f>"FES1162725685"</f>
        <v>FES1162725685</v>
      </c>
      <c r="F3877" s="3">
        <v>43798</v>
      </c>
      <c r="G3877">
        <v>202005</v>
      </c>
      <c r="H3877" t="s">
        <v>75</v>
      </c>
      <c r="I3877" t="s">
        <v>76</v>
      </c>
      <c r="J3877" t="s">
        <v>77</v>
      </c>
      <c r="K3877" t="s">
        <v>78</v>
      </c>
      <c r="L3877" t="s">
        <v>79</v>
      </c>
      <c r="M3877" t="s">
        <v>80</v>
      </c>
      <c r="N3877" t="s">
        <v>456</v>
      </c>
      <c r="O3877" t="s">
        <v>82</v>
      </c>
      <c r="P3877" t="str">
        <f>"2170719744                    "</f>
        <v xml:space="preserve">2170719744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75.06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11.3</v>
      </c>
      <c r="BJ3877">
        <v>17.3</v>
      </c>
      <c r="BK3877">
        <v>17.5</v>
      </c>
      <c r="BL3877" s="4">
        <v>441.19</v>
      </c>
      <c r="BM3877" s="4">
        <v>66.180000000000007</v>
      </c>
      <c r="BN3877" s="4">
        <v>507.37</v>
      </c>
      <c r="BO3877" s="4">
        <v>507.37</v>
      </c>
      <c r="BQ3877" t="s">
        <v>109</v>
      </c>
      <c r="BR3877" t="s">
        <v>84</v>
      </c>
      <c r="BS3877" t="s">
        <v>201</v>
      </c>
      <c r="BY3877">
        <v>86444.09</v>
      </c>
      <c r="CC3877" t="s">
        <v>80</v>
      </c>
      <c r="CD3877">
        <v>6230</v>
      </c>
      <c r="CE3877" t="s">
        <v>88</v>
      </c>
      <c r="CI3877">
        <v>1</v>
      </c>
      <c r="CJ3877" t="s">
        <v>201</v>
      </c>
      <c r="CK3877">
        <v>21</v>
      </c>
      <c r="CL3877" t="s">
        <v>89</v>
      </c>
    </row>
    <row r="3878" spans="1:90">
      <c r="A3878" t="s">
        <v>72</v>
      </c>
      <c r="B3878" t="s">
        <v>73</v>
      </c>
      <c r="C3878" t="s">
        <v>74</v>
      </c>
      <c r="E3878" t="str">
        <f>"FES1162725980"</f>
        <v>FES1162725980</v>
      </c>
      <c r="F3878" s="3">
        <v>43798</v>
      </c>
      <c r="G3878">
        <v>202005</v>
      </c>
      <c r="H3878" t="s">
        <v>75</v>
      </c>
      <c r="I3878" t="s">
        <v>76</v>
      </c>
      <c r="J3878" t="s">
        <v>77</v>
      </c>
      <c r="K3878" t="s">
        <v>78</v>
      </c>
      <c r="L3878" t="s">
        <v>2111</v>
      </c>
      <c r="M3878" t="s">
        <v>2112</v>
      </c>
      <c r="N3878" t="s">
        <v>2113</v>
      </c>
      <c r="O3878" t="s">
        <v>82</v>
      </c>
      <c r="P3878" t="str">
        <f>"2170716117                    "</f>
        <v xml:space="preserve">2170716117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16.63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 s="4">
        <v>97.75</v>
      </c>
      <c r="BM3878" s="4">
        <v>14.66</v>
      </c>
      <c r="BN3878" s="4">
        <v>112.41</v>
      </c>
      <c r="BO3878" s="4">
        <v>112.41</v>
      </c>
      <c r="BQ3878" t="s">
        <v>109</v>
      </c>
      <c r="BR3878" t="s">
        <v>84</v>
      </c>
      <c r="BS3878" t="s">
        <v>201</v>
      </c>
      <c r="BY3878">
        <v>1200</v>
      </c>
      <c r="CC3878" t="s">
        <v>2112</v>
      </c>
      <c r="CD3878">
        <v>4380</v>
      </c>
      <c r="CE3878" t="s">
        <v>147</v>
      </c>
      <c r="CI3878">
        <v>1</v>
      </c>
      <c r="CJ3878" t="s">
        <v>201</v>
      </c>
      <c r="CK3878">
        <v>23</v>
      </c>
      <c r="CL3878" t="s">
        <v>89</v>
      </c>
    </row>
    <row r="3879" spans="1:90">
      <c r="A3879" t="s">
        <v>72</v>
      </c>
      <c r="B3879" t="s">
        <v>73</v>
      </c>
      <c r="C3879" t="s">
        <v>74</v>
      </c>
      <c r="E3879" t="str">
        <f>"FES1162726036"</f>
        <v>FES1162726036</v>
      </c>
      <c r="F3879" s="3">
        <v>43798</v>
      </c>
      <c r="G3879">
        <v>202005</v>
      </c>
      <c r="H3879" t="s">
        <v>75</v>
      </c>
      <c r="I3879" t="s">
        <v>76</v>
      </c>
      <c r="J3879" t="s">
        <v>77</v>
      </c>
      <c r="K3879" t="s">
        <v>78</v>
      </c>
      <c r="L3879" t="s">
        <v>202</v>
      </c>
      <c r="M3879" t="s">
        <v>203</v>
      </c>
      <c r="N3879" t="s">
        <v>521</v>
      </c>
      <c r="O3879" t="s">
        <v>82</v>
      </c>
      <c r="P3879" t="str">
        <f>"2170719499                    "</f>
        <v xml:space="preserve">2170719499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6.71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 s="4">
        <v>39.42</v>
      </c>
      <c r="BM3879" s="4">
        <v>5.91</v>
      </c>
      <c r="BN3879" s="4">
        <v>45.33</v>
      </c>
      <c r="BO3879" s="4">
        <v>45.33</v>
      </c>
      <c r="BQ3879" t="s">
        <v>109</v>
      </c>
      <c r="BR3879" t="s">
        <v>84</v>
      </c>
      <c r="BS3879" t="s">
        <v>201</v>
      </c>
      <c r="BY3879">
        <v>1200</v>
      </c>
      <c r="CC3879" t="s">
        <v>203</v>
      </c>
      <c r="CD3879">
        <v>1428</v>
      </c>
      <c r="CE3879" t="s">
        <v>147</v>
      </c>
      <c r="CI3879">
        <v>1</v>
      </c>
      <c r="CJ3879" t="s">
        <v>201</v>
      </c>
      <c r="CK3879">
        <v>22</v>
      </c>
      <c r="CL3879" t="s">
        <v>89</v>
      </c>
    </row>
    <row r="3880" spans="1:90">
      <c r="A3880" t="s">
        <v>72</v>
      </c>
      <c r="B3880" t="s">
        <v>73</v>
      </c>
      <c r="C3880" t="s">
        <v>74</v>
      </c>
      <c r="E3880" t="str">
        <f>"FES1162725716"</f>
        <v>FES1162725716</v>
      </c>
      <c r="F3880" s="3">
        <v>43798</v>
      </c>
      <c r="G3880">
        <v>202005</v>
      </c>
      <c r="H3880" t="s">
        <v>75</v>
      </c>
      <c r="I3880" t="s">
        <v>76</v>
      </c>
      <c r="J3880" t="s">
        <v>77</v>
      </c>
      <c r="K3880" t="s">
        <v>78</v>
      </c>
      <c r="L3880" t="s">
        <v>270</v>
      </c>
      <c r="M3880" t="s">
        <v>271</v>
      </c>
      <c r="N3880" t="s">
        <v>618</v>
      </c>
      <c r="O3880" t="s">
        <v>82</v>
      </c>
      <c r="P3880" t="str">
        <f>"21707164941                   "</f>
        <v xml:space="preserve">21707164941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8.58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0.8</v>
      </c>
      <c r="BK3880">
        <v>1</v>
      </c>
      <c r="BL3880" s="4">
        <v>50.45</v>
      </c>
      <c r="BM3880" s="4">
        <v>7.57</v>
      </c>
      <c r="BN3880" s="4">
        <v>58.02</v>
      </c>
      <c r="BO3880" s="4">
        <v>58.02</v>
      </c>
      <c r="BQ3880" t="s">
        <v>121</v>
      </c>
      <c r="BR3880" t="s">
        <v>84</v>
      </c>
      <c r="BS3880" t="s">
        <v>201</v>
      </c>
      <c r="BY3880">
        <v>4112.51</v>
      </c>
      <c r="CC3880" t="s">
        <v>271</v>
      </c>
      <c r="CD3880">
        <v>6220</v>
      </c>
      <c r="CE3880" t="s">
        <v>1598</v>
      </c>
      <c r="CI3880">
        <v>1</v>
      </c>
      <c r="CJ3880" t="s">
        <v>201</v>
      </c>
      <c r="CK3880">
        <v>21</v>
      </c>
      <c r="CL3880" t="s">
        <v>89</v>
      </c>
    </row>
    <row r="3881" spans="1:90">
      <c r="A3881" t="s">
        <v>72</v>
      </c>
      <c r="B3881" t="s">
        <v>73</v>
      </c>
      <c r="C3881" t="s">
        <v>74</v>
      </c>
      <c r="E3881" t="str">
        <f>"FES1162726089"</f>
        <v>FES1162726089</v>
      </c>
      <c r="F3881" s="3">
        <v>43798</v>
      </c>
      <c r="G3881">
        <v>202005</v>
      </c>
      <c r="H3881" t="s">
        <v>75</v>
      </c>
      <c r="I3881" t="s">
        <v>76</v>
      </c>
      <c r="J3881" t="s">
        <v>77</v>
      </c>
      <c r="K3881" t="s">
        <v>78</v>
      </c>
      <c r="L3881" t="s">
        <v>90</v>
      </c>
      <c r="M3881" t="s">
        <v>91</v>
      </c>
      <c r="N3881" t="s">
        <v>576</v>
      </c>
      <c r="O3881" t="s">
        <v>82</v>
      </c>
      <c r="P3881" t="str">
        <f>"2170719570                    "</f>
        <v xml:space="preserve">2170719570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21.45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5</v>
      </c>
      <c r="BJ3881">
        <v>3.2</v>
      </c>
      <c r="BK3881">
        <v>5</v>
      </c>
      <c r="BL3881" s="4">
        <v>126.08</v>
      </c>
      <c r="BM3881" s="4">
        <v>18.91</v>
      </c>
      <c r="BN3881" s="4">
        <v>144.99</v>
      </c>
      <c r="BO3881" s="4">
        <v>144.99</v>
      </c>
      <c r="BQ3881" t="s">
        <v>109</v>
      </c>
      <c r="BR3881" t="s">
        <v>84</v>
      </c>
      <c r="BS3881" t="s">
        <v>201</v>
      </c>
      <c r="BY3881">
        <v>15889.97</v>
      </c>
      <c r="CC3881" t="s">
        <v>91</v>
      </c>
      <c r="CD3881">
        <v>7441</v>
      </c>
      <c r="CE3881" t="s">
        <v>88</v>
      </c>
      <c r="CI3881">
        <v>1</v>
      </c>
      <c r="CJ3881" t="s">
        <v>201</v>
      </c>
      <c r="CK3881">
        <v>21</v>
      </c>
      <c r="CL3881" t="s">
        <v>89</v>
      </c>
    </row>
    <row r="3882" spans="1:90">
      <c r="A3882" t="s">
        <v>72</v>
      </c>
      <c r="B3882" t="s">
        <v>73</v>
      </c>
      <c r="C3882" t="s">
        <v>74</v>
      </c>
      <c r="E3882" t="str">
        <f>"FES1162725904"</f>
        <v>FES1162725904</v>
      </c>
      <c r="F3882" s="3">
        <v>43798</v>
      </c>
      <c r="G3882">
        <v>202005</v>
      </c>
      <c r="H3882" t="s">
        <v>75</v>
      </c>
      <c r="I3882" t="s">
        <v>76</v>
      </c>
      <c r="J3882" t="s">
        <v>77</v>
      </c>
      <c r="K3882" t="s">
        <v>78</v>
      </c>
      <c r="L3882" t="s">
        <v>106</v>
      </c>
      <c r="M3882" t="s">
        <v>107</v>
      </c>
      <c r="N3882" t="s">
        <v>700</v>
      </c>
      <c r="O3882" t="s">
        <v>82</v>
      </c>
      <c r="P3882" t="str">
        <f>"2170713250                    "</f>
        <v xml:space="preserve">2170713250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77.2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17.8</v>
      </c>
      <c r="BJ3882">
        <v>12.5</v>
      </c>
      <c r="BK3882">
        <v>18</v>
      </c>
      <c r="BL3882" s="4">
        <v>453.79</v>
      </c>
      <c r="BM3882" s="4">
        <v>68.069999999999993</v>
      </c>
      <c r="BN3882" s="4">
        <v>521.86</v>
      </c>
      <c r="BO3882" s="4">
        <v>521.86</v>
      </c>
      <c r="BQ3882" t="s">
        <v>109</v>
      </c>
      <c r="BR3882" t="s">
        <v>84</v>
      </c>
      <c r="BS3882" t="s">
        <v>201</v>
      </c>
      <c r="BY3882">
        <v>62335.35</v>
      </c>
      <c r="CC3882" t="s">
        <v>107</v>
      </c>
      <c r="CD3882">
        <v>6001</v>
      </c>
      <c r="CE3882" t="s">
        <v>1598</v>
      </c>
      <c r="CI3882">
        <v>1</v>
      </c>
      <c r="CJ3882" t="s">
        <v>201</v>
      </c>
      <c r="CK3882">
        <v>21</v>
      </c>
      <c r="CL3882" t="s">
        <v>89</v>
      </c>
    </row>
    <row r="3883" spans="1:90">
      <c r="A3883" t="s">
        <v>72</v>
      </c>
      <c r="B3883" t="s">
        <v>73</v>
      </c>
      <c r="C3883" t="s">
        <v>74</v>
      </c>
      <c r="E3883" t="str">
        <f>"FES1162725955"</f>
        <v>FES1162725955</v>
      </c>
      <c r="F3883" s="3">
        <v>43798</v>
      </c>
      <c r="G3883">
        <v>202005</v>
      </c>
      <c r="H3883" t="s">
        <v>75</v>
      </c>
      <c r="I3883" t="s">
        <v>76</v>
      </c>
      <c r="J3883" t="s">
        <v>77</v>
      </c>
      <c r="K3883" t="s">
        <v>78</v>
      </c>
      <c r="L3883" t="s">
        <v>90</v>
      </c>
      <c r="M3883" t="s">
        <v>91</v>
      </c>
      <c r="N3883" t="s">
        <v>538</v>
      </c>
      <c r="O3883" t="s">
        <v>82</v>
      </c>
      <c r="P3883" t="str">
        <f>"2170719203                    "</f>
        <v xml:space="preserve">2170719203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17.16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3.8</v>
      </c>
      <c r="BJ3883">
        <v>2</v>
      </c>
      <c r="BK3883">
        <v>4</v>
      </c>
      <c r="BL3883" s="4">
        <v>100.87</v>
      </c>
      <c r="BM3883" s="4">
        <v>15.13</v>
      </c>
      <c r="BN3883" s="4">
        <v>116</v>
      </c>
      <c r="BO3883" s="4">
        <v>116</v>
      </c>
      <c r="BQ3883" t="s">
        <v>109</v>
      </c>
      <c r="BR3883" t="s">
        <v>84</v>
      </c>
      <c r="BS3883" t="s">
        <v>201</v>
      </c>
      <c r="BY3883">
        <v>10147.41</v>
      </c>
      <c r="CC3883" t="s">
        <v>91</v>
      </c>
      <c r="CD3883">
        <v>7530</v>
      </c>
      <c r="CE3883" t="s">
        <v>1598</v>
      </c>
      <c r="CI3883">
        <v>1</v>
      </c>
      <c r="CJ3883" t="s">
        <v>201</v>
      </c>
      <c r="CK3883">
        <v>21</v>
      </c>
      <c r="CL3883" t="s">
        <v>89</v>
      </c>
    </row>
    <row r="3884" spans="1:90">
      <c r="A3884" t="s">
        <v>72</v>
      </c>
      <c r="B3884" t="s">
        <v>73</v>
      </c>
      <c r="C3884" t="s">
        <v>74</v>
      </c>
      <c r="E3884" t="str">
        <f>"FES1162725721"</f>
        <v>FES1162725721</v>
      </c>
      <c r="F3884" s="3">
        <v>43798</v>
      </c>
      <c r="G3884">
        <v>202005</v>
      </c>
      <c r="H3884" t="s">
        <v>75</v>
      </c>
      <c r="I3884" t="s">
        <v>76</v>
      </c>
      <c r="J3884" t="s">
        <v>77</v>
      </c>
      <c r="K3884" t="s">
        <v>78</v>
      </c>
      <c r="L3884" t="s">
        <v>133</v>
      </c>
      <c r="M3884" t="s">
        <v>134</v>
      </c>
      <c r="N3884" t="s">
        <v>986</v>
      </c>
      <c r="O3884" t="s">
        <v>82</v>
      </c>
      <c r="P3884" t="str">
        <f>"2170717056                    "</f>
        <v xml:space="preserve">2170717056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51.47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2</v>
      </c>
      <c r="BI3884">
        <v>11.8</v>
      </c>
      <c r="BJ3884">
        <v>3.8</v>
      </c>
      <c r="BK3884">
        <v>12</v>
      </c>
      <c r="BL3884" s="4">
        <v>302.54000000000002</v>
      </c>
      <c r="BM3884" s="4">
        <v>45.38</v>
      </c>
      <c r="BN3884" s="4">
        <v>347.92</v>
      </c>
      <c r="BO3884" s="4">
        <v>347.92</v>
      </c>
      <c r="BR3884" t="s">
        <v>84</v>
      </c>
      <c r="BS3884" t="s">
        <v>201</v>
      </c>
      <c r="BY3884">
        <v>19194.02</v>
      </c>
      <c r="CC3884" t="s">
        <v>134</v>
      </c>
      <c r="CD3884">
        <v>5200</v>
      </c>
      <c r="CE3884" t="s">
        <v>3213</v>
      </c>
      <c r="CI3884">
        <v>1</v>
      </c>
      <c r="CJ3884" t="s">
        <v>201</v>
      </c>
      <c r="CK3884">
        <v>21</v>
      </c>
      <c r="CL3884" t="s">
        <v>89</v>
      </c>
    </row>
    <row r="3885" spans="1:90">
      <c r="A3885" t="s">
        <v>72</v>
      </c>
      <c r="B3885" t="s">
        <v>73</v>
      </c>
      <c r="C3885" t="s">
        <v>74</v>
      </c>
      <c r="E3885" t="str">
        <f>"FES1162725976"</f>
        <v>FES1162725976</v>
      </c>
      <c r="F3885" s="3">
        <v>43798</v>
      </c>
      <c r="G3885">
        <v>202005</v>
      </c>
      <c r="H3885" t="s">
        <v>75</v>
      </c>
      <c r="I3885" t="s">
        <v>76</v>
      </c>
      <c r="J3885" t="s">
        <v>77</v>
      </c>
      <c r="K3885" t="s">
        <v>78</v>
      </c>
      <c r="L3885" t="s">
        <v>214</v>
      </c>
      <c r="M3885" t="s">
        <v>214</v>
      </c>
      <c r="N3885" t="s">
        <v>312</v>
      </c>
      <c r="O3885" t="s">
        <v>82</v>
      </c>
      <c r="P3885" t="str">
        <f>"2170715936                    "</f>
        <v xml:space="preserve">2170715936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16.63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 s="4">
        <v>97.75</v>
      </c>
      <c r="BM3885" s="4">
        <v>14.66</v>
      </c>
      <c r="BN3885" s="4">
        <v>112.41</v>
      </c>
      <c r="BO3885" s="4">
        <v>112.41</v>
      </c>
      <c r="BQ3885" t="s">
        <v>121</v>
      </c>
      <c r="BR3885" t="s">
        <v>84</v>
      </c>
      <c r="BS3885" t="s">
        <v>201</v>
      </c>
      <c r="BY3885">
        <v>1200</v>
      </c>
      <c r="CC3885" t="s">
        <v>214</v>
      </c>
      <c r="CD3885">
        <v>7646</v>
      </c>
      <c r="CE3885" t="s">
        <v>147</v>
      </c>
      <c r="CI3885">
        <v>1</v>
      </c>
      <c r="CJ3885" t="s">
        <v>201</v>
      </c>
      <c r="CK3885">
        <v>23</v>
      </c>
      <c r="CL3885" t="s">
        <v>89</v>
      </c>
    </row>
    <row r="3886" spans="1:90">
      <c r="A3886" t="s">
        <v>72</v>
      </c>
      <c r="B3886" t="s">
        <v>73</v>
      </c>
      <c r="C3886" t="s">
        <v>74</v>
      </c>
      <c r="E3886" t="str">
        <f>"FES1162725984"</f>
        <v>FES1162725984</v>
      </c>
      <c r="F3886" s="3">
        <v>43798</v>
      </c>
      <c r="G3886">
        <v>202005</v>
      </c>
      <c r="H3886" t="s">
        <v>75</v>
      </c>
      <c r="I3886" t="s">
        <v>76</v>
      </c>
      <c r="J3886" t="s">
        <v>77</v>
      </c>
      <c r="K3886" t="s">
        <v>78</v>
      </c>
      <c r="L3886" t="s">
        <v>90</v>
      </c>
      <c r="M3886" t="s">
        <v>91</v>
      </c>
      <c r="N3886" t="s">
        <v>945</v>
      </c>
      <c r="O3886" t="s">
        <v>82</v>
      </c>
      <c r="P3886" t="str">
        <f>"2170716182                    "</f>
        <v xml:space="preserve">2170716182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8.58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 s="4">
        <v>50.45</v>
      </c>
      <c r="BM3886" s="4">
        <v>7.57</v>
      </c>
      <c r="BN3886" s="4">
        <v>58.02</v>
      </c>
      <c r="BO3886" s="4">
        <v>58.02</v>
      </c>
      <c r="BQ3886" t="s">
        <v>121</v>
      </c>
      <c r="BR3886" t="s">
        <v>84</v>
      </c>
      <c r="BS3886" t="s">
        <v>201</v>
      </c>
      <c r="BY3886">
        <v>1200</v>
      </c>
      <c r="CC3886" t="s">
        <v>91</v>
      </c>
      <c r="CD3886">
        <v>7460</v>
      </c>
      <c r="CE3886" t="s">
        <v>147</v>
      </c>
      <c r="CI3886">
        <v>1</v>
      </c>
      <c r="CJ3886" t="s">
        <v>201</v>
      </c>
      <c r="CK3886">
        <v>21</v>
      </c>
      <c r="CL3886" t="s">
        <v>89</v>
      </c>
    </row>
    <row r="3887" spans="1:90">
      <c r="A3887" t="s">
        <v>72</v>
      </c>
      <c r="B3887" t="s">
        <v>73</v>
      </c>
      <c r="C3887" t="s">
        <v>74</v>
      </c>
      <c r="E3887" t="str">
        <f>"FES1162726061"</f>
        <v>FES1162726061</v>
      </c>
      <c r="F3887" s="3">
        <v>43798</v>
      </c>
      <c r="G3887">
        <v>202005</v>
      </c>
      <c r="H3887" t="s">
        <v>75</v>
      </c>
      <c r="I3887" t="s">
        <v>76</v>
      </c>
      <c r="J3887" t="s">
        <v>77</v>
      </c>
      <c r="K3887" t="s">
        <v>78</v>
      </c>
      <c r="L3887" t="s">
        <v>124</v>
      </c>
      <c r="M3887" t="s">
        <v>125</v>
      </c>
      <c r="N3887" t="s">
        <v>3444</v>
      </c>
      <c r="O3887" t="s">
        <v>82</v>
      </c>
      <c r="P3887" t="str">
        <f>"2170719537                    "</f>
        <v xml:space="preserve">2170719537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6.71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1.8</v>
      </c>
      <c r="BJ3887">
        <v>0.9</v>
      </c>
      <c r="BK3887">
        <v>2</v>
      </c>
      <c r="BL3887" s="4">
        <v>39.42</v>
      </c>
      <c r="BM3887" s="4">
        <v>5.91</v>
      </c>
      <c r="BN3887" s="4">
        <v>45.33</v>
      </c>
      <c r="BO3887" s="4">
        <v>45.33</v>
      </c>
      <c r="BR3887" t="s">
        <v>84</v>
      </c>
      <c r="BS3887" t="s">
        <v>201</v>
      </c>
      <c r="BY3887">
        <v>4402.25</v>
      </c>
      <c r="CC3887" t="s">
        <v>125</v>
      </c>
      <c r="CD3887">
        <v>2110</v>
      </c>
      <c r="CE3887" t="s">
        <v>88</v>
      </c>
      <c r="CI3887">
        <v>1</v>
      </c>
      <c r="CJ3887" t="s">
        <v>201</v>
      </c>
      <c r="CK3887">
        <v>22</v>
      </c>
      <c r="CL3887" t="s">
        <v>89</v>
      </c>
    </row>
    <row r="3888" spans="1:90">
      <c r="A3888" t="s">
        <v>72</v>
      </c>
      <c r="B3888" t="s">
        <v>73</v>
      </c>
      <c r="C3888" t="s">
        <v>74</v>
      </c>
      <c r="E3888" t="str">
        <f>"FES1162725825"</f>
        <v>FES1162725825</v>
      </c>
      <c r="F3888" s="3">
        <v>43798</v>
      </c>
      <c r="G3888">
        <v>202005</v>
      </c>
      <c r="H3888" t="s">
        <v>75</v>
      </c>
      <c r="I3888" t="s">
        <v>76</v>
      </c>
      <c r="J3888" t="s">
        <v>77</v>
      </c>
      <c r="K3888" t="s">
        <v>78</v>
      </c>
      <c r="L3888" t="s">
        <v>90</v>
      </c>
      <c r="M3888" t="s">
        <v>91</v>
      </c>
      <c r="N3888" t="s">
        <v>505</v>
      </c>
      <c r="O3888" t="s">
        <v>82</v>
      </c>
      <c r="P3888" t="str">
        <f>"2170719401                    "</f>
        <v xml:space="preserve">2170719401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94.36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10</v>
      </c>
      <c r="BJ3888">
        <v>21.6</v>
      </c>
      <c r="BK3888">
        <v>22</v>
      </c>
      <c r="BL3888" s="4">
        <v>554.63</v>
      </c>
      <c r="BM3888" s="4">
        <v>83.19</v>
      </c>
      <c r="BN3888" s="4">
        <v>637.82000000000005</v>
      </c>
      <c r="BO3888" s="4">
        <v>637.82000000000005</v>
      </c>
      <c r="BQ3888" t="s">
        <v>121</v>
      </c>
      <c r="BR3888" t="s">
        <v>84</v>
      </c>
      <c r="BS3888" t="s">
        <v>201</v>
      </c>
      <c r="BY3888">
        <v>107942.04</v>
      </c>
      <c r="CC3888" t="s">
        <v>91</v>
      </c>
      <c r="CD3888">
        <v>7764</v>
      </c>
      <c r="CE3888" t="s">
        <v>1598</v>
      </c>
      <c r="CI3888">
        <v>1</v>
      </c>
      <c r="CJ3888" t="s">
        <v>201</v>
      </c>
      <c r="CK3888">
        <v>21</v>
      </c>
      <c r="CL3888" t="s">
        <v>89</v>
      </c>
    </row>
    <row r="3889" spans="1:90">
      <c r="A3889" t="s">
        <v>72</v>
      </c>
      <c r="B3889" t="s">
        <v>73</v>
      </c>
      <c r="C3889" t="s">
        <v>74</v>
      </c>
      <c r="E3889" t="str">
        <f>"009926978416"</f>
        <v>009926978416</v>
      </c>
      <c r="F3889" s="3">
        <v>43797</v>
      </c>
      <c r="G3889">
        <v>202005</v>
      </c>
      <c r="H3889" t="s">
        <v>90</v>
      </c>
      <c r="I3889" t="s">
        <v>91</v>
      </c>
      <c r="J3889" t="s">
        <v>3445</v>
      </c>
      <c r="K3889" t="s">
        <v>78</v>
      </c>
      <c r="L3889" t="s">
        <v>75</v>
      </c>
      <c r="M3889" t="s">
        <v>76</v>
      </c>
      <c r="N3889" t="s">
        <v>211</v>
      </c>
      <c r="O3889" t="s">
        <v>282</v>
      </c>
      <c r="P3889" t="str">
        <f>"NA                            "</f>
        <v xml:space="preserve">NA        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17.57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0.1</v>
      </c>
      <c r="BJ3889">
        <v>1.2</v>
      </c>
      <c r="BK3889">
        <v>2</v>
      </c>
      <c r="BL3889" s="4">
        <v>108.28</v>
      </c>
      <c r="BM3889" s="4">
        <v>16.239999999999998</v>
      </c>
      <c r="BN3889" s="4">
        <v>124.52</v>
      </c>
      <c r="BO3889" s="4">
        <v>124.52</v>
      </c>
      <c r="BQ3889" t="s">
        <v>2170</v>
      </c>
      <c r="BR3889" t="s">
        <v>1011</v>
      </c>
      <c r="BS3889" t="s">
        <v>201</v>
      </c>
      <c r="BY3889">
        <v>5871.42</v>
      </c>
      <c r="CC3889" t="s">
        <v>76</v>
      </c>
      <c r="CD3889">
        <v>1600</v>
      </c>
      <c r="CE3889" t="s">
        <v>3446</v>
      </c>
      <c r="CI3889">
        <v>2</v>
      </c>
      <c r="CJ3889" t="s">
        <v>201</v>
      </c>
      <c r="CK3889" t="s">
        <v>1002</v>
      </c>
      <c r="CL3889" t="s">
        <v>89</v>
      </c>
    </row>
    <row r="3890" spans="1:90">
      <c r="A3890" t="s">
        <v>72</v>
      </c>
      <c r="B3890" t="s">
        <v>73</v>
      </c>
      <c r="C3890" t="s">
        <v>74</v>
      </c>
      <c r="E3890" t="str">
        <f>"FES1162725828"</f>
        <v>FES1162725828</v>
      </c>
      <c r="F3890" s="3">
        <v>43798</v>
      </c>
      <c r="G3890">
        <v>202005</v>
      </c>
      <c r="H3890" t="s">
        <v>75</v>
      </c>
      <c r="I3890" t="s">
        <v>76</v>
      </c>
      <c r="J3890" t="s">
        <v>77</v>
      </c>
      <c r="K3890" t="s">
        <v>78</v>
      </c>
      <c r="L3890" t="s">
        <v>75</v>
      </c>
      <c r="M3890" t="s">
        <v>76</v>
      </c>
      <c r="N3890" t="s">
        <v>360</v>
      </c>
      <c r="O3890" t="s">
        <v>82</v>
      </c>
      <c r="P3890" t="str">
        <f>"2170719405                    "</f>
        <v xml:space="preserve">2170719405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6.71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 s="4">
        <v>39.42</v>
      </c>
      <c r="BM3890" s="4">
        <v>5.91</v>
      </c>
      <c r="BN3890" s="4">
        <v>45.33</v>
      </c>
      <c r="BO3890" s="4">
        <v>45.33</v>
      </c>
      <c r="BQ3890" t="s">
        <v>109</v>
      </c>
      <c r="BR3890" t="s">
        <v>84</v>
      </c>
      <c r="BS3890" t="s">
        <v>201</v>
      </c>
      <c r="BY3890">
        <v>1200</v>
      </c>
      <c r="CC3890" t="s">
        <v>76</v>
      </c>
      <c r="CD3890">
        <v>1645</v>
      </c>
      <c r="CE3890" t="s">
        <v>147</v>
      </c>
      <c r="CI3890">
        <v>1</v>
      </c>
      <c r="CJ3890" t="s">
        <v>201</v>
      </c>
      <c r="CK3890">
        <v>22</v>
      </c>
      <c r="CL3890" t="s">
        <v>89</v>
      </c>
    </row>
    <row r="3891" spans="1:90">
      <c r="A3891" t="s">
        <v>72</v>
      </c>
      <c r="B3891" t="s">
        <v>73</v>
      </c>
      <c r="C3891" t="s">
        <v>74</v>
      </c>
      <c r="E3891" t="str">
        <f>"FES1162723939"</f>
        <v>FES1162723939</v>
      </c>
      <c r="F3891" s="3">
        <v>43789</v>
      </c>
      <c r="G3891">
        <v>202005</v>
      </c>
      <c r="H3891" t="s">
        <v>75</v>
      </c>
      <c r="I3891" t="s">
        <v>76</v>
      </c>
      <c r="J3891" t="s">
        <v>211</v>
      </c>
      <c r="K3891" t="s">
        <v>78</v>
      </c>
      <c r="L3891" t="s">
        <v>681</v>
      </c>
      <c r="M3891" t="s">
        <v>682</v>
      </c>
      <c r="N3891" t="s">
        <v>2585</v>
      </c>
      <c r="O3891" t="s">
        <v>756</v>
      </c>
      <c r="P3891" t="str">
        <f>"2170717900                    "</f>
        <v xml:space="preserve">2170717900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30.18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8.4</v>
      </c>
      <c r="BJ3891">
        <v>3.2</v>
      </c>
      <c r="BK3891">
        <v>9</v>
      </c>
      <c r="BL3891" s="4">
        <v>177.41</v>
      </c>
      <c r="BM3891" s="4">
        <v>26.61</v>
      </c>
      <c r="BN3891" s="4">
        <v>204.02</v>
      </c>
      <c r="BO3891" s="4">
        <v>204.02</v>
      </c>
      <c r="BQ3891" t="s">
        <v>121</v>
      </c>
      <c r="BR3891" t="s">
        <v>212</v>
      </c>
      <c r="BS3891" s="3">
        <v>43790</v>
      </c>
      <c r="BT3891" s="5">
        <v>0.33333333333333331</v>
      </c>
      <c r="BU3891" t="s">
        <v>370</v>
      </c>
      <c r="BV3891" t="s">
        <v>86</v>
      </c>
      <c r="BY3891">
        <v>15972.16</v>
      </c>
      <c r="BZ3891" t="s">
        <v>27</v>
      </c>
      <c r="CA3891" t="s">
        <v>1224</v>
      </c>
      <c r="CC3891" t="s">
        <v>682</v>
      </c>
      <c r="CD3891">
        <v>1939</v>
      </c>
      <c r="CE3891" t="s">
        <v>88</v>
      </c>
      <c r="CF3891" s="3">
        <v>43791</v>
      </c>
      <c r="CI3891">
        <v>1</v>
      </c>
      <c r="CJ3891">
        <v>1</v>
      </c>
      <c r="CK3891">
        <v>34</v>
      </c>
      <c r="CL3891" t="s">
        <v>89</v>
      </c>
    </row>
    <row r="3892" spans="1:90">
      <c r="A3892" t="s">
        <v>72</v>
      </c>
      <c r="B3892" t="s">
        <v>73</v>
      </c>
      <c r="C3892" t="s">
        <v>74</v>
      </c>
      <c r="E3892" t="str">
        <f>"FES1162725780"</f>
        <v>FES1162725780</v>
      </c>
      <c r="F3892" s="3">
        <v>43798</v>
      </c>
      <c r="G3892">
        <v>202005</v>
      </c>
      <c r="H3892" t="s">
        <v>75</v>
      </c>
      <c r="I3892" t="s">
        <v>76</v>
      </c>
      <c r="J3892" t="s">
        <v>77</v>
      </c>
      <c r="K3892" t="s">
        <v>78</v>
      </c>
      <c r="L3892" t="s">
        <v>106</v>
      </c>
      <c r="M3892" t="s">
        <v>107</v>
      </c>
      <c r="N3892" t="s">
        <v>242</v>
      </c>
      <c r="O3892" t="s">
        <v>82</v>
      </c>
      <c r="P3892" t="str">
        <f>"2170719341                    "</f>
        <v xml:space="preserve">2170719341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42.89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7</v>
      </c>
      <c r="BJ3892">
        <v>9.6999999999999993</v>
      </c>
      <c r="BK3892">
        <v>10</v>
      </c>
      <c r="BL3892" s="4">
        <v>252.12</v>
      </c>
      <c r="BM3892" s="4">
        <v>37.82</v>
      </c>
      <c r="BN3892" s="4">
        <v>289.94</v>
      </c>
      <c r="BO3892" s="4">
        <v>289.94</v>
      </c>
      <c r="BQ3892" t="s">
        <v>109</v>
      </c>
      <c r="BR3892" t="s">
        <v>84</v>
      </c>
      <c r="BS3892" t="s">
        <v>201</v>
      </c>
      <c r="BY3892">
        <v>48406.23</v>
      </c>
      <c r="CC3892" t="s">
        <v>107</v>
      </c>
      <c r="CD3892">
        <v>6001</v>
      </c>
      <c r="CE3892" t="s">
        <v>1598</v>
      </c>
      <c r="CI3892">
        <v>1</v>
      </c>
      <c r="CJ3892" t="s">
        <v>201</v>
      </c>
      <c r="CK3892">
        <v>21</v>
      </c>
      <c r="CL3892" t="s">
        <v>89</v>
      </c>
    </row>
    <row r="3893" spans="1:90">
      <c r="A3893" t="s">
        <v>72</v>
      </c>
      <c r="B3893" t="s">
        <v>73</v>
      </c>
      <c r="C3893" t="s">
        <v>74</v>
      </c>
      <c r="E3893" t="str">
        <f>"FES1162725908"</f>
        <v>FES1162725908</v>
      </c>
      <c r="F3893" s="3">
        <v>43798</v>
      </c>
      <c r="G3893">
        <v>202005</v>
      </c>
      <c r="H3893" t="s">
        <v>75</v>
      </c>
      <c r="I3893" t="s">
        <v>76</v>
      </c>
      <c r="J3893" t="s">
        <v>77</v>
      </c>
      <c r="K3893" t="s">
        <v>78</v>
      </c>
      <c r="L3893" t="s">
        <v>133</v>
      </c>
      <c r="M3893" t="s">
        <v>134</v>
      </c>
      <c r="N3893" t="s">
        <v>310</v>
      </c>
      <c r="O3893" t="s">
        <v>82</v>
      </c>
      <c r="P3893" t="str">
        <f>"2170719450                    "</f>
        <v xml:space="preserve">2170719450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62.19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8.5</v>
      </c>
      <c r="BJ3893">
        <v>14.5</v>
      </c>
      <c r="BK3893">
        <v>14.5</v>
      </c>
      <c r="BL3893" s="4">
        <v>365.56</v>
      </c>
      <c r="BM3893" s="4">
        <v>54.83</v>
      </c>
      <c r="BN3893" s="4">
        <v>420.39</v>
      </c>
      <c r="BO3893" s="4">
        <v>420.39</v>
      </c>
      <c r="BQ3893" t="s">
        <v>121</v>
      </c>
      <c r="BR3893" t="s">
        <v>84</v>
      </c>
      <c r="BS3893" t="s">
        <v>201</v>
      </c>
      <c r="BY3893">
        <v>72595.97</v>
      </c>
      <c r="CC3893" t="s">
        <v>134</v>
      </c>
      <c r="CD3893">
        <v>5201</v>
      </c>
      <c r="CE3893" t="s">
        <v>1598</v>
      </c>
      <c r="CI3893">
        <v>1</v>
      </c>
      <c r="CJ3893" t="s">
        <v>201</v>
      </c>
      <c r="CK3893">
        <v>21</v>
      </c>
      <c r="CL3893" t="s">
        <v>89</v>
      </c>
    </row>
    <row r="3894" spans="1:90">
      <c r="A3894" t="s">
        <v>72</v>
      </c>
      <c r="B3894" t="s">
        <v>73</v>
      </c>
      <c r="C3894" t="s">
        <v>74</v>
      </c>
      <c r="E3894" t="str">
        <f>"FES1162726081"</f>
        <v>FES1162726081</v>
      </c>
      <c r="F3894" s="3">
        <v>43798</v>
      </c>
      <c r="G3894">
        <v>202005</v>
      </c>
      <c r="H3894" t="s">
        <v>75</v>
      </c>
      <c r="I3894" t="s">
        <v>76</v>
      </c>
      <c r="J3894" t="s">
        <v>77</v>
      </c>
      <c r="K3894" t="s">
        <v>78</v>
      </c>
      <c r="L3894" t="s">
        <v>101</v>
      </c>
      <c r="M3894" t="s">
        <v>102</v>
      </c>
      <c r="N3894" t="s">
        <v>707</v>
      </c>
      <c r="O3894" t="s">
        <v>82</v>
      </c>
      <c r="P3894" t="str">
        <f>"2170717281                    "</f>
        <v xml:space="preserve">2170717281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12.87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2.6</v>
      </c>
      <c r="BJ3894">
        <v>3</v>
      </c>
      <c r="BK3894">
        <v>3</v>
      </c>
      <c r="BL3894" s="4">
        <v>75.66</v>
      </c>
      <c r="BM3894" s="4">
        <v>11.35</v>
      </c>
      <c r="BN3894" s="4">
        <v>87.01</v>
      </c>
      <c r="BO3894" s="4">
        <v>87.01</v>
      </c>
      <c r="BQ3894" t="s">
        <v>121</v>
      </c>
      <c r="BR3894" t="s">
        <v>84</v>
      </c>
      <c r="BS3894" t="s">
        <v>201</v>
      </c>
      <c r="BY3894">
        <v>14982.24</v>
      </c>
      <c r="CC3894" t="s">
        <v>102</v>
      </c>
      <c r="CD3894">
        <v>1</v>
      </c>
      <c r="CE3894" t="s">
        <v>88</v>
      </c>
      <c r="CI3894">
        <v>1</v>
      </c>
      <c r="CJ3894" t="s">
        <v>201</v>
      </c>
      <c r="CK3894">
        <v>21</v>
      </c>
      <c r="CL3894" t="s">
        <v>89</v>
      </c>
    </row>
    <row r="3895" spans="1:90">
      <c r="A3895" t="s">
        <v>72</v>
      </c>
      <c r="B3895" t="s">
        <v>73</v>
      </c>
      <c r="C3895" t="s">
        <v>74</v>
      </c>
      <c r="E3895" t="str">
        <f>"FES1162725982"</f>
        <v>FES1162725982</v>
      </c>
      <c r="F3895" s="3">
        <v>43798</v>
      </c>
      <c r="G3895">
        <v>202005</v>
      </c>
      <c r="H3895" t="s">
        <v>75</v>
      </c>
      <c r="I3895" t="s">
        <v>76</v>
      </c>
      <c r="J3895" t="s">
        <v>77</v>
      </c>
      <c r="K3895" t="s">
        <v>78</v>
      </c>
      <c r="L3895" t="s">
        <v>106</v>
      </c>
      <c r="M3895" t="s">
        <v>107</v>
      </c>
      <c r="N3895" t="s">
        <v>700</v>
      </c>
      <c r="O3895" t="s">
        <v>82</v>
      </c>
      <c r="P3895" t="str">
        <f>"2170716152                    "</f>
        <v xml:space="preserve">2170716152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8.58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2</v>
      </c>
      <c r="BJ3895">
        <v>1.6</v>
      </c>
      <c r="BK3895">
        <v>2</v>
      </c>
      <c r="BL3895" s="4">
        <v>50.45</v>
      </c>
      <c r="BM3895" s="4">
        <v>7.57</v>
      </c>
      <c r="BN3895" s="4">
        <v>58.02</v>
      </c>
      <c r="BO3895" s="4">
        <v>58.02</v>
      </c>
      <c r="BQ3895" t="s">
        <v>109</v>
      </c>
      <c r="BR3895" t="s">
        <v>84</v>
      </c>
      <c r="BS3895" t="s">
        <v>201</v>
      </c>
      <c r="BY3895">
        <v>7862.05</v>
      </c>
      <c r="CC3895" t="s">
        <v>107</v>
      </c>
      <c r="CD3895">
        <v>6001</v>
      </c>
      <c r="CE3895" t="s">
        <v>88</v>
      </c>
      <c r="CI3895">
        <v>1</v>
      </c>
      <c r="CJ3895" t="s">
        <v>201</v>
      </c>
      <c r="CK3895">
        <v>21</v>
      </c>
      <c r="CL3895" t="s">
        <v>89</v>
      </c>
    </row>
    <row r="3896" spans="1:90">
      <c r="A3896" t="s">
        <v>72</v>
      </c>
      <c r="B3896" t="s">
        <v>73</v>
      </c>
      <c r="C3896" t="s">
        <v>74</v>
      </c>
      <c r="E3896" t="str">
        <f>"FES1162725956"</f>
        <v>FES1162725956</v>
      </c>
      <c r="F3896" s="3">
        <v>43798</v>
      </c>
      <c r="G3896">
        <v>202005</v>
      </c>
      <c r="H3896" t="s">
        <v>75</v>
      </c>
      <c r="I3896" t="s">
        <v>76</v>
      </c>
      <c r="J3896" t="s">
        <v>77</v>
      </c>
      <c r="K3896" t="s">
        <v>78</v>
      </c>
      <c r="L3896" t="s">
        <v>701</v>
      </c>
      <c r="M3896" t="s">
        <v>702</v>
      </c>
      <c r="N3896" t="s">
        <v>2761</v>
      </c>
      <c r="O3896" t="s">
        <v>82</v>
      </c>
      <c r="P3896" t="str">
        <f>"2170719193                    "</f>
        <v xml:space="preserve">2170719193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64.989999999999995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10.8</v>
      </c>
      <c r="BJ3896">
        <v>3.7</v>
      </c>
      <c r="BK3896">
        <v>11</v>
      </c>
      <c r="BL3896" s="4">
        <v>381.99</v>
      </c>
      <c r="BM3896" s="4">
        <v>57.3</v>
      </c>
      <c r="BN3896" s="4">
        <v>439.29</v>
      </c>
      <c r="BO3896" s="4">
        <v>439.29</v>
      </c>
      <c r="BQ3896" t="s">
        <v>109</v>
      </c>
      <c r="BR3896" t="s">
        <v>84</v>
      </c>
      <c r="BS3896" t="s">
        <v>201</v>
      </c>
      <c r="BY3896">
        <v>18523.97</v>
      </c>
      <c r="CC3896" t="s">
        <v>702</v>
      </c>
      <c r="CD3896">
        <v>324</v>
      </c>
      <c r="CE3896" t="s">
        <v>88</v>
      </c>
      <c r="CI3896">
        <v>1</v>
      </c>
      <c r="CJ3896" t="s">
        <v>201</v>
      </c>
      <c r="CK3896">
        <v>24</v>
      </c>
      <c r="CL3896" t="s">
        <v>89</v>
      </c>
    </row>
    <row r="3897" spans="1:90">
      <c r="A3897" t="s">
        <v>72</v>
      </c>
      <c r="B3897" t="s">
        <v>73</v>
      </c>
      <c r="C3897" t="s">
        <v>74</v>
      </c>
      <c r="E3897" t="str">
        <f>"FES1162725877"</f>
        <v>FES1162725877</v>
      </c>
      <c r="F3897" s="3">
        <v>43798</v>
      </c>
      <c r="G3897">
        <v>202005</v>
      </c>
      <c r="H3897" t="s">
        <v>75</v>
      </c>
      <c r="I3897" t="s">
        <v>76</v>
      </c>
      <c r="J3897" t="s">
        <v>77</v>
      </c>
      <c r="K3897" t="s">
        <v>78</v>
      </c>
      <c r="L3897" t="s">
        <v>133</v>
      </c>
      <c r="M3897" t="s">
        <v>134</v>
      </c>
      <c r="N3897" t="s">
        <v>986</v>
      </c>
      <c r="O3897" t="s">
        <v>82</v>
      </c>
      <c r="P3897" t="str">
        <f>"2170717056                    "</f>
        <v xml:space="preserve">2170717056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15.02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2.2999999999999998</v>
      </c>
      <c r="BJ3897">
        <v>3.3</v>
      </c>
      <c r="BK3897">
        <v>3.5</v>
      </c>
      <c r="BL3897" s="4">
        <v>88.27</v>
      </c>
      <c r="BM3897" s="4">
        <v>13.24</v>
      </c>
      <c r="BN3897" s="4">
        <v>101.51</v>
      </c>
      <c r="BO3897" s="4">
        <v>101.51</v>
      </c>
      <c r="BR3897" t="s">
        <v>84</v>
      </c>
      <c r="BS3897" t="s">
        <v>201</v>
      </c>
      <c r="BY3897">
        <v>16552.8</v>
      </c>
      <c r="CC3897" t="s">
        <v>134</v>
      </c>
      <c r="CD3897">
        <v>5200</v>
      </c>
      <c r="CE3897" t="s">
        <v>88</v>
      </c>
      <c r="CI3897">
        <v>1</v>
      </c>
      <c r="CJ3897" t="s">
        <v>201</v>
      </c>
      <c r="CK3897">
        <v>21</v>
      </c>
      <c r="CL3897" t="s">
        <v>89</v>
      </c>
    </row>
    <row r="3898" spans="1:90">
      <c r="A3898" t="s">
        <v>72</v>
      </c>
      <c r="B3898" t="s">
        <v>73</v>
      </c>
      <c r="C3898" t="s">
        <v>74</v>
      </c>
      <c r="E3898" t="str">
        <f>"FES1162725970"</f>
        <v>FES1162725970</v>
      </c>
      <c r="F3898" s="3">
        <v>43798</v>
      </c>
      <c r="G3898">
        <v>202005</v>
      </c>
      <c r="H3898" t="s">
        <v>75</v>
      </c>
      <c r="I3898" t="s">
        <v>76</v>
      </c>
      <c r="J3898" t="s">
        <v>77</v>
      </c>
      <c r="K3898" t="s">
        <v>78</v>
      </c>
      <c r="L3898" t="s">
        <v>75</v>
      </c>
      <c r="M3898" t="s">
        <v>76</v>
      </c>
      <c r="N3898" t="s">
        <v>204</v>
      </c>
      <c r="O3898" t="s">
        <v>82</v>
      </c>
      <c r="P3898" t="str">
        <f>"2170715264                    "</f>
        <v xml:space="preserve">2170715264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34.83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19.3</v>
      </c>
      <c r="BJ3898">
        <v>8.8000000000000007</v>
      </c>
      <c r="BK3898">
        <v>19.5</v>
      </c>
      <c r="BL3898" s="4">
        <v>204.74</v>
      </c>
      <c r="BM3898" s="4">
        <v>30.71</v>
      </c>
      <c r="BN3898" s="4">
        <v>235.45</v>
      </c>
      <c r="BO3898" s="4">
        <v>235.45</v>
      </c>
      <c r="BQ3898" t="s">
        <v>121</v>
      </c>
      <c r="BR3898" t="s">
        <v>84</v>
      </c>
      <c r="BS3898" t="s">
        <v>201</v>
      </c>
      <c r="BY3898">
        <v>43899.87</v>
      </c>
      <c r="CC3898" t="s">
        <v>76</v>
      </c>
      <c r="CD3898">
        <v>1665</v>
      </c>
      <c r="CE3898" t="s">
        <v>88</v>
      </c>
      <c r="CI3898">
        <v>1</v>
      </c>
      <c r="CJ3898" t="s">
        <v>201</v>
      </c>
      <c r="CK3898">
        <v>22</v>
      </c>
      <c r="CL3898" t="s">
        <v>89</v>
      </c>
    </row>
    <row r="3899" spans="1:90">
      <c r="A3899" t="s">
        <v>72</v>
      </c>
      <c r="B3899" t="s">
        <v>73</v>
      </c>
      <c r="C3899" t="s">
        <v>74</v>
      </c>
      <c r="E3899" t="str">
        <f>"FES1162725951"</f>
        <v>FES1162725951</v>
      </c>
      <c r="F3899" s="3">
        <v>43798</v>
      </c>
      <c r="G3899">
        <v>202005</v>
      </c>
      <c r="H3899" t="s">
        <v>75</v>
      </c>
      <c r="I3899" t="s">
        <v>76</v>
      </c>
      <c r="J3899" t="s">
        <v>77</v>
      </c>
      <c r="K3899" t="s">
        <v>78</v>
      </c>
      <c r="L3899" t="s">
        <v>101</v>
      </c>
      <c r="M3899" t="s">
        <v>102</v>
      </c>
      <c r="N3899" t="s">
        <v>471</v>
      </c>
      <c r="O3899" t="s">
        <v>82</v>
      </c>
      <c r="P3899" t="str">
        <f>"2170717385                    "</f>
        <v xml:space="preserve">2170717385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21.45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2</v>
      </c>
      <c r="BI3899">
        <v>4.5999999999999996</v>
      </c>
      <c r="BJ3899">
        <v>2.2000000000000002</v>
      </c>
      <c r="BK3899">
        <v>5</v>
      </c>
      <c r="BL3899" s="4">
        <v>126.08</v>
      </c>
      <c r="BM3899" s="4">
        <v>18.91</v>
      </c>
      <c r="BN3899" s="4">
        <v>144.99</v>
      </c>
      <c r="BO3899" s="4">
        <v>144.99</v>
      </c>
      <c r="BQ3899" t="s">
        <v>142</v>
      </c>
      <c r="BR3899" t="s">
        <v>84</v>
      </c>
      <c r="BS3899" t="s">
        <v>201</v>
      </c>
      <c r="BY3899">
        <v>11014.12</v>
      </c>
      <c r="CC3899" t="s">
        <v>102</v>
      </c>
      <c r="CD3899">
        <v>200</v>
      </c>
      <c r="CE3899" t="s">
        <v>3447</v>
      </c>
      <c r="CI3899">
        <v>1</v>
      </c>
      <c r="CJ3899" t="s">
        <v>201</v>
      </c>
      <c r="CK3899">
        <v>21</v>
      </c>
      <c r="CL3899" t="s">
        <v>89</v>
      </c>
    </row>
    <row r="3900" spans="1:90">
      <c r="A3900" t="s">
        <v>72</v>
      </c>
      <c r="B3900" t="s">
        <v>73</v>
      </c>
      <c r="C3900" t="s">
        <v>74</v>
      </c>
      <c r="E3900" t="str">
        <f>"FES1162726046"</f>
        <v>FES1162726046</v>
      </c>
      <c r="F3900" s="3">
        <v>43798</v>
      </c>
      <c r="G3900">
        <v>202005</v>
      </c>
      <c r="H3900" t="s">
        <v>75</v>
      </c>
      <c r="I3900" t="s">
        <v>76</v>
      </c>
      <c r="J3900" t="s">
        <v>77</v>
      </c>
      <c r="K3900" t="s">
        <v>78</v>
      </c>
      <c r="L3900" t="s">
        <v>106</v>
      </c>
      <c r="M3900" t="s">
        <v>107</v>
      </c>
      <c r="N3900" t="s">
        <v>842</v>
      </c>
      <c r="O3900" t="s">
        <v>82</v>
      </c>
      <c r="P3900" t="str">
        <f>"2170719514                    "</f>
        <v xml:space="preserve">2170719514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27.88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2</v>
      </c>
      <c r="BJ3900">
        <v>6.2</v>
      </c>
      <c r="BK3900">
        <v>6.5</v>
      </c>
      <c r="BL3900" s="4">
        <v>163.89</v>
      </c>
      <c r="BM3900" s="4">
        <v>24.58</v>
      </c>
      <c r="BN3900" s="4">
        <v>188.47</v>
      </c>
      <c r="BO3900" s="4">
        <v>188.47</v>
      </c>
      <c r="BQ3900" t="s">
        <v>1615</v>
      </c>
      <c r="BR3900" t="s">
        <v>84</v>
      </c>
      <c r="BS3900" t="s">
        <v>201</v>
      </c>
      <c r="BY3900">
        <v>31231.07</v>
      </c>
      <c r="CC3900" t="s">
        <v>107</v>
      </c>
      <c r="CD3900">
        <v>6001</v>
      </c>
      <c r="CE3900" t="s">
        <v>1598</v>
      </c>
      <c r="CI3900">
        <v>1</v>
      </c>
      <c r="CJ3900" t="s">
        <v>201</v>
      </c>
      <c r="CK3900">
        <v>21</v>
      </c>
      <c r="CL3900" t="s">
        <v>89</v>
      </c>
    </row>
    <row r="3901" spans="1:90">
      <c r="A3901" t="s">
        <v>72</v>
      </c>
      <c r="B3901" t="s">
        <v>73</v>
      </c>
      <c r="C3901" t="s">
        <v>74</v>
      </c>
      <c r="E3901" t="str">
        <f>"FES1162726060"</f>
        <v>FES1162726060</v>
      </c>
      <c r="F3901" s="3">
        <v>43798</v>
      </c>
      <c r="G3901">
        <v>202005</v>
      </c>
      <c r="H3901" t="s">
        <v>75</v>
      </c>
      <c r="I3901" t="s">
        <v>76</v>
      </c>
      <c r="J3901" t="s">
        <v>77</v>
      </c>
      <c r="K3901" t="s">
        <v>78</v>
      </c>
      <c r="L3901" t="s">
        <v>270</v>
      </c>
      <c r="M3901" t="s">
        <v>271</v>
      </c>
      <c r="N3901" t="s">
        <v>618</v>
      </c>
      <c r="O3901" t="s">
        <v>82</v>
      </c>
      <c r="P3901" t="str">
        <f>"2170719536                    "</f>
        <v xml:space="preserve">2170719536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8.58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1.9</v>
      </c>
      <c r="BJ3901">
        <v>1.6</v>
      </c>
      <c r="BK3901">
        <v>2</v>
      </c>
      <c r="BL3901" s="4">
        <v>50.45</v>
      </c>
      <c r="BM3901" s="4">
        <v>7.57</v>
      </c>
      <c r="BN3901" s="4">
        <v>58.02</v>
      </c>
      <c r="BO3901" s="4">
        <v>58.02</v>
      </c>
      <c r="BQ3901" t="s">
        <v>121</v>
      </c>
      <c r="BR3901" t="s">
        <v>84</v>
      </c>
      <c r="BS3901" t="s">
        <v>201</v>
      </c>
      <c r="BY3901">
        <v>8143.59</v>
      </c>
      <c r="CC3901" t="s">
        <v>271</v>
      </c>
      <c r="CD3901">
        <v>6220</v>
      </c>
      <c r="CE3901" t="s">
        <v>88</v>
      </c>
      <c r="CI3901">
        <v>1</v>
      </c>
      <c r="CJ3901" t="s">
        <v>201</v>
      </c>
      <c r="CK3901">
        <v>21</v>
      </c>
      <c r="CL3901" t="s">
        <v>89</v>
      </c>
    </row>
    <row r="3902" spans="1:90">
      <c r="A3902" t="s">
        <v>72</v>
      </c>
      <c r="B3902" t="s">
        <v>73</v>
      </c>
      <c r="C3902" t="s">
        <v>74</v>
      </c>
      <c r="E3902" t="str">
        <f>"FES1162725649"</f>
        <v>FES1162725649</v>
      </c>
      <c r="F3902" s="3">
        <v>43798</v>
      </c>
      <c r="G3902">
        <v>202005</v>
      </c>
      <c r="H3902" t="s">
        <v>75</v>
      </c>
      <c r="I3902" t="s">
        <v>76</v>
      </c>
      <c r="J3902" t="s">
        <v>77</v>
      </c>
      <c r="K3902" t="s">
        <v>78</v>
      </c>
      <c r="L3902" t="s">
        <v>106</v>
      </c>
      <c r="M3902" t="s">
        <v>107</v>
      </c>
      <c r="N3902" t="s">
        <v>262</v>
      </c>
      <c r="O3902" t="s">
        <v>82</v>
      </c>
      <c r="P3902" t="str">
        <f>"2170715587                    "</f>
        <v xml:space="preserve">2170715587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15.02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3.5</v>
      </c>
      <c r="BJ3902">
        <v>2.8</v>
      </c>
      <c r="BK3902">
        <v>3.5</v>
      </c>
      <c r="BL3902" s="4">
        <v>88.27</v>
      </c>
      <c r="BM3902" s="4">
        <v>13.24</v>
      </c>
      <c r="BN3902" s="4">
        <v>101.51</v>
      </c>
      <c r="BO3902" s="4">
        <v>101.51</v>
      </c>
      <c r="BQ3902" t="s">
        <v>2734</v>
      </c>
      <c r="BR3902" t="s">
        <v>84</v>
      </c>
      <c r="BS3902" t="s">
        <v>201</v>
      </c>
      <c r="BY3902">
        <v>13918.34</v>
      </c>
      <c r="CC3902" t="s">
        <v>107</v>
      </c>
      <c r="CD3902">
        <v>6045</v>
      </c>
      <c r="CE3902" t="s">
        <v>1598</v>
      </c>
      <c r="CI3902">
        <v>1</v>
      </c>
      <c r="CJ3902" t="s">
        <v>201</v>
      </c>
      <c r="CK3902">
        <v>21</v>
      </c>
      <c r="CL3902" t="s">
        <v>89</v>
      </c>
    </row>
    <row r="3903" spans="1:90">
      <c r="A3903" t="s">
        <v>72</v>
      </c>
      <c r="B3903" t="s">
        <v>73</v>
      </c>
      <c r="C3903" t="s">
        <v>74</v>
      </c>
      <c r="E3903" t="str">
        <f>"FES1162726082"</f>
        <v>FES1162726082</v>
      </c>
      <c r="F3903" s="3">
        <v>43798</v>
      </c>
      <c r="G3903">
        <v>202005</v>
      </c>
      <c r="H3903" t="s">
        <v>75</v>
      </c>
      <c r="I3903" t="s">
        <v>76</v>
      </c>
      <c r="J3903" t="s">
        <v>77</v>
      </c>
      <c r="K3903" t="s">
        <v>78</v>
      </c>
      <c r="L3903" t="s">
        <v>90</v>
      </c>
      <c r="M3903" t="s">
        <v>91</v>
      </c>
      <c r="N3903" t="s">
        <v>576</v>
      </c>
      <c r="O3903" t="s">
        <v>82</v>
      </c>
      <c r="P3903" t="str">
        <f>"2170719403                    "</f>
        <v xml:space="preserve">2170719403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19.3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4.3</v>
      </c>
      <c r="BJ3903">
        <v>3.2</v>
      </c>
      <c r="BK3903">
        <v>4.5</v>
      </c>
      <c r="BL3903" s="4">
        <v>113.47</v>
      </c>
      <c r="BM3903" s="4">
        <v>17.02</v>
      </c>
      <c r="BN3903" s="4">
        <v>130.49</v>
      </c>
      <c r="BO3903" s="4">
        <v>130.49</v>
      </c>
      <c r="BQ3903" t="s">
        <v>109</v>
      </c>
      <c r="BR3903" t="s">
        <v>84</v>
      </c>
      <c r="BS3903" t="s">
        <v>201</v>
      </c>
      <c r="BY3903">
        <v>16215.36</v>
      </c>
      <c r="CC3903" t="s">
        <v>91</v>
      </c>
      <c r="CD3903">
        <v>7441</v>
      </c>
      <c r="CE3903" t="s">
        <v>88</v>
      </c>
      <c r="CI3903">
        <v>1</v>
      </c>
      <c r="CJ3903" t="s">
        <v>201</v>
      </c>
      <c r="CK3903">
        <v>21</v>
      </c>
      <c r="CL3903" t="s">
        <v>89</v>
      </c>
    </row>
    <row r="3904" spans="1:90">
      <c r="A3904" t="s">
        <v>72</v>
      </c>
      <c r="B3904" t="s">
        <v>73</v>
      </c>
      <c r="C3904" t="s">
        <v>74</v>
      </c>
      <c r="E3904" t="str">
        <f>"FES1162725991"</f>
        <v>FES1162725991</v>
      </c>
      <c r="F3904" s="3">
        <v>43798</v>
      </c>
      <c r="G3904">
        <v>202005</v>
      </c>
      <c r="H3904" t="s">
        <v>75</v>
      </c>
      <c r="I3904" t="s">
        <v>76</v>
      </c>
      <c r="J3904" t="s">
        <v>77</v>
      </c>
      <c r="K3904" t="s">
        <v>78</v>
      </c>
      <c r="L3904" t="s">
        <v>917</v>
      </c>
      <c r="M3904" t="s">
        <v>918</v>
      </c>
      <c r="N3904" t="s">
        <v>2754</v>
      </c>
      <c r="O3904" t="s">
        <v>82</v>
      </c>
      <c r="P3904" t="str">
        <f>"2170717305                    "</f>
        <v xml:space="preserve">2170717305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35.590000000000003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5.6</v>
      </c>
      <c r="BJ3904">
        <v>3.2</v>
      </c>
      <c r="BK3904">
        <v>6</v>
      </c>
      <c r="BL3904" s="4">
        <v>209.19</v>
      </c>
      <c r="BM3904" s="4">
        <v>31.38</v>
      </c>
      <c r="BN3904" s="4">
        <v>240.57</v>
      </c>
      <c r="BO3904" s="4">
        <v>240.57</v>
      </c>
      <c r="BQ3904" t="s">
        <v>2755</v>
      </c>
      <c r="BR3904" t="s">
        <v>84</v>
      </c>
      <c r="BS3904" t="s">
        <v>201</v>
      </c>
      <c r="BY3904">
        <v>15988.1</v>
      </c>
      <c r="CC3904" t="s">
        <v>918</v>
      </c>
      <c r="CD3904">
        <v>2210</v>
      </c>
      <c r="CE3904" t="s">
        <v>88</v>
      </c>
      <c r="CI3904">
        <v>1</v>
      </c>
      <c r="CJ3904" t="s">
        <v>201</v>
      </c>
      <c r="CK3904">
        <v>24</v>
      </c>
      <c r="CL3904" t="s">
        <v>89</v>
      </c>
    </row>
    <row r="3905" spans="1:90">
      <c r="A3905" t="s">
        <v>72</v>
      </c>
      <c r="B3905" t="s">
        <v>73</v>
      </c>
      <c r="C3905" t="s">
        <v>74</v>
      </c>
      <c r="E3905" t="str">
        <f>"FES1162726119"</f>
        <v>FES1162726119</v>
      </c>
      <c r="F3905" s="3">
        <v>43798</v>
      </c>
      <c r="G3905">
        <v>202005</v>
      </c>
      <c r="H3905" t="s">
        <v>75</v>
      </c>
      <c r="I3905" t="s">
        <v>76</v>
      </c>
      <c r="J3905" t="s">
        <v>77</v>
      </c>
      <c r="K3905" t="s">
        <v>78</v>
      </c>
      <c r="L3905" t="s">
        <v>214</v>
      </c>
      <c r="M3905" t="s">
        <v>214</v>
      </c>
      <c r="N3905" t="s">
        <v>314</v>
      </c>
      <c r="O3905" t="s">
        <v>82</v>
      </c>
      <c r="P3905" t="str">
        <f>"2170719613                    "</f>
        <v xml:space="preserve">2170719613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16.63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 s="4">
        <v>97.75</v>
      </c>
      <c r="BM3905" s="4">
        <v>14.66</v>
      </c>
      <c r="BN3905" s="4">
        <v>112.41</v>
      </c>
      <c r="BO3905" s="4">
        <v>112.41</v>
      </c>
      <c r="BQ3905" t="s">
        <v>109</v>
      </c>
      <c r="BR3905" t="s">
        <v>84</v>
      </c>
      <c r="BS3905" t="s">
        <v>201</v>
      </c>
      <c r="BY3905">
        <v>1200</v>
      </c>
      <c r="CC3905" t="s">
        <v>214</v>
      </c>
      <c r="CD3905">
        <v>7646</v>
      </c>
      <c r="CE3905" t="s">
        <v>147</v>
      </c>
      <c r="CI3905">
        <v>1</v>
      </c>
      <c r="CJ3905" t="s">
        <v>201</v>
      </c>
      <c r="CK3905">
        <v>23</v>
      </c>
      <c r="CL3905" t="s">
        <v>89</v>
      </c>
    </row>
    <row r="3906" spans="1:90">
      <c r="A3906" t="s">
        <v>72</v>
      </c>
      <c r="B3906" t="s">
        <v>73</v>
      </c>
      <c r="C3906" t="s">
        <v>74</v>
      </c>
      <c r="E3906" t="str">
        <f>"FES1162726123"</f>
        <v>FES1162726123</v>
      </c>
      <c r="F3906" s="3">
        <v>43798</v>
      </c>
      <c r="G3906">
        <v>202005</v>
      </c>
      <c r="H3906" t="s">
        <v>75</v>
      </c>
      <c r="I3906" t="s">
        <v>76</v>
      </c>
      <c r="J3906" t="s">
        <v>77</v>
      </c>
      <c r="K3906" t="s">
        <v>78</v>
      </c>
      <c r="L3906" t="s">
        <v>124</v>
      </c>
      <c r="M3906" t="s">
        <v>125</v>
      </c>
      <c r="N3906" t="s">
        <v>3448</v>
      </c>
      <c r="O3906" t="s">
        <v>82</v>
      </c>
      <c r="P3906" t="str">
        <f>"2170718698                    "</f>
        <v xml:space="preserve">2170718698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6.71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 s="4">
        <v>39.42</v>
      </c>
      <c r="BM3906" s="4">
        <v>5.91</v>
      </c>
      <c r="BN3906" s="4">
        <v>45.33</v>
      </c>
      <c r="BO3906" s="4">
        <v>45.33</v>
      </c>
      <c r="BQ3906" t="s">
        <v>109</v>
      </c>
      <c r="BR3906" t="s">
        <v>84</v>
      </c>
      <c r="BS3906" t="s">
        <v>201</v>
      </c>
      <c r="BY3906">
        <v>1200</v>
      </c>
      <c r="CC3906" t="s">
        <v>125</v>
      </c>
      <c r="CD3906">
        <v>2090</v>
      </c>
      <c r="CE3906" t="s">
        <v>147</v>
      </c>
      <c r="CI3906">
        <v>1</v>
      </c>
      <c r="CJ3906" t="s">
        <v>201</v>
      </c>
      <c r="CK3906">
        <v>22</v>
      </c>
      <c r="CL3906" t="s">
        <v>89</v>
      </c>
    </row>
    <row r="3907" spans="1:90">
      <c r="A3907" t="s">
        <v>72</v>
      </c>
      <c r="B3907" t="s">
        <v>73</v>
      </c>
      <c r="C3907" t="s">
        <v>74</v>
      </c>
      <c r="E3907" t="str">
        <f>"FES1162726120"</f>
        <v>FES1162726120</v>
      </c>
      <c r="F3907" s="3">
        <v>43798</v>
      </c>
      <c r="G3907">
        <v>202005</v>
      </c>
      <c r="H3907" t="s">
        <v>75</v>
      </c>
      <c r="I3907" t="s">
        <v>76</v>
      </c>
      <c r="J3907" t="s">
        <v>77</v>
      </c>
      <c r="K3907" t="s">
        <v>78</v>
      </c>
      <c r="L3907" t="s">
        <v>214</v>
      </c>
      <c r="M3907" t="s">
        <v>214</v>
      </c>
      <c r="N3907" t="s">
        <v>314</v>
      </c>
      <c r="O3907" t="s">
        <v>82</v>
      </c>
      <c r="P3907" t="str">
        <f>"2170719614                    "</f>
        <v xml:space="preserve">2170719614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16.63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 s="4">
        <v>97.75</v>
      </c>
      <c r="BM3907" s="4">
        <v>14.66</v>
      </c>
      <c r="BN3907" s="4">
        <v>112.41</v>
      </c>
      <c r="BO3907" s="4">
        <v>112.41</v>
      </c>
      <c r="BQ3907" t="s">
        <v>109</v>
      </c>
      <c r="BR3907" t="s">
        <v>84</v>
      </c>
      <c r="BS3907" t="s">
        <v>201</v>
      </c>
      <c r="BY3907">
        <v>1200</v>
      </c>
      <c r="CC3907" t="s">
        <v>214</v>
      </c>
      <c r="CD3907">
        <v>7646</v>
      </c>
      <c r="CE3907" t="s">
        <v>147</v>
      </c>
      <c r="CI3907">
        <v>1</v>
      </c>
      <c r="CJ3907" t="s">
        <v>201</v>
      </c>
      <c r="CK3907">
        <v>23</v>
      </c>
      <c r="CL3907" t="s">
        <v>89</v>
      </c>
    </row>
    <row r="3908" spans="1:90">
      <c r="A3908" t="s">
        <v>72</v>
      </c>
      <c r="B3908" t="s">
        <v>73</v>
      </c>
      <c r="C3908" t="s">
        <v>74</v>
      </c>
      <c r="E3908" t="str">
        <f>"FES1162725950"</f>
        <v>FES1162725950</v>
      </c>
      <c r="F3908" s="3">
        <v>43798</v>
      </c>
      <c r="G3908">
        <v>202005</v>
      </c>
      <c r="H3908" t="s">
        <v>75</v>
      </c>
      <c r="I3908" t="s">
        <v>76</v>
      </c>
      <c r="J3908" t="s">
        <v>77</v>
      </c>
      <c r="K3908" t="s">
        <v>78</v>
      </c>
      <c r="L3908" t="s">
        <v>214</v>
      </c>
      <c r="M3908" t="s">
        <v>214</v>
      </c>
      <c r="N3908" t="s">
        <v>312</v>
      </c>
      <c r="O3908" t="s">
        <v>82</v>
      </c>
      <c r="P3908" t="str">
        <f>"2170719479                    "</f>
        <v xml:space="preserve">2170719479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24.14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1.1000000000000001</v>
      </c>
      <c r="BJ3908">
        <v>2.8</v>
      </c>
      <c r="BK3908">
        <v>3</v>
      </c>
      <c r="BL3908" s="4">
        <v>141.9</v>
      </c>
      <c r="BM3908" s="4">
        <v>21.29</v>
      </c>
      <c r="BN3908" s="4">
        <v>163.19</v>
      </c>
      <c r="BO3908" s="4">
        <v>163.19</v>
      </c>
      <c r="BQ3908" t="s">
        <v>121</v>
      </c>
      <c r="BR3908" t="s">
        <v>84</v>
      </c>
      <c r="BS3908" t="s">
        <v>201</v>
      </c>
      <c r="BY3908">
        <v>14135.66</v>
      </c>
      <c r="CC3908" t="s">
        <v>214</v>
      </c>
      <c r="CD3908">
        <v>7646</v>
      </c>
      <c r="CE3908" t="s">
        <v>1598</v>
      </c>
      <c r="CI3908">
        <v>1</v>
      </c>
      <c r="CJ3908" t="s">
        <v>201</v>
      </c>
      <c r="CK3908">
        <v>23</v>
      </c>
      <c r="CL3908" t="s">
        <v>89</v>
      </c>
    </row>
    <row r="3909" spans="1:90">
      <c r="A3909" t="s">
        <v>72</v>
      </c>
      <c r="B3909" t="s">
        <v>73</v>
      </c>
      <c r="C3909" t="s">
        <v>74</v>
      </c>
      <c r="E3909" t="str">
        <f>"FES1162726038"</f>
        <v>FES1162726038</v>
      </c>
      <c r="F3909" s="3">
        <v>43798</v>
      </c>
      <c r="G3909">
        <v>202005</v>
      </c>
      <c r="H3909" t="s">
        <v>75</v>
      </c>
      <c r="I3909" t="s">
        <v>76</v>
      </c>
      <c r="J3909" t="s">
        <v>77</v>
      </c>
      <c r="K3909" t="s">
        <v>78</v>
      </c>
      <c r="L3909" t="s">
        <v>106</v>
      </c>
      <c r="M3909" t="s">
        <v>107</v>
      </c>
      <c r="N3909" t="s">
        <v>108</v>
      </c>
      <c r="O3909" t="s">
        <v>82</v>
      </c>
      <c r="P3909" t="str">
        <f>"2170719501                    "</f>
        <v xml:space="preserve">2170719501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8.58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 s="4">
        <v>50.45</v>
      </c>
      <c r="BM3909" s="4">
        <v>7.57</v>
      </c>
      <c r="BN3909" s="4">
        <v>58.02</v>
      </c>
      <c r="BO3909" s="4">
        <v>58.02</v>
      </c>
      <c r="BQ3909" t="s">
        <v>109</v>
      </c>
      <c r="BR3909" t="s">
        <v>84</v>
      </c>
      <c r="BS3909" t="s">
        <v>201</v>
      </c>
      <c r="BY3909">
        <v>1200</v>
      </c>
      <c r="CC3909" t="s">
        <v>107</v>
      </c>
      <c r="CD3909">
        <v>6001</v>
      </c>
      <c r="CE3909" t="s">
        <v>147</v>
      </c>
      <c r="CI3909">
        <v>1</v>
      </c>
      <c r="CJ3909" t="s">
        <v>201</v>
      </c>
      <c r="CK3909">
        <v>21</v>
      </c>
      <c r="CL3909" t="s">
        <v>89</v>
      </c>
    </row>
    <row r="3910" spans="1:90">
      <c r="A3910" t="s">
        <v>72</v>
      </c>
      <c r="B3910" t="s">
        <v>73</v>
      </c>
      <c r="C3910" t="s">
        <v>74</v>
      </c>
      <c r="E3910" t="str">
        <f>"FES1162726039"</f>
        <v>FES1162726039</v>
      </c>
      <c r="F3910" s="3">
        <v>43798</v>
      </c>
      <c r="G3910">
        <v>202005</v>
      </c>
      <c r="H3910" t="s">
        <v>75</v>
      </c>
      <c r="I3910" t="s">
        <v>76</v>
      </c>
      <c r="J3910" t="s">
        <v>77</v>
      </c>
      <c r="K3910" t="s">
        <v>78</v>
      </c>
      <c r="L3910" t="s">
        <v>133</v>
      </c>
      <c r="M3910" t="s">
        <v>134</v>
      </c>
      <c r="N3910" t="s">
        <v>310</v>
      </c>
      <c r="O3910" t="s">
        <v>82</v>
      </c>
      <c r="P3910" t="str">
        <f>"2170719502                    "</f>
        <v xml:space="preserve">2170719502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8.58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 s="4">
        <v>50.45</v>
      </c>
      <c r="BM3910" s="4">
        <v>7.57</v>
      </c>
      <c r="BN3910" s="4">
        <v>58.02</v>
      </c>
      <c r="BO3910" s="4">
        <v>58.02</v>
      </c>
      <c r="BQ3910" t="s">
        <v>121</v>
      </c>
      <c r="BR3910" t="s">
        <v>84</v>
      </c>
      <c r="BS3910" t="s">
        <v>201</v>
      </c>
      <c r="BY3910">
        <v>1200</v>
      </c>
      <c r="CC3910" t="s">
        <v>134</v>
      </c>
      <c r="CD3910">
        <v>5201</v>
      </c>
      <c r="CE3910" t="s">
        <v>147</v>
      </c>
      <c r="CI3910">
        <v>1</v>
      </c>
      <c r="CJ3910" t="s">
        <v>201</v>
      </c>
      <c r="CK3910">
        <v>21</v>
      </c>
      <c r="CL3910" t="s">
        <v>89</v>
      </c>
    </row>
    <row r="3911" spans="1:90">
      <c r="A3911" t="s">
        <v>72</v>
      </c>
      <c r="B3911" t="s">
        <v>73</v>
      </c>
      <c r="C3911" t="s">
        <v>74</v>
      </c>
      <c r="E3911" t="str">
        <f>"FES1162725644"</f>
        <v>FES1162725644</v>
      </c>
      <c r="F3911" s="3">
        <v>43798</v>
      </c>
      <c r="G3911">
        <v>202005</v>
      </c>
      <c r="H3911" t="s">
        <v>75</v>
      </c>
      <c r="I3911" t="s">
        <v>76</v>
      </c>
      <c r="J3911" t="s">
        <v>77</v>
      </c>
      <c r="K3911" t="s">
        <v>78</v>
      </c>
      <c r="L3911" t="s">
        <v>106</v>
      </c>
      <c r="M3911" t="s">
        <v>107</v>
      </c>
      <c r="N3911" t="s">
        <v>700</v>
      </c>
      <c r="O3911" t="s">
        <v>82</v>
      </c>
      <c r="P3911" t="str">
        <f>"217071726                     "</f>
        <v xml:space="preserve">217071726 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64.34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2</v>
      </c>
      <c r="BI3911">
        <v>14.6</v>
      </c>
      <c r="BJ3911">
        <v>11.2</v>
      </c>
      <c r="BK3911">
        <v>15</v>
      </c>
      <c r="BL3911" s="4">
        <v>378.17</v>
      </c>
      <c r="BM3911" s="4">
        <v>56.73</v>
      </c>
      <c r="BN3911" s="4">
        <v>434.9</v>
      </c>
      <c r="BO3911" s="4">
        <v>434.9</v>
      </c>
      <c r="BQ3911" t="s">
        <v>109</v>
      </c>
      <c r="BR3911" t="s">
        <v>84</v>
      </c>
      <c r="BS3911" t="s">
        <v>201</v>
      </c>
      <c r="BY3911">
        <v>56233.2</v>
      </c>
      <c r="CC3911" t="s">
        <v>107</v>
      </c>
      <c r="CD3911">
        <v>6001</v>
      </c>
      <c r="CE3911" t="s">
        <v>2197</v>
      </c>
      <c r="CI3911">
        <v>1</v>
      </c>
      <c r="CJ3911" t="s">
        <v>201</v>
      </c>
      <c r="CK3911">
        <v>21</v>
      </c>
      <c r="CL3911" t="s">
        <v>89</v>
      </c>
    </row>
    <row r="3912" spans="1:90">
      <c r="A3912" t="s">
        <v>72</v>
      </c>
      <c r="B3912" t="s">
        <v>73</v>
      </c>
      <c r="C3912" t="s">
        <v>74</v>
      </c>
      <c r="E3912" t="str">
        <f>"FES1162725646"</f>
        <v>FES1162725646</v>
      </c>
      <c r="F3912" s="3">
        <v>43798</v>
      </c>
      <c r="G3912">
        <v>202005</v>
      </c>
      <c r="H3912" t="s">
        <v>75</v>
      </c>
      <c r="I3912" t="s">
        <v>76</v>
      </c>
      <c r="J3912" t="s">
        <v>77</v>
      </c>
      <c r="K3912" t="s">
        <v>78</v>
      </c>
      <c r="L3912" t="s">
        <v>106</v>
      </c>
      <c r="M3912" t="s">
        <v>107</v>
      </c>
      <c r="N3912" t="s">
        <v>700</v>
      </c>
      <c r="O3912" t="s">
        <v>82</v>
      </c>
      <c r="P3912" t="str">
        <f>"2170715372                    "</f>
        <v xml:space="preserve">2170715372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64.34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2</v>
      </c>
      <c r="BI3912">
        <v>14.8</v>
      </c>
      <c r="BJ3912">
        <v>12.5</v>
      </c>
      <c r="BK3912">
        <v>15</v>
      </c>
      <c r="BL3912" s="4">
        <v>378.17</v>
      </c>
      <c r="BM3912" s="4">
        <v>56.73</v>
      </c>
      <c r="BN3912" s="4">
        <v>434.9</v>
      </c>
      <c r="BO3912" s="4">
        <v>434.9</v>
      </c>
      <c r="BQ3912" t="s">
        <v>109</v>
      </c>
      <c r="BR3912" t="s">
        <v>84</v>
      </c>
      <c r="BS3912" t="s">
        <v>201</v>
      </c>
      <c r="BY3912">
        <v>62484</v>
      </c>
      <c r="CC3912" t="s">
        <v>107</v>
      </c>
      <c r="CD3912">
        <v>6001</v>
      </c>
      <c r="CE3912" t="s">
        <v>2197</v>
      </c>
      <c r="CI3912">
        <v>1</v>
      </c>
      <c r="CJ3912" t="s">
        <v>201</v>
      </c>
      <c r="CK3912">
        <v>21</v>
      </c>
      <c r="CL3912" t="s">
        <v>89</v>
      </c>
    </row>
    <row r="3913" spans="1:90">
      <c r="A3913" t="s">
        <v>72</v>
      </c>
      <c r="B3913" t="s">
        <v>73</v>
      </c>
      <c r="C3913" t="s">
        <v>74</v>
      </c>
      <c r="E3913" t="str">
        <f>"FES1162725891"</f>
        <v>FES1162725891</v>
      </c>
      <c r="F3913" s="3">
        <v>43798</v>
      </c>
      <c r="G3913">
        <v>202005</v>
      </c>
      <c r="H3913" t="s">
        <v>75</v>
      </c>
      <c r="I3913" t="s">
        <v>76</v>
      </c>
      <c r="J3913" t="s">
        <v>77</v>
      </c>
      <c r="K3913" t="s">
        <v>78</v>
      </c>
      <c r="L3913" t="s">
        <v>90</v>
      </c>
      <c r="M3913" t="s">
        <v>91</v>
      </c>
      <c r="N3913" t="s">
        <v>1617</v>
      </c>
      <c r="O3913" t="s">
        <v>82</v>
      </c>
      <c r="P3913" t="str">
        <f>"2170718768                    "</f>
        <v xml:space="preserve">2170718768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12.87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2.6</v>
      </c>
      <c r="BJ3913">
        <v>2.2999999999999998</v>
      </c>
      <c r="BK3913">
        <v>3</v>
      </c>
      <c r="BL3913" s="4">
        <v>75.66</v>
      </c>
      <c r="BM3913" s="4">
        <v>11.35</v>
      </c>
      <c r="BN3913" s="4">
        <v>87.01</v>
      </c>
      <c r="BO3913" s="4">
        <v>87.01</v>
      </c>
      <c r="BQ3913" t="s">
        <v>187</v>
      </c>
      <c r="BR3913" t="s">
        <v>84</v>
      </c>
      <c r="BS3913" t="s">
        <v>201</v>
      </c>
      <c r="BY3913">
        <v>11689.39</v>
      </c>
      <c r="CC3913" t="s">
        <v>91</v>
      </c>
      <c r="CD3913">
        <v>7580</v>
      </c>
      <c r="CE3913" t="s">
        <v>1598</v>
      </c>
      <c r="CI3913">
        <v>1</v>
      </c>
      <c r="CJ3913" t="s">
        <v>201</v>
      </c>
      <c r="CK3913">
        <v>21</v>
      </c>
      <c r="CL3913" t="s">
        <v>89</v>
      </c>
    </row>
    <row r="3914" spans="1:90">
      <c r="A3914" t="s">
        <v>72</v>
      </c>
      <c r="B3914" t="s">
        <v>73</v>
      </c>
      <c r="C3914" t="s">
        <v>74</v>
      </c>
      <c r="E3914" t="str">
        <f>"FES1162726095"</f>
        <v>FES1162726095</v>
      </c>
      <c r="F3914" s="3">
        <v>43798</v>
      </c>
      <c r="G3914">
        <v>202005</v>
      </c>
      <c r="H3914" t="s">
        <v>75</v>
      </c>
      <c r="I3914" t="s">
        <v>76</v>
      </c>
      <c r="J3914" t="s">
        <v>77</v>
      </c>
      <c r="K3914" t="s">
        <v>78</v>
      </c>
      <c r="L3914" t="s">
        <v>106</v>
      </c>
      <c r="M3914" t="s">
        <v>107</v>
      </c>
      <c r="N3914" t="s">
        <v>1401</v>
      </c>
      <c r="O3914" t="s">
        <v>82</v>
      </c>
      <c r="P3914" t="str">
        <f>"2170719583                    "</f>
        <v xml:space="preserve">2170719583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10.73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2.2999999999999998</v>
      </c>
      <c r="BJ3914">
        <v>1.7</v>
      </c>
      <c r="BK3914">
        <v>2.5</v>
      </c>
      <c r="BL3914" s="4">
        <v>63.06</v>
      </c>
      <c r="BM3914" s="4">
        <v>9.4600000000000009</v>
      </c>
      <c r="BN3914" s="4">
        <v>72.52</v>
      </c>
      <c r="BO3914" s="4">
        <v>72.52</v>
      </c>
      <c r="BQ3914" t="s">
        <v>109</v>
      </c>
      <c r="BR3914" t="s">
        <v>84</v>
      </c>
      <c r="BS3914" t="s">
        <v>201</v>
      </c>
      <c r="BY3914">
        <v>8412.4599999999991</v>
      </c>
      <c r="CC3914" t="s">
        <v>107</v>
      </c>
      <c r="CD3914">
        <v>6001</v>
      </c>
      <c r="CE3914" t="s">
        <v>88</v>
      </c>
      <c r="CI3914">
        <v>1</v>
      </c>
      <c r="CJ3914" t="s">
        <v>201</v>
      </c>
      <c r="CK3914">
        <v>21</v>
      </c>
      <c r="CL3914" t="s">
        <v>89</v>
      </c>
    </row>
    <row r="3915" spans="1:90">
      <c r="A3915" t="s">
        <v>72</v>
      </c>
      <c r="B3915" t="s">
        <v>73</v>
      </c>
      <c r="C3915" t="s">
        <v>74</v>
      </c>
      <c r="E3915" t="str">
        <f>"FES1162725957"</f>
        <v>FES1162725957</v>
      </c>
      <c r="F3915" s="3">
        <v>43798</v>
      </c>
      <c r="G3915">
        <v>202005</v>
      </c>
      <c r="H3915" t="s">
        <v>75</v>
      </c>
      <c r="I3915" t="s">
        <v>76</v>
      </c>
      <c r="J3915" t="s">
        <v>77</v>
      </c>
      <c r="K3915" t="s">
        <v>78</v>
      </c>
      <c r="L3915" t="s">
        <v>75</v>
      </c>
      <c r="M3915" t="s">
        <v>76</v>
      </c>
      <c r="N3915" t="s">
        <v>1416</v>
      </c>
      <c r="O3915" t="s">
        <v>82</v>
      </c>
      <c r="P3915" t="str">
        <f>"2170719206                    "</f>
        <v xml:space="preserve">2170719206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6.71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0.9</v>
      </c>
      <c r="BJ3915">
        <v>0.7</v>
      </c>
      <c r="BK3915">
        <v>1</v>
      </c>
      <c r="BL3915" s="4">
        <v>39.42</v>
      </c>
      <c r="BM3915" s="4">
        <v>5.91</v>
      </c>
      <c r="BN3915" s="4">
        <v>45.33</v>
      </c>
      <c r="BO3915" s="4">
        <v>45.33</v>
      </c>
      <c r="BQ3915" t="s">
        <v>1417</v>
      </c>
      <c r="BR3915" t="s">
        <v>84</v>
      </c>
      <c r="BS3915" s="3">
        <v>43801</v>
      </c>
      <c r="BT3915" s="5">
        <v>0.27916666666666667</v>
      </c>
      <c r="BU3915" t="s">
        <v>2624</v>
      </c>
      <c r="BV3915" t="s">
        <v>86</v>
      </c>
      <c r="BY3915">
        <v>3562.06</v>
      </c>
      <c r="CA3915" t="s">
        <v>198</v>
      </c>
      <c r="CC3915" t="s">
        <v>76</v>
      </c>
      <c r="CD3915">
        <v>1601</v>
      </c>
      <c r="CE3915" t="s">
        <v>1598</v>
      </c>
      <c r="CI3915">
        <v>1</v>
      </c>
      <c r="CJ3915">
        <v>1</v>
      </c>
      <c r="CK3915">
        <v>22</v>
      </c>
      <c r="CL3915" t="s">
        <v>89</v>
      </c>
    </row>
    <row r="3916" spans="1:90">
      <c r="A3916" t="s">
        <v>72</v>
      </c>
      <c r="B3916" t="s">
        <v>73</v>
      </c>
      <c r="C3916" t="s">
        <v>74</v>
      </c>
      <c r="E3916" t="str">
        <f>"FES1162724762"</f>
        <v>FES1162724762</v>
      </c>
      <c r="F3916" s="3">
        <v>43794</v>
      </c>
      <c r="G3916">
        <v>202005</v>
      </c>
      <c r="H3916" t="s">
        <v>75</v>
      </c>
      <c r="I3916" t="s">
        <v>76</v>
      </c>
      <c r="J3916" t="s">
        <v>211</v>
      </c>
      <c r="K3916" t="s">
        <v>78</v>
      </c>
      <c r="L3916" t="s">
        <v>925</v>
      </c>
      <c r="M3916" t="s">
        <v>926</v>
      </c>
      <c r="N3916" t="s">
        <v>3449</v>
      </c>
      <c r="O3916" t="s">
        <v>756</v>
      </c>
      <c r="P3916" t="str">
        <f>"2170718551                    "</f>
        <v xml:space="preserve">2170718551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19.32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5.5</v>
      </c>
      <c r="BJ3916">
        <v>3.2</v>
      </c>
      <c r="BK3916">
        <v>6</v>
      </c>
      <c r="BL3916" s="4">
        <v>113.54</v>
      </c>
      <c r="BM3916" s="4">
        <v>17.03</v>
      </c>
      <c r="BN3916" s="4">
        <v>130.57</v>
      </c>
      <c r="BO3916" s="4">
        <v>130.57</v>
      </c>
      <c r="BQ3916" t="s">
        <v>142</v>
      </c>
      <c r="BR3916" t="s">
        <v>212</v>
      </c>
      <c r="BS3916" s="3">
        <v>43795</v>
      </c>
      <c r="BT3916" s="5">
        <v>0.65138888888888891</v>
      </c>
      <c r="BU3916" t="s">
        <v>3450</v>
      </c>
      <c r="BV3916" t="s">
        <v>86</v>
      </c>
      <c r="BY3916">
        <v>16218.4</v>
      </c>
      <c r="BZ3916" t="s">
        <v>27</v>
      </c>
      <c r="CA3916" t="s">
        <v>929</v>
      </c>
      <c r="CC3916" t="s">
        <v>926</v>
      </c>
      <c r="CD3916">
        <v>1020</v>
      </c>
      <c r="CE3916" t="s">
        <v>88</v>
      </c>
      <c r="CF3916" s="3">
        <v>43796</v>
      </c>
      <c r="CI3916">
        <v>1</v>
      </c>
      <c r="CJ3916">
        <v>1</v>
      </c>
      <c r="CK3916">
        <v>34</v>
      </c>
      <c r="CL3916" t="s">
        <v>89</v>
      </c>
    </row>
    <row r="3917" spans="1:90">
      <c r="A3917" t="s">
        <v>72</v>
      </c>
      <c r="B3917" t="s">
        <v>73</v>
      </c>
      <c r="C3917" t="s">
        <v>74</v>
      </c>
      <c r="E3917" t="str">
        <f>"FES1162726009"</f>
        <v>FES1162726009</v>
      </c>
      <c r="F3917" s="3">
        <v>43798</v>
      </c>
      <c r="G3917">
        <v>202005</v>
      </c>
      <c r="H3917" t="s">
        <v>75</v>
      </c>
      <c r="I3917" t="s">
        <v>76</v>
      </c>
      <c r="J3917" t="s">
        <v>77</v>
      </c>
      <c r="K3917" t="s">
        <v>78</v>
      </c>
      <c r="L3917" t="s">
        <v>124</v>
      </c>
      <c r="M3917" t="s">
        <v>125</v>
      </c>
      <c r="N3917" t="s">
        <v>218</v>
      </c>
      <c r="O3917" t="s">
        <v>82</v>
      </c>
      <c r="P3917" t="str">
        <f>"2170716958                    "</f>
        <v xml:space="preserve">2170716958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6.71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</v>
      </c>
      <c r="BJ3917">
        <v>0.2</v>
      </c>
      <c r="BK3917">
        <v>1</v>
      </c>
      <c r="BL3917" s="4">
        <v>39.42</v>
      </c>
      <c r="BM3917" s="4">
        <v>5.91</v>
      </c>
      <c r="BN3917" s="4">
        <v>45.33</v>
      </c>
      <c r="BO3917" s="4">
        <v>45.33</v>
      </c>
      <c r="BQ3917" t="s">
        <v>121</v>
      </c>
      <c r="BR3917" t="s">
        <v>84</v>
      </c>
      <c r="BS3917" t="s">
        <v>201</v>
      </c>
      <c r="BY3917">
        <v>1200</v>
      </c>
      <c r="CC3917" t="s">
        <v>125</v>
      </c>
      <c r="CD3917">
        <v>2094</v>
      </c>
      <c r="CE3917" t="s">
        <v>147</v>
      </c>
      <c r="CI3917">
        <v>1</v>
      </c>
      <c r="CJ3917" t="s">
        <v>201</v>
      </c>
      <c r="CK3917">
        <v>22</v>
      </c>
      <c r="CL3917" t="s">
        <v>89</v>
      </c>
    </row>
    <row r="3918" spans="1:90">
      <c r="A3918" t="s">
        <v>72</v>
      </c>
      <c r="B3918" t="s">
        <v>73</v>
      </c>
      <c r="C3918" t="s">
        <v>74</v>
      </c>
      <c r="E3918" t="str">
        <f>"FES1162725964"</f>
        <v>FES1162725964</v>
      </c>
      <c r="F3918" s="3">
        <v>43798</v>
      </c>
      <c r="G3918">
        <v>202005</v>
      </c>
      <c r="H3918" t="s">
        <v>75</v>
      </c>
      <c r="I3918" t="s">
        <v>76</v>
      </c>
      <c r="J3918" t="s">
        <v>77</v>
      </c>
      <c r="K3918" t="s">
        <v>78</v>
      </c>
      <c r="L3918" t="s">
        <v>2348</v>
      </c>
      <c r="M3918" t="s">
        <v>2349</v>
      </c>
      <c r="N3918" t="s">
        <v>3451</v>
      </c>
      <c r="O3918" t="s">
        <v>82</v>
      </c>
      <c r="P3918" t="str">
        <f>"2170719485                    "</f>
        <v xml:space="preserve">2170719485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226.94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14.1</v>
      </c>
      <c r="BJ3918">
        <v>29.9</v>
      </c>
      <c r="BK3918">
        <v>30</v>
      </c>
      <c r="BL3918" s="4">
        <v>1333.98</v>
      </c>
      <c r="BM3918" s="4">
        <v>200.1</v>
      </c>
      <c r="BN3918" s="4">
        <v>1534.08</v>
      </c>
      <c r="BO3918" s="4">
        <v>1534.08</v>
      </c>
      <c r="BR3918" t="s">
        <v>84</v>
      </c>
      <c r="BS3918" t="s">
        <v>201</v>
      </c>
      <c r="BY3918">
        <v>149347.29999999999</v>
      </c>
      <c r="CC3918" t="s">
        <v>2349</v>
      </c>
      <c r="CD3918">
        <v>4490</v>
      </c>
      <c r="CE3918" t="s">
        <v>88</v>
      </c>
      <c r="CI3918">
        <v>1</v>
      </c>
      <c r="CJ3918" t="s">
        <v>201</v>
      </c>
      <c r="CK3918">
        <v>23</v>
      </c>
      <c r="CL3918" t="s">
        <v>89</v>
      </c>
    </row>
    <row r="3919" spans="1:90">
      <c r="A3919" t="s">
        <v>72</v>
      </c>
      <c r="B3919" t="s">
        <v>73</v>
      </c>
      <c r="C3919" t="s">
        <v>74</v>
      </c>
      <c r="E3919" t="str">
        <f>"FES1162726054"</f>
        <v>FES1162726054</v>
      </c>
      <c r="F3919" s="3">
        <v>43798</v>
      </c>
      <c r="G3919">
        <v>202005</v>
      </c>
      <c r="H3919" t="s">
        <v>75</v>
      </c>
      <c r="I3919" t="s">
        <v>76</v>
      </c>
      <c r="J3919" t="s">
        <v>77</v>
      </c>
      <c r="K3919" t="s">
        <v>78</v>
      </c>
      <c r="L3919" t="s">
        <v>225</v>
      </c>
      <c r="M3919" t="s">
        <v>226</v>
      </c>
      <c r="N3919" t="s">
        <v>227</v>
      </c>
      <c r="O3919" t="s">
        <v>82</v>
      </c>
      <c r="P3919" t="str">
        <f>"2170719521                    "</f>
        <v xml:space="preserve">2170719521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15.02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2.7</v>
      </c>
      <c r="BJ3919">
        <v>3.3</v>
      </c>
      <c r="BK3919">
        <v>3.5</v>
      </c>
      <c r="BL3919" s="4">
        <v>88.27</v>
      </c>
      <c r="BM3919" s="4">
        <v>13.24</v>
      </c>
      <c r="BN3919" s="4">
        <v>101.51</v>
      </c>
      <c r="BO3919" s="4">
        <v>101.51</v>
      </c>
      <c r="BQ3919" t="s">
        <v>121</v>
      </c>
      <c r="BR3919" t="s">
        <v>84</v>
      </c>
      <c r="BS3919" t="s">
        <v>201</v>
      </c>
      <c r="BY3919">
        <v>16346.08</v>
      </c>
      <c r="CC3919" t="s">
        <v>226</v>
      </c>
      <c r="CD3919">
        <v>4026</v>
      </c>
      <c r="CE3919" t="s">
        <v>88</v>
      </c>
      <c r="CI3919">
        <v>1</v>
      </c>
      <c r="CJ3919" t="s">
        <v>201</v>
      </c>
      <c r="CK3919">
        <v>21</v>
      </c>
      <c r="CL3919" t="s">
        <v>89</v>
      </c>
    </row>
    <row r="3920" spans="1:90">
      <c r="A3920" t="s">
        <v>72</v>
      </c>
      <c r="B3920" t="s">
        <v>73</v>
      </c>
      <c r="C3920" t="s">
        <v>74</v>
      </c>
      <c r="E3920" t="str">
        <f>"FES1162725941"</f>
        <v>FES1162725941</v>
      </c>
      <c r="F3920" s="3">
        <v>43798</v>
      </c>
      <c r="G3920">
        <v>202005</v>
      </c>
      <c r="H3920" t="s">
        <v>75</v>
      </c>
      <c r="I3920" t="s">
        <v>76</v>
      </c>
      <c r="J3920" t="s">
        <v>77</v>
      </c>
      <c r="K3920" t="s">
        <v>78</v>
      </c>
      <c r="L3920" t="s">
        <v>101</v>
      </c>
      <c r="M3920" t="s">
        <v>102</v>
      </c>
      <c r="N3920" t="s">
        <v>1922</v>
      </c>
      <c r="O3920" t="s">
        <v>82</v>
      </c>
      <c r="P3920" t="str">
        <f>"217071745970                  "</f>
        <v xml:space="preserve">217071745970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79.349999999999994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2</v>
      </c>
      <c r="BI3920">
        <v>15.3</v>
      </c>
      <c r="BJ3920">
        <v>18.2</v>
      </c>
      <c r="BK3920">
        <v>18.5</v>
      </c>
      <c r="BL3920" s="4">
        <v>466.4</v>
      </c>
      <c r="BM3920" s="4">
        <v>69.959999999999994</v>
      </c>
      <c r="BN3920" s="4">
        <v>536.36</v>
      </c>
      <c r="BO3920" s="4">
        <v>536.36</v>
      </c>
      <c r="BQ3920" t="s">
        <v>161</v>
      </c>
      <c r="BR3920" t="s">
        <v>84</v>
      </c>
      <c r="BS3920" t="s">
        <v>201</v>
      </c>
      <c r="BY3920">
        <v>91062.02</v>
      </c>
      <c r="CC3920" t="s">
        <v>102</v>
      </c>
      <c r="CD3920">
        <v>200</v>
      </c>
      <c r="CE3920" t="s">
        <v>2197</v>
      </c>
      <c r="CI3920">
        <v>1</v>
      </c>
      <c r="CJ3920" t="s">
        <v>201</v>
      </c>
      <c r="CK3920">
        <v>21</v>
      </c>
      <c r="CL3920" t="s">
        <v>89</v>
      </c>
    </row>
    <row r="3921" spans="1:90">
      <c r="A3921" t="s">
        <v>72</v>
      </c>
      <c r="B3921" t="s">
        <v>73</v>
      </c>
      <c r="C3921" t="s">
        <v>74</v>
      </c>
      <c r="E3921" t="str">
        <f>"FES1162725738"</f>
        <v>FES1162725738</v>
      </c>
      <c r="F3921" s="3">
        <v>43798</v>
      </c>
      <c r="G3921">
        <v>202005</v>
      </c>
      <c r="H3921" t="s">
        <v>75</v>
      </c>
      <c r="I3921" t="s">
        <v>76</v>
      </c>
      <c r="J3921" t="s">
        <v>77</v>
      </c>
      <c r="K3921" t="s">
        <v>78</v>
      </c>
      <c r="L3921" t="s">
        <v>133</v>
      </c>
      <c r="M3921" t="s">
        <v>134</v>
      </c>
      <c r="N3921" t="s">
        <v>135</v>
      </c>
      <c r="O3921" t="s">
        <v>82</v>
      </c>
      <c r="P3921" t="str">
        <f>"2170717345                    "</f>
        <v xml:space="preserve">2170717345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36.46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8.4</v>
      </c>
      <c r="BJ3921">
        <v>8.3000000000000007</v>
      </c>
      <c r="BK3921">
        <v>8.5</v>
      </c>
      <c r="BL3921" s="4">
        <v>214.31</v>
      </c>
      <c r="BM3921" s="4">
        <v>32.15</v>
      </c>
      <c r="BN3921" s="4">
        <v>246.46</v>
      </c>
      <c r="BO3921" s="4">
        <v>246.46</v>
      </c>
      <c r="BQ3921" t="s">
        <v>109</v>
      </c>
      <c r="BR3921" t="s">
        <v>84</v>
      </c>
      <c r="BS3921" t="s">
        <v>201</v>
      </c>
      <c r="BY3921">
        <v>41441.4</v>
      </c>
      <c r="CC3921" t="s">
        <v>134</v>
      </c>
      <c r="CD3921">
        <v>5201</v>
      </c>
      <c r="CE3921" t="s">
        <v>88</v>
      </c>
      <c r="CI3921">
        <v>1</v>
      </c>
      <c r="CJ3921" t="s">
        <v>201</v>
      </c>
      <c r="CK3921">
        <v>21</v>
      </c>
      <c r="CL3921" t="s">
        <v>89</v>
      </c>
    </row>
    <row r="3922" spans="1:90">
      <c r="A3922" t="s">
        <v>72</v>
      </c>
      <c r="B3922" t="s">
        <v>73</v>
      </c>
      <c r="C3922" t="s">
        <v>74</v>
      </c>
      <c r="E3922" t="str">
        <f>"FES1162725089"</f>
        <v>FES1162725089</v>
      </c>
      <c r="F3922" s="3">
        <v>43795</v>
      </c>
      <c r="G3922">
        <v>202005</v>
      </c>
      <c r="H3922" t="s">
        <v>75</v>
      </c>
      <c r="I3922" t="s">
        <v>76</v>
      </c>
      <c r="J3922" t="s">
        <v>211</v>
      </c>
      <c r="K3922" t="s">
        <v>78</v>
      </c>
      <c r="L3922" t="s">
        <v>172</v>
      </c>
      <c r="M3922" t="s">
        <v>173</v>
      </c>
      <c r="N3922" t="s">
        <v>1365</v>
      </c>
      <c r="O3922" t="s">
        <v>756</v>
      </c>
      <c r="P3922" t="str">
        <f>"2170718834                    "</f>
        <v xml:space="preserve">2170718834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12.07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2.1</v>
      </c>
      <c r="BJ3922">
        <v>0.8</v>
      </c>
      <c r="BK3922">
        <v>3</v>
      </c>
      <c r="BL3922" s="4">
        <v>70.95</v>
      </c>
      <c r="BM3922" s="4">
        <v>10.64</v>
      </c>
      <c r="BN3922" s="4">
        <v>81.59</v>
      </c>
      <c r="BO3922" s="4">
        <v>81.59</v>
      </c>
      <c r="BQ3922" t="s">
        <v>1366</v>
      </c>
      <c r="BR3922" t="s">
        <v>212</v>
      </c>
      <c r="BS3922" s="3">
        <v>43796</v>
      </c>
      <c r="BT3922" s="5">
        <v>0.35069444444444442</v>
      </c>
      <c r="BU3922" t="s">
        <v>3452</v>
      </c>
      <c r="BV3922" t="s">
        <v>86</v>
      </c>
      <c r="BY3922">
        <v>4179.92</v>
      </c>
      <c r="BZ3922" t="s">
        <v>27</v>
      </c>
      <c r="CC3922" t="s">
        <v>173</v>
      </c>
      <c r="CD3922">
        <v>1754</v>
      </c>
      <c r="CE3922" t="s">
        <v>88</v>
      </c>
      <c r="CF3922" s="3">
        <v>43797</v>
      </c>
      <c r="CI3922">
        <v>1</v>
      </c>
      <c r="CJ3922">
        <v>1</v>
      </c>
      <c r="CK3922">
        <v>34</v>
      </c>
      <c r="CL3922" t="s">
        <v>89</v>
      </c>
    </row>
    <row r="3923" spans="1:90">
      <c r="A3923" t="s">
        <v>72</v>
      </c>
      <c r="B3923" t="s">
        <v>73</v>
      </c>
      <c r="C3923" t="s">
        <v>74</v>
      </c>
      <c r="E3923" t="str">
        <f>"FES1162726018"</f>
        <v>FES1162726018</v>
      </c>
      <c r="F3923" s="3">
        <v>43798</v>
      </c>
      <c r="G3923">
        <v>202005</v>
      </c>
      <c r="H3923" t="s">
        <v>75</v>
      </c>
      <c r="I3923" t="s">
        <v>76</v>
      </c>
      <c r="J3923" t="s">
        <v>77</v>
      </c>
      <c r="K3923" t="s">
        <v>78</v>
      </c>
      <c r="L3923" t="s">
        <v>124</v>
      </c>
      <c r="M3923" t="s">
        <v>125</v>
      </c>
      <c r="N3923" t="s">
        <v>218</v>
      </c>
      <c r="O3923" t="s">
        <v>82</v>
      </c>
      <c r="P3923" t="str">
        <f>"2170717755                    "</f>
        <v xml:space="preserve">2170717755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6.71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 s="4">
        <v>39.42</v>
      </c>
      <c r="BM3923" s="4">
        <v>5.91</v>
      </c>
      <c r="BN3923" s="4">
        <v>45.33</v>
      </c>
      <c r="BO3923" s="4">
        <v>45.33</v>
      </c>
      <c r="BQ3923" t="s">
        <v>121</v>
      </c>
      <c r="BR3923" t="s">
        <v>84</v>
      </c>
      <c r="BS3923" t="s">
        <v>201</v>
      </c>
      <c r="BY3923">
        <v>1200</v>
      </c>
      <c r="CC3923" t="s">
        <v>125</v>
      </c>
      <c r="CD3923">
        <v>2094</v>
      </c>
      <c r="CE3923" t="s">
        <v>147</v>
      </c>
      <c r="CI3923">
        <v>1</v>
      </c>
      <c r="CJ3923" t="s">
        <v>201</v>
      </c>
      <c r="CK3923">
        <v>22</v>
      </c>
      <c r="CL3923" t="s">
        <v>89</v>
      </c>
    </row>
    <row r="3924" spans="1:90">
      <c r="A3924" t="s">
        <v>72</v>
      </c>
      <c r="B3924" t="s">
        <v>73</v>
      </c>
      <c r="C3924" t="s">
        <v>74</v>
      </c>
      <c r="E3924" t="str">
        <f>"FES1162725648"</f>
        <v>FES1162725648</v>
      </c>
      <c r="F3924" s="3">
        <v>43798</v>
      </c>
      <c r="G3924">
        <v>202005</v>
      </c>
      <c r="H3924" t="s">
        <v>75</v>
      </c>
      <c r="I3924" t="s">
        <v>76</v>
      </c>
      <c r="J3924" t="s">
        <v>77</v>
      </c>
      <c r="K3924" t="s">
        <v>78</v>
      </c>
      <c r="L3924" t="s">
        <v>106</v>
      </c>
      <c r="M3924" t="s">
        <v>107</v>
      </c>
      <c r="N3924" t="s">
        <v>262</v>
      </c>
      <c r="O3924" t="s">
        <v>82</v>
      </c>
      <c r="P3924" t="str">
        <f>"2170715582                    "</f>
        <v xml:space="preserve">2170715582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15.02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3.5</v>
      </c>
      <c r="BJ3924">
        <v>2.7</v>
      </c>
      <c r="BK3924">
        <v>3.5</v>
      </c>
      <c r="BL3924" s="4">
        <v>88.27</v>
      </c>
      <c r="BM3924" s="4">
        <v>13.24</v>
      </c>
      <c r="BN3924" s="4">
        <v>101.51</v>
      </c>
      <c r="BO3924" s="4">
        <v>101.51</v>
      </c>
      <c r="BQ3924" t="s">
        <v>2734</v>
      </c>
      <c r="BR3924" t="s">
        <v>84</v>
      </c>
      <c r="BS3924" t="s">
        <v>201</v>
      </c>
      <c r="BY3924">
        <v>13569.04</v>
      </c>
      <c r="CC3924" t="s">
        <v>107</v>
      </c>
      <c r="CD3924">
        <v>6045</v>
      </c>
      <c r="CE3924" t="s">
        <v>1598</v>
      </c>
      <c r="CI3924">
        <v>1</v>
      </c>
      <c r="CJ3924" t="s">
        <v>201</v>
      </c>
      <c r="CK3924">
        <v>21</v>
      </c>
      <c r="CL3924" t="s">
        <v>89</v>
      </c>
    </row>
    <row r="3925" spans="1:90">
      <c r="A3925" t="s">
        <v>72</v>
      </c>
      <c r="B3925" t="s">
        <v>73</v>
      </c>
      <c r="C3925" t="s">
        <v>74</v>
      </c>
      <c r="E3925" t="str">
        <f>"009938881896"</f>
        <v>009938881896</v>
      </c>
      <c r="F3925" s="3">
        <v>43790</v>
      </c>
      <c r="G3925">
        <v>202005</v>
      </c>
      <c r="H3925" t="s">
        <v>75</v>
      </c>
      <c r="I3925" t="s">
        <v>76</v>
      </c>
      <c r="J3925" t="s">
        <v>3453</v>
      </c>
      <c r="K3925" t="s">
        <v>78</v>
      </c>
      <c r="L3925" t="s">
        <v>75</v>
      </c>
      <c r="M3925" t="s">
        <v>76</v>
      </c>
      <c r="N3925" t="s">
        <v>211</v>
      </c>
      <c r="O3925" t="s">
        <v>82</v>
      </c>
      <c r="P3925" t="str">
        <f>"...                           "</f>
        <v xml:space="preserve">...       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6.71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0.2</v>
      </c>
      <c r="BJ3925">
        <v>1.1000000000000001</v>
      </c>
      <c r="BK3925">
        <v>1.5</v>
      </c>
      <c r="BL3925" s="4">
        <v>39.42</v>
      </c>
      <c r="BM3925" s="4">
        <v>5.91</v>
      </c>
      <c r="BN3925" s="4">
        <v>45.33</v>
      </c>
      <c r="BO3925" s="4">
        <v>45.33</v>
      </c>
      <c r="BQ3925" t="s">
        <v>2611</v>
      </c>
      <c r="BR3925" t="s">
        <v>1011</v>
      </c>
      <c r="BS3925" s="3">
        <v>43791</v>
      </c>
      <c r="BT3925" s="5">
        <v>0.33124999999999999</v>
      </c>
      <c r="BU3925" t="s">
        <v>2396</v>
      </c>
      <c r="BV3925" t="s">
        <v>86</v>
      </c>
      <c r="BY3925">
        <v>5340.8</v>
      </c>
      <c r="BZ3925" t="s">
        <v>27</v>
      </c>
      <c r="CA3925" t="s">
        <v>198</v>
      </c>
      <c r="CC3925" t="s">
        <v>76</v>
      </c>
      <c r="CD3925">
        <v>1600</v>
      </c>
      <c r="CE3925" t="s">
        <v>88</v>
      </c>
      <c r="CF3925" s="3">
        <v>43794</v>
      </c>
      <c r="CI3925">
        <v>1</v>
      </c>
      <c r="CJ3925">
        <v>1</v>
      </c>
      <c r="CK3925">
        <v>22</v>
      </c>
      <c r="CL3925" t="s">
        <v>89</v>
      </c>
    </row>
    <row r="3926" spans="1:90">
      <c r="A3926" t="s">
        <v>72</v>
      </c>
      <c r="B3926" t="s">
        <v>73</v>
      </c>
      <c r="C3926" t="s">
        <v>74</v>
      </c>
      <c r="E3926" t="str">
        <f>"FES1162724501"</f>
        <v>FES1162724501</v>
      </c>
      <c r="F3926" s="3">
        <v>43790</v>
      </c>
      <c r="G3926">
        <v>202005</v>
      </c>
      <c r="H3926" t="s">
        <v>75</v>
      </c>
      <c r="I3926" t="s">
        <v>76</v>
      </c>
      <c r="J3926" t="s">
        <v>211</v>
      </c>
      <c r="K3926" t="s">
        <v>78</v>
      </c>
      <c r="L3926" t="s">
        <v>691</v>
      </c>
      <c r="M3926" t="s">
        <v>692</v>
      </c>
      <c r="N3926" t="s">
        <v>2948</v>
      </c>
      <c r="O3926" t="s">
        <v>756</v>
      </c>
      <c r="P3926" t="str">
        <f>"2170718270                    "</f>
        <v xml:space="preserve">2170718270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16.489999999999998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6</v>
      </c>
      <c r="BJ3926">
        <v>16.3</v>
      </c>
      <c r="BK3926">
        <v>17</v>
      </c>
      <c r="BL3926" s="4">
        <v>96.91</v>
      </c>
      <c r="BM3926" s="4">
        <v>14.54</v>
      </c>
      <c r="BN3926" s="4">
        <v>111.45</v>
      </c>
      <c r="BO3926" s="4">
        <v>111.45</v>
      </c>
      <c r="BQ3926" t="s">
        <v>121</v>
      </c>
      <c r="BR3926" t="s">
        <v>212</v>
      </c>
      <c r="BS3926" s="3">
        <v>43791</v>
      </c>
      <c r="BT3926" s="5">
        <v>0.30277777777777776</v>
      </c>
      <c r="BU3926" t="s">
        <v>2949</v>
      </c>
      <c r="BV3926" t="s">
        <v>86</v>
      </c>
      <c r="BY3926">
        <v>81717.3</v>
      </c>
      <c r="BZ3926" t="s">
        <v>27</v>
      </c>
      <c r="CA3926" t="s">
        <v>2710</v>
      </c>
      <c r="CC3926" t="s">
        <v>692</v>
      </c>
      <c r="CD3926">
        <v>1510</v>
      </c>
      <c r="CE3926" t="s">
        <v>88</v>
      </c>
      <c r="CF3926" s="3">
        <v>43794</v>
      </c>
      <c r="CI3926">
        <v>1</v>
      </c>
      <c r="CJ3926">
        <v>1</v>
      </c>
      <c r="CK3926">
        <v>32</v>
      </c>
      <c r="CL3926" t="s">
        <v>89</v>
      </c>
    </row>
    <row r="3927" spans="1:90">
      <c r="A3927" t="s">
        <v>72</v>
      </c>
      <c r="B3927" t="s">
        <v>73</v>
      </c>
      <c r="C3927" t="s">
        <v>74</v>
      </c>
      <c r="E3927" t="str">
        <f>"FES1162726002"</f>
        <v>FES1162726002</v>
      </c>
      <c r="F3927" s="3">
        <v>43798</v>
      </c>
      <c r="G3927">
        <v>202005</v>
      </c>
      <c r="H3927" t="s">
        <v>75</v>
      </c>
      <c r="I3927" t="s">
        <v>76</v>
      </c>
      <c r="J3927" t="s">
        <v>77</v>
      </c>
      <c r="K3927" t="s">
        <v>78</v>
      </c>
      <c r="L3927" t="s">
        <v>90</v>
      </c>
      <c r="M3927" t="s">
        <v>91</v>
      </c>
      <c r="N3927" t="s">
        <v>1194</v>
      </c>
      <c r="O3927" t="s">
        <v>82</v>
      </c>
      <c r="P3927" t="str">
        <f>"2170718768                    "</f>
        <v xml:space="preserve">2170718768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8.58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 s="4">
        <v>50.45</v>
      </c>
      <c r="BM3927" s="4">
        <v>7.57</v>
      </c>
      <c r="BN3927" s="4">
        <v>58.02</v>
      </c>
      <c r="BO3927" s="4">
        <v>58.02</v>
      </c>
      <c r="BQ3927" t="s">
        <v>109</v>
      </c>
      <c r="BR3927" t="s">
        <v>84</v>
      </c>
      <c r="BS3927" t="s">
        <v>201</v>
      </c>
      <c r="BY3927">
        <v>1200</v>
      </c>
      <c r="CC3927" t="s">
        <v>91</v>
      </c>
      <c r="CD3927">
        <v>7580</v>
      </c>
      <c r="CE3927" t="s">
        <v>147</v>
      </c>
      <c r="CI3927">
        <v>1</v>
      </c>
      <c r="CJ3927" t="s">
        <v>201</v>
      </c>
      <c r="CK3927">
        <v>21</v>
      </c>
      <c r="CL3927" t="s">
        <v>89</v>
      </c>
    </row>
    <row r="3928" spans="1:90">
      <c r="A3928" t="s">
        <v>72</v>
      </c>
      <c r="B3928" t="s">
        <v>73</v>
      </c>
      <c r="C3928" t="s">
        <v>74</v>
      </c>
      <c r="E3928" t="str">
        <f>"FES1162726010"</f>
        <v>FES1162726010</v>
      </c>
      <c r="F3928" s="3">
        <v>43798</v>
      </c>
      <c r="G3928">
        <v>202005</v>
      </c>
      <c r="H3928" t="s">
        <v>75</v>
      </c>
      <c r="I3928" t="s">
        <v>76</v>
      </c>
      <c r="J3928" t="s">
        <v>77</v>
      </c>
      <c r="K3928" t="s">
        <v>78</v>
      </c>
      <c r="L3928" t="s">
        <v>90</v>
      </c>
      <c r="M3928" t="s">
        <v>91</v>
      </c>
      <c r="N3928" t="s">
        <v>401</v>
      </c>
      <c r="O3928" t="s">
        <v>82</v>
      </c>
      <c r="P3928" t="str">
        <f>"2170717007                    "</f>
        <v xml:space="preserve">2170717007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8.58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 s="4">
        <v>50.45</v>
      </c>
      <c r="BM3928" s="4">
        <v>7.57</v>
      </c>
      <c r="BN3928" s="4">
        <v>58.02</v>
      </c>
      <c r="BO3928" s="4">
        <v>58.02</v>
      </c>
      <c r="BQ3928" t="s">
        <v>109</v>
      </c>
      <c r="BR3928" t="s">
        <v>84</v>
      </c>
      <c r="BS3928" t="s">
        <v>201</v>
      </c>
      <c r="BY3928">
        <v>1200</v>
      </c>
      <c r="CC3928" t="s">
        <v>91</v>
      </c>
      <c r="CD3928">
        <v>7441</v>
      </c>
      <c r="CE3928" t="s">
        <v>147</v>
      </c>
      <c r="CI3928">
        <v>1</v>
      </c>
      <c r="CJ3928" t="s">
        <v>201</v>
      </c>
      <c r="CK3928">
        <v>21</v>
      </c>
      <c r="CL3928" t="s">
        <v>89</v>
      </c>
    </row>
    <row r="3929" spans="1:90">
      <c r="A3929" t="s">
        <v>72</v>
      </c>
      <c r="B3929" t="s">
        <v>73</v>
      </c>
      <c r="C3929" t="s">
        <v>74</v>
      </c>
      <c r="E3929" t="str">
        <f>"FES1162725966"</f>
        <v>FES1162725966</v>
      </c>
      <c r="F3929" s="3">
        <v>43798</v>
      </c>
      <c r="G3929">
        <v>202005</v>
      </c>
      <c r="H3929" t="s">
        <v>75</v>
      </c>
      <c r="I3929" t="s">
        <v>76</v>
      </c>
      <c r="J3929" t="s">
        <v>77</v>
      </c>
      <c r="K3929" t="s">
        <v>78</v>
      </c>
      <c r="L3929" t="s">
        <v>75</v>
      </c>
      <c r="M3929" t="s">
        <v>76</v>
      </c>
      <c r="N3929" t="s">
        <v>2928</v>
      </c>
      <c r="O3929" t="s">
        <v>82</v>
      </c>
      <c r="P3929" t="str">
        <f>"2170719487                    "</f>
        <v xml:space="preserve">2170719487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53.31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13.4</v>
      </c>
      <c r="BJ3929">
        <v>30.9</v>
      </c>
      <c r="BK3929">
        <v>31</v>
      </c>
      <c r="BL3929" s="4">
        <v>313.38</v>
      </c>
      <c r="BM3929" s="4">
        <v>47.01</v>
      </c>
      <c r="BN3929" s="4">
        <v>360.39</v>
      </c>
      <c r="BO3929" s="4">
        <v>360.39</v>
      </c>
      <c r="BR3929" t="s">
        <v>84</v>
      </c>
      <c r="BS3929" t="s">
        <v>201</v>
      </c>
      <c r="BY3929">
        <v>154457.82999999999</v>
      </c>
      <c r="CC3929" t="s">
        <v>76</v>
      </c>
      <c r="CD3929">
        <v>1600</v>
      </c>
      <c r="CE3929" t="s">
        <v>88</v>
      </c>
      <c r="CI3929">
        <v>1</v>
      </c>
      <c r="CJ3929" t="s">
        <v>201</v>
      </c>
      <c r="CK3929">
        <v>22</v>
      </c>
      <c r="CL3929" t="s">
        <v>89</v>
      </c>
    </row>
    <row r="3930" spans="1:90">
      <c r="A3930" t="s">
        <v>72</v>
      </c>
      <c r="B3930" t="s">
        <v>73</v>
      </c>
      <c r="C3930" t="s">
        <v>74</v>
      </c>
      <c r="E3930" t="str">
        <f>"FES1162726035"</f>
        <v>FES1162726035</v>
      </c>
      <c r="F3930" s="3">
        <v>43798</v>
      </c>
      <c r="G3930">
        <v>202005</v>
      </c>
      <c r="H3930" t="s">
        <v>75</v>
      </c>
      <c r="I3930" t="s">
        <v>76</v>
      </c>
      <c r="J3930" t="s">
        <v>77</v>
      </c>
      <c r="K3930" t="s">
        <v>78</v>
      </c>
      <c r="L3930" t="s">
        <v>90</v>
      </c>
      <c r="M3930" t="s">
        <v>91</v>
      </c>
      <c r="N3930" t="s">
        <v>1617</v>
      </c>
      <c r="O3930" t="s">
        <v>82</v>
      </c>
      <c r="P3930" t="str">
        <f>"2170719492                    "</f>
        <v xml:space="preserve">2170719492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40.75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3</v>
      </c>
      <c r="BJ3930">
        <v>9.1</v>
      </c>
      <c r="BK3930">
        <v>9.5</v>
      </c>
      <c r="BL3930" s="4">
        <v>239.52</v>
      </c>
      <c r="BM3930" s="4">
        <v>35.93</v>
      </c>
      <c r="BN3930" s="4">
        <v>275.45</v>
      </c>
      <c r="BO3930" s="4">
        <v>275.45</v>
      </c>
      <c r="BQ3930" t="s">
        <v>187</v>
      </c>
      <c r="BR3930" t="s">
        <v>84</v>
      </c>
      <c r="BS3930" t="s">
        <v>201</v>
      </c>
      <c r="BY3930">
        <v>45632</v>
      </c>
      <c r="CC3930" t="s">
        <v>91</v>
      </c>
      <c r="CD3930">
        <v>7580</v>
      </c>
      <c r="CE3930" t="s">
        <v>88</v>
      </c>
      <c r="CI3930">
        <v>1</v>
      </c>
      <c r="CJ3930" t="s">
        <v>201</v>
      </c>
      <c r="CK3930">
        <v>21</v>
      </c>
      <c r="CL3930" t="s">
        <v>89</v>
      </c>
    </row>
    <row r="3931" spans="1:90">
      <c r="A3931" t="s">
        <v>72</v>
      </c>
      <c r="B3931" t="s">
        <v>73</v>
      </c>
      <c r="C3931" t="s">
        <v>74</v>
      </c>
      <c r="E3931" t="str">
        <f>"FES1162726031"</f>
        <v>FES1162726031</v>
      </c>
      <c r="F3931" s="3">
        <v>43798</v>
      </c>
      <c r="G3931">
        <v>202005</v>
      </c>
      <c r="H3931" t="s">
        <v>75</v>
      </c>
      <c r="I3931" t="s">
        <v>76</v>
      </c>
      <c r="J3931" t="s">
        <v>77</v>
      </c>
      <c r="K3931" t="s">
        <v>78</v>
      </c>
      <c r="L3931" t="s">
        <v>214</v>
      </c>
      <c r="M3931" t="s">
        <v>214</v>
      </c>
      <c r="N3931" t="s">
        <v>215</v>
      </c>
      <c r="O3931" t="s">
        <v>82</v>
      </c>
      <c r="P3931" t="str">
        <f>"2170718787                    "</f>
        <v xml:space="preserve">2170718787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35.409999999999997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4.2</v>
      </c>
      <c r="BJ3931">
        <v>1.6</v>
      </c>
      <c r="BK3931">
        <v>4.5</v>
      </c>
      <c r="BL3931" s="4">
        <v>208.13</v>
      </c>
      <c r="BM3931" s="4">
        <v>31.22</v>
      </c>
      <c r="BN3931" s="4">
        <v>239.35</v>
      </c>
      <c r="BO3931" s="4">
        <v>239.35</v>
      </c>
      <c r="BQ3931" t="s">
        <v>109</v>
      </c>
      <c r="BR3931" t="s">
        <v>84</v>
      </c>
      <c r="BS3931" t="s">
        <v>201</v>
      </c>
      <c r="BY3931">
        <v>8206.08</v>
      </c>
      <c r="CC3931" t="s">
        <v>214</v>
      </c>
      <c r="CD3931">
        <v>7646</v>
      </c>
      <c r="CE3931" t="s">
        <v>88</v>
      </c>
      <c r="CI3931">
        <v>1</v>
      </c>
      <c r="CJ3931" t="s">
        <v>201</v>
      </c>
      <c r="CK3931">
        <v>23</v>
      </c>
      <c r="CL3931" t="s">
        <v>89</v>
      </c>
    </row>
    <row r="3932" spans="1:90">
      <c r="A3932" t="s">
        <v>72</v>
      </c>
      <c r="B3932" t="s">
        <v>73</v>
      </c>
      <c r="C3932" t="s">
        <v>74</v>
      </c>
      <c r="E3932" t="str">
        <f>"FES1162725654"</f>
        <v>FES1162725654</v>
      </c>
      <c r="F3932" s="3">
        <v>43798</v>
      </c>
      <c r="G3932">
        <v>202005</v>
      </c>
      <c r="H3932" t="s">
        <v>75</v>
      </c>
      <c r="I3932" t="s">
        <v>76</v>
      </c>
      <c r="J3932" t="s">
        <v>77</v>
      </c>
      <c r="K3932" t="s">
        <v>78</v>
      </c>
      <c r="L3932" t="s">
        <v>106</v>
      </c>
      <c r="M3932" t="s">
        <v>107</v>
      </c>
      <c r="N3932" t="s">
        <v>108</v>
      </c>
      <c r="O3932" t="s">
        <v>82</v>
      </c>
      <c r="P3932" t="str">
        <f>"2170717044                    "</f>
        <v xml:space="preserve">2170717044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32.17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4.4000000000000004</v>
      </c>
      <c r="BJ3932">
        <v>7.1</v>
      </c>
      <c r="BK3932">
        <v>7.5</v>
      </c>
      <c r="BL3932" s="4">
        <v>189.1</v>
      </c>
      <c r="BM3932" s="4">
        <v>28.37</v>
      </c>
      <c r="BN3932" s="4">
        <v>217.47</v>
      </c>
      <c r="BO3932" s="4">
        <v>217.47</v>
      </c>
      <c r="BQ3932" t="s">
        <v>109</v>
      </c>
      <c r="BR3932" t="s">
        <v>84</v>
      </c>
      <c r="BS3932" t="s">
        <v>201</v>
      </c>
      <c r="BY3932">
        <v>35665.81</v>
      </c>
      <c r="CC3932" t="s">
        <v>107</v>
      </c>
      <c r="CD3932">
        <v>6001</v>
      </c>
      <c r="CE3932" t="s">
        <v>1598</v>
      </c>
      <c r="CI3932">
        <v>1</v>
      </c>
      <c r="CJ3932" t="s">
        <v>201</v>
      </c>
      <c r="CK3932">
        <v>21</v>
      </c>
      <c r="CL3932" t="s">
        <v>89</v>
      </c>
    </row>
    <row r="3933" spans="1:90">
      <c r="A3933" t="s">
        <v>72</v>
      </c>
      <c r="B3933" t="s">
        <v>73</v>
      </c>
      <c r="C3933" t="s">
        <v>74</v>
      </c>
      <c r="E3933" t="str">
        <f>"FES1162724862"</f>
        <v>FES1162724862</v>
      </c>
      <c r="F3933" s="3">
        <v>43795</v>
      </c>
      <c r="G3933">
        <v>202005</v>
      </c>
      <c r="H3933" t="s">
        <v>75</v>
      </c>
      <c r="I3933" t="s">
        <v>76</v>
      </c>
      <c r="J3933" t="s">
        <v>211</v>
      </c>
      <c r="K3933" t="s">
        <v>78</v>
      </c>
      <c r="L3933" t="s">
        <v>825</v>
      </c>
      <c r="M3933" t="s">
        <v>826</v>
      </c>
      <c r="N3933" t="s">
        <v>2862</v>
      </c>
      <c r="O3933" t="s">
        <v>756</v>
      </c>
      <c r="P3933" t="str">
        <f>"2170717489                    "</f>
        <v xml:space="preserve">2170717489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12.07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1.7</v>
      </c>
      <c r="BJ3933">
        <v>2.5</v>
      </c>
      <c r="BK3933">
        <v>3</v>
      </c>
      <c r="BL3933" s="4">
        <v>70.95</v>
      </c>
      <c r="BM3933" s="4">
        <v>10.64</v>
      </c>
      <c r="BN3933" s="4">
        <v>81.59</v>
      </c>
      <c r="BO3933" s="4">
        <v>81.59</v>
      </c>
      <c r="BQ3933" t="s">
        <v>121</v>
      </c>
      <c r="BR3933" t="s">
        <v>212</v>
      </c>
      <c r="BS3933" s="3">
        <v>43796</v>
      </c>
      <c r="BT3933" s="5">
        <v>0.40069444444444446</v>
      </c>
      <c r="BU3933" t="s">
        <v>2863</v>
      </c>
      <c r="BV3933" t="s">
        <v>86</v>
      </c>
      <c r="BY3933">
        <v>12511.41</v>
      </c>
      <c r="BZ3933" t="s">
        <v>27</v>
      </c>
      <c r="CC3933" t="s">
        <v>826</v>
      </c>
      <c r="CD3933">
        <v>1759</v>
      </c>
      <c r="CE3933" t="s">
        <v>1598</v>
      </c>
      <c r="CF3933" s="3">
        <v>43797</v>
      </c>
      <c r="CI3933">
        <v>1</v>
      </c>
      <c r="CJ3933">
        <v>1</v>
      </c>
      <c r="CK3933">
        <v>34</v>
      </c>
      <c r="CL3933" t="s">
        <v>89</v>
      </c>
    </row>
    <row r="3934" spans="1:90">
      <c r="A3934" t="s">
        <v>72</v>
      </c>
      <c r="B3934" t="s">
        <v>73</v>
      </c>
      <c r="C3934" t="s">
        <v>74</v>
      </c>
      <c r="E3934" t="str">
        <f>"FES1162725928"</f>
        <v>FES1162725928</v>
      </c>
      <c r="F3934" s="3">
        <v>43798</v>
      </c>
      <c r="G3934">
        <v>202005</v>
      </c>
      <c r="H3934" t="s">
        <v>75</v>
      </c>
      <c r="I3934" t="s">
        <v>76</v>
      </c>
      <c r="J3934" t="s">
        <v>77</v>
      </c>
      <c r="K3934" t="s">
        <v>78</v>
      </c>
      <c r="L3934" t="s">
        <v>176</v>
      </c>
      <c r="M3934" t="s">
        <v>177</v>
      </c>
      <c r="N3934" t="s">
        <v>1136</v>
      </c>
      <c r="O3934" t="s">
        <v>82</v>
      </c>
      <c r="P3934" t="str">
        <f>"217071457                     "</f>
        <v xml:space="preserve">217071457 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30.03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6.8</v>
      </c>
      <c r="BJ3934">
        <v>2.7</v>
      </c>
      <c r="BK3934">
        <v>7</v>
      </c>
      <c r="BL3934" s="4">
        <v>176.5</v>
      </c>
      <c r="BM3934" s="4">
        <v>26.48</v>
      </c>
      <c r="BN3934" s="4">
        <v>202.98</v>
      </c>
      <c r="BO3934" s="4">
        <v>202.98</v>
      </c>
      <c r="BQ3934" t="s">
        <v>121</v>
      </c>
      <c r="BR3934" t="s">
        <v>84</v>
      </c>
      <c r="BS3934" t="s">
        <v>201</v>
      </c>
      <c r="BY3934">
        <v>13250.11</v>
      </c>
      <c r="CC3934" t="s">
        <v>177</v>
      </c>
      <c r="CD3934">
        <v>3610</v>
      </c>
      <c r="CE3934" t="s">
        <v>1598</v>
      </c>
      <c r="CI3934">
        <v>1</v>
      </c>
      <c r="CJ3934" t="s">
        <v>201</v>
      </c>
      <c r="CK3934">
        <v>21</v>
      </c>
      <c r="CL3934" t="s">
        <v>89</v>
      </c>
    </row>
    <row r="3935" spans="1:90">
      <c r="A3935" t="s">
        <v>72</v>
      </c>
      <c r="B3935" t="s">
        <v>73</v>
      </c>
      <c r="C3935" t="s">
        <v>74</v>
      </c>
      <c r="E3935" t="str">
        <f>"FES1162724108"</f>
        <v>FES1162724108</v>
      </c>
      <c r="F3935" s="3">
        <v>43790</v>
      </c>
      <c r="G3935">
        <v>202005</v>
      </c>
      <c r="H3935" t="s">
        <v>75</v>
      </c>
      <c r="I3935" t="s">
        <v>76</v>
      </c>
      <c r="J3935" t="s">
        <v>211</v>
      </c>
      <c r="K3935" t="s">
        <v>78</v>
      </c>
      <c r="L3935" t="s">
        <v>172</v>
      </c>
      <c r="M3935" t="s">
        <v>173</v>
      </c>
      <c r="N3935" t="s">
        <v>2743</v>
      </c>
      <c r="O3935" t="s">
        <v>756</v>
      </c>
      <c r="P3935" t="str">
        <f>"2170717688                    "</f>
        <v xml:space="preserve">2170717688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12.07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3</v>
      </c>
      <c r="BJ3935">
        <v>3.2</v>
      </c>
      <c r="BK3935">
        <v>4</v>
      </c>
      <c r="BL3935" s="4">
        <v>70.95</v>
      </c>
      <c r="BM3935" s="4">
        <v>10.64</v>
      </c>
      <c r="BN3935" s="4">
        <v>81.59</v>
      </c>
      <c r="BO3935" s="4">
        <v>81.59</v>
      </c>
      <c r="BQ3935" t="s">
        <v>121</v>
      </c>
      <c r="BR3935" t="s">
        <v>212</v>
      </c>
      <c r="BS3935" s="3">
        <v>43791</v>
      </c>
      <c r="BT3935" s="5">
        <v>0.375</v>
      </c>
      <c r="BU3935" t="s">
        <v>2745</v>
      </c>
      <c r="BV3935" t="s">
        <v>86</v>
      </c>
      <c r="BY3935">
        <v>16137.92</v>
      </c>
      <c r="BZ3935" t="s">
        <v>27</v>
      </c>
      <c r="CC3935" t="s">
        <v>173</v>
      </c>
      <c r="CD3935">
        <v>1739</v>
      </c>
      <c r="CE3935" t="s">
        <v>88</v>
      </c>
      <c r="CF3935" s="3">
        <v>43794</v>
      </c>
      <c r="CI3935">
        <v>1</v>
      </c>
      <c r="CJ3935">
        <v>1</v>
      </c>
      <c r="CK3935">
        <v>34</v>
      </c>
      <c r="CL3935" t="s">
        <v>89</v>
      </c>
    </row>
    <row r="3936" spans="1:90">
      <c r="A3936" t="s">
        <v>72</v>
      </c>
      <c r="B3936" t="s">
        <v>73</v>
      </c>
      <c r="C3936" t="s">
        <v>74</v>
      </c>
      <c r="E3936" t="str">
        <f>"FES1162725732"</f>
        <v>FES1162725732</v>
      </c>
      <c r="F3936" s="3">
        <v>43798</v>
      </c>
      <c r="G3936">
        <v>202005</v>
      </c>
      <c r="H3936" t="s">
        <v>75</v>
      </c>
      <c r="I3936" t="s">
        <v>76</v>
      </c>
      <c r="J3936" t="s">
        <v>77</v>
      </c>
      <c r="K3936" t="s">
        <v>78</v>
      </c>
      <c r="L3936" t="s">
        <v>482</v>
      </c>
      <c r="M3936" t="s">
        <v>483</v>
      </c>
      <c r="N3936" t="s">
        <v>1054</v>
      </c>
      <c r="O3936" t="s">
        <v>82</v>
      </c>
      <c r="P3936" t="str">
        <f>"2170717264                    "</f>
        <v xml:space="preserve">2170717264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6.71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 s="4">
        <v>39.42</v>
      </c>
      <c r="BM3936" s="4">
        <v>5.91</v>
      </c>
      <c r="BN3936" s="4">
        <v>45.33</v>
      </c>
      <c r="BO3936" s="4">
        <v>45.33</v>
      </c>
      <c r="BQ3936" t="s">
        <v>109</v>
      </c>
      <c r="BR3936" t="s">
        <v>84</v>
      </c>
      <c r="BS3936" t="s">
        <v>201</v>
      </c>
      <c r="BY3936">
        <v>1200</v>
      </c>
      <c r="CC3936" t="s">
        <v>483</v>
      </c>
      <c r="CD3936">
        <v>1459</v>
      </c>
      <c r="CE3936" t="s">
        <v>147</v>
      </c>
      <c r="CI3936">
        <v>1</v>
      </c>
      <c r="CJ3936" t="s">
        <v>201</v>
      </c>
      <c r="CK3936">
        <v>22</v>
      </c>
      <c r="CL3936" t="s">
        <v>89</v>
      </c>
    </row>
    <row r="3937" spans="1:90">
      <c r="A3937" t="s">
        <v>72</v>
      </c>
      <c r="B3937" t="s">
        <v>73</v>
      </c>
      <c r="C3937" t="s">
        <v>74</v>
      </c>
      <c r="E3937" t="str">
        <f>"FES1162725109"</f>
        <v>FES1162725109</v>
      </c>
      <c r="F3937" s="3">
        <v>43795</v>
      </c>
      <c r="G3937">
        <v>202005</v>
      </c>
      <c r="H3937" t="s">
        <v>75</v>
      </c>
      <c r="I3937" t="s">
        <v>76</v>
      </c>
      <c r="J3937" t="s">
        <v>211</v>
      </c>
      <c r="K3937" t="s">
        <v>78</v>
      </c>
      <c r="L3937" t="s">
        <v>681</v>
      </c>
      <c r="M3937" t="s">
        <v>682</v>
      </c>
      <c r="N3937" t="s">
        <v>2220</v>
      </c>
      <c r="O3937" t="s">
        <v>756</v>
      </c>
      <c r="P3937" t="str">
        <f>"2170717302                    "</f>
        <v xml:space="preserve">2170717302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12.07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3.4</v>
      </c>
      <c r="BJ3937">
        <v>0.9</v>
      </c>
      <c r="BK3937">
        <v>4</v>
      </c>
      <c r="BL3937" s="4">
        <v>70.95</v>
      </c>
      <c r="BM3937" s="4">
        <v>10.64</v>
      </c>
      <c r="BN3937" s="4">
        <v>81.59</v>
      </c>
      <c r="BO3937" s="4">
        <v>81.59</v>
      </c>
      <c r="BQ3937" t="s">
        <v>142</v>
      </c>
      <c r="BR3937" t="s">
        <v>212</v>
      </c>
      <c r="BS3937" s="3">
        <v>43796</v>
      </c>
      <c r="BT3937" s="5">
        <v>0.33333333333333331</v>
      </c>
      <c r="BU3937" t="s">
        <v>3454</v>
      </c>
      <c r="BV3937" t="s">
        <v>86</v>
      </c>
      <c r="BY3937">
        <v>4673.76</v>
      </c>
      <c r="BZ3937" t="s">
        <v>27</v>
      </c>
      <c r="CA3937" t="s">
        <v>685</v>
      </c>
      <c r="CC3937" t="s">
        <v>682</v>
      </c>
      <c r="CD3937">
        <v>1871</v>
      </c>
      <c r="CE3937" t="s">
        <v>88</v>
      </c>
      <c r="CF3937" s="3">
        <v>43797</v>
      </c>
      <c r="CI3937">
        <v>1</v>
      </c>
      <c r="CJ3937">
        <v>1</v>
      </c>
      <c r="CK3937">
        <v>34</v>
      </c>
      <c r="CL3937" t="s">
        <v>89</v>
      </c>
    </row>
    <row r="3938" spans="1:90">
      <c r="A3938" t="s">
        <v>72</v>
      </c>
      <c r="B3938" t="s">
        <v>73</v>
      </c>
      <c r="C3938" t="s">
        <v>74</v>
      </c>
      <c r="E3938" t="str">
        <f>"FES1162725999"</f>
        <v>FES1162725999</v>
      </c>
      <c r="F3938" s="3">
        <v>43798</v>
      </c>
      <c r="G3938">
        <v>202005</v>
      </c>
      <c r="H3938" t="s">
        <v>75</v>
      </c>
      <c r="I3938" t="s">
        <v>76</v>
      </c>
      <c r="J3938" t="s">
        <v>77</v>
      </c>
      <c r="K3938" t="s">
        <v>78</v>
      </c>
      <c r="L3938" t="s">
        <v>75</v>
      </c>
      <c r="M3938" t="s">
        <v>76</v>
      </c>
      <c r="N3938" t="s">
        <v>1416</v>
      </c>
      <c r="O3938" t="s">
        <v>82</v>
      </c>
      <c r="P3938" t="str">
        <f>"2170718407                    "</f>
        <v xml:space="preserve">2170718407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6.71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 s="4">
        <v>39.42</v>
      </c>
      <c r="BM3938" s="4">
        <v>5.91</v>
      </c>
      <c r="BN3938" s="4">
        <v>45.33</v>
      </c>
      <c r="BO3938" s="4">
        <v>45.33</v>
      </c>
      <c r="BQ3938" t="s">
        <v>109</v>
      </c>
      <c r="BR3938" t="s">
        <v>84</v>
      </c>
      <c r="BS3938" s="3">
        <v>43801</v>
      </c>
      <c r="BT3938" s="5">
        <v>0.27916666666666667</v>
      </c>
      <c r="BU3938" t="s">
        <v>3455</v>
      </c>
      <c r="BV3938" t="s">
        <v>86</v>
      </c>
      <c r="BY3938">
        <v>1200</v>
      </c>
      <c r="CA3938" t="s">
        <v>198</v>
      </c>
      <c r="CC3938" t="s">
        <v>76</v>
      </c>
      <c r="CD3938">
        <v>1601</v>
      </c>
      <c r="CE3938" t="s">
        <v>147</v>
      </c>
      <c r="CI3938">
        <v>1</v>
      </c>
      <c r="CJ3938">
        <v>1</v>
      </c>
      <c r="CK3938">
        <v>22</v>
      </c>
      <c r="CL3938" t="s">
        <v>89</v>
      </c>
    </row>
    <row r="3939" spans="1:90">
      <c r="A3939" t="s">
        <v>72</v>
      </c>
      <c r="B3939" t="s">
        <v>73</v>
      </c>
      <c r="C3939" t="s">
        <v>74</v>
      </c>
      <c r="E3939" t="str">
        <f>"FES1162725747"</f>
        <v>FES1162725747</v>
      </c>
      <c r="F3939" s="3">
        <v>43798</v>
      </c>
      <c r="G3939">
        <v>202005</v>
      </c>
      <c r="H3939" t="s">
        <v>75</v>
      </c>
      <c r="I3939" t="s">
        <v>76</v>
      </c>
      <c r="J3939" t="s">
        <v>77</v>
      </c>
      <c r="K3939" t="s">
        <v>78</v>
      </c>
      <c r="L3939" t="s">
        <v>339</v>
      </c>
      <c r="M3939" t="s">
        <v>340</v>
      </c>
      <c r="N3939" t="s">
        <v>2316</v>
      </c>
      <c r="O3939" t="s">
        <v>82</v>
      </c>
      <c r="P3939" t="str">
        <f>"217071418                     "</f>
        <v xml:space="preserve">217071418 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45.04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10.5</v>
      </c>
      <c r="BJ3939">
        <v>6.4</v>
      </c>
      <c r="BK3939">
        <v>10.5</v>
      </c>
      <c r="BL3939" s="4">
        <v>264.73</v>
      </c>
      <c r="BM3939" s="4">
        <v>39.71</v>
      </c>
      <c r="BN3939" s="4">
        <v>304.44</v>
      </c>
      <c r="BO3939" s="4">
        <v>304.44</v>
      </c>
      <c r="BQ3939" t="s">
        <v>161</v>
      </c>
      <c r="BR3939" t="s">
        <v>84</v>
      </c>
      <c r="BS3939" t="s">
        <v>201</v>
      </c>
      <c r="BY3939">
        <v>31997.86</v>
      </c>
      <c r="CC3939" t="s">
        <v>340</v>
      </c>
      <c r="CD3939">
        <v>157</v>
      </c>
      <c r="CE3939" t="s">
        <v>1598</v>
      </c>
      <c r="CI3939">
        <v>1</v>
      </c>
      <c r="CJ3939" t="s">
        <v>201</v>
      </c>
      <c r="CK3939">
        <v>21</v>
      </c>
      <c r="CL3939" t="s">
        <v>89</v>
      </c>
    </row>
    <row r="3940" spans="1:90">
      <c r="A3940" t="s">
        <v>72</v>
      </c>
      <c r="B3940" t="s">
        <v>73</v>
      </c>
      <c r="C3940" t="s">
        <v>74</v>
      </c>
      <c r="E3940" t="str">
        <f>"FES1162725916"</f>
        <v>FES1162725916</v>
      </c>
      <c r="F3940" s="3">
        <v>43798</v>
      </c>
      <c r="G3940">
        <v>202005</v>
      </c>
      <c r="H3940" t="s">
        <v>75</v>
      </c>
      <c r="I3940" t="s">
        <v>76</v>
      </c>
      <c r="J3940" t="s">
        <v>77</v>
      </c>
      <c r="K3940" t="s">
        <v>78</v>
      </c>
      <c r="L3940" t="s">
        <v>106</v>
      </c>
      <c r="M3940" t="s">
        <v>107</v>
      </c>
      <c r="N3940" t="s">
        <v>3150</v>
      </c>
      <c r="O3940" t="s">
        <v>82</v>
      </c>
      <c r="P3940" t="str">
        <f>"2170719062                    "</f>
        <v xml:space="preserve">2170719062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12.87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2.2999999999999998</v>
      </c>
      <c r="BJ3940">
        <v>2.9</v>
      </c>
      <c r="BK3940">
        <v>3</v>
      </c>
      <c r="BL3940" s="4">
        <v>75.66</v>
      </c>
      <c r="BM3940" s="4">
        <v>11.35</v>
      </c>
      <c r="BN3940" s="4">
        <v>87.01</v>
      </c>
      <c r="BO3940" s="4">
        <v>87.01</v>
      </c>
      <c r="BQ3940" t="s">
        <v>3151</v>
      </c>
      <c r="BR3940" t="s">
        <v>84</v>
      </c>
      <c r="BS3940" t="s">
        <v>201</v>
      </c>
      <c r="BY3940">
        <v>14447.3</v>
      </c>
      <c r="CC3940" t="s">
        <v>107</v>
      </c>
      <c r="CD3940">
        <v>6001</v>
      </c>
      <c r="CE3940" t="s">
        <v>1598</v>
      </c>
      <c r="CI3940">
        <v>1</v>
      </c>
      <c r="CJ3940" t="s">
        <v>201</v>
      </c>
      <c r="CK3940">
        <v>21</v>
      </c>
      <c r="CL3940" t="s">
        <v>89</v>
      </c>
    </row>
    <row r="3941" spans="1:90">
      <c r="A3941" t="s">
        <v>72</v>
      </c>
      <c r="B3941" t="s">
        <v>73</v>
      </c>
      <c r="C3941" t="s">
        <v>74</v>
      </c>
      <c r="E3941" t="str">
        <f>"FES1162725741"</f>
        <v>FES1162725741</v>
      </c>
      <c r="F3941" s="3">
        <v>43798</v>
      </c>
      <c r="G3941">
        <v>202005</v>
      </c>
      <c r="H3941" t="s">
        <v>75</v>
      </c>
      <c r="I3941" t="s">
        <v>76</v>
      </c>
      <c r="J3941" t="s">
        <v>77</v>
      </c>
      <c r="K3941" t="s">
        <v>78</v>
      </c>
      <c r="L3941" t="s">
        <v>95</v>
      </c>
      <c r="M3941" t="s">
        <v>96</v>
      </c>
      <c r="N3941" t="s">
        <v>330</v>
      </c>
      <c r="O3941" t="s">
        <v>82</v>
      </c>
      <c r="P3941" t="str">
        <f>"2170717356                    "</f>
        <v xml:space="preserve">2170717356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6.71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 s="4">
        <v>39.42</v>
      </c>
      <c r="BM3941" s="4">
        <v>5.91</v>
      </c>
      <c r="BN3941" s="4">
        <v>45.33</v>
      </c>
      <c r="BO3941" s="4">
        <v>45.33</v>
      </c>
      <c r="BQ3941" t="s">
        <v>109</v>
      </c>
      <c r="BR3941" t="s">
        <v>84</v>
      </c>
      <c r="BS3941" t="s">
        <v>201</v>
      </c>
      <c r="BY3941">
        <v>1200</v>
      </c>
      <c r="CC3941" t="s">
        <v>96</v>
      </c>
      <c r="CD3941">
        <v>1451</v>
      </c>
      <c r="CE3941" t="s">
        <v>147</v>
      </c>
      <c r="CI3941">
        <v>1</v>
      </c>
      <c r="CJ3941" t="s">
        <v>201</v>
      </c>
      <c r="CK3941">
        <v>22</v>
      </c>
      <c r="CL3941" t="s">
        <v>89</v>
      </c>
    </row>
    <row r="3942" spans="1:90">
      <c r="A3942" t="s">
        <v>72</v>
      </c>
      <c r="B3942" t="s">
        <v>73</v>
      </c>
      <c r="C3942" t="s">
        <v>74</v>
      </c>
      <c r="E3942" t="str">
        <f>"FES1162725962"</f>
        <v>FES1162725962</v>
      </c>
      <c r="F3942" s="3">
        <v>43798</v>
      </c>
      <c r="G3942">
        <v>202005</v>
      </c>
      <c r="H3942" t="s">
        <v>75</v>
      </c>
      <c r="I3942" t="s">
        <v>76</v>
      </c>
      <c r="J3942" t="s">
        <v>77</v>
      </c>
      <c r="K3942" t="s">
        <v>78</v>
      </c>
      <c r="L3942" t="s">
        <v>90</v>
      </c>
      <c r="M3942" t="s">
        <v>91</v>
      </c>
      <c r="N3942" t="s">
        <v>527</v>
      </c>
      <c r="O3942" t="s">
        <v>82</v>
      </c>
      <c r="P3942" t="str">
        <f>"2170719484                    "</f>
        <v xml:space="preserve">2170719484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8.58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2</v>
      </c>
      <c r="BJ3942">
        <v>0.9</v>
      </c>
      <c r="BK3942">
        <v>2</v>
      </c>
      <c r="BL3942" s="4">
        <v>50.45</v>
      </c>
      <c r="BM3942" s="4">
        <v>7.57</v>
      </c>
      <c r="BN3942" s="4">
        <v>58.02</v>
      </c>
      <c r="BO3942" s="4">
        <v>58.02</v>
      </c>
      <c r="BQ3942" t="s">
        <v>109</v>
      </c>
      <c r="BR3942" t="s">
        <v>84</v>
      </c>
      <c r="BS3942" t="s">
        <v>201</v>
      </c>
      <c r="BY3942">
        <v>4395.07</v>
      </c>
      <c r="CC3942" t="s">
        <v>91</v>
      </c>
      <c r="CD3942">
        <v>7405</v>
      </c>
      <c r="CE3942" t="s">
        <v>1598</v>
      </c>
      <c r="CI3942">
        <v>1</v>
      </c>
      <c r="CJ3942" t="s">
        <v>201</v>
      </c>
      <c r="CK3942">
        <v>21</v>
      </c>
      <c r="CL3942" t="s">
        <v>89</v>
      </c>
    </row>
    <row r="3943" spans="1:90">
      <c r="A3943" t="s">
        <v>72</v>
      </c>
      <c r="B3943" t="s">
        <v>73</v>
      </c>
      <c r="C3943" t="s">
        <v>74</v>
      </c>
      <c r="E3943" t="str">
        <f>"FES1162726050"</f>
        <v>FES1162726050</v>
      </c>
      <c r="F3943" s="3">
        <v>43798</v>
      </c>
      <c r="G3943">
        <v>202005</v>
      </c>
      <c r="H3943" t="s">
        <v>75</v>
      </c>
      <c r="I3943" t="s">
        <v>76</v>
      </c>
      <c r="J3943" t="s">
        <v>77</v>
      </c>
      <c r="K3943" t="s">
        <v>78</v>
      </c>
      <c r="L3943" t="s">
        <v>90</v>
      </c>
      <c r="M3943" t="s">
        <v>91</v>
      </c>
      <c r="N3943" t="s">
        <v>3456</v>
      </c>
      <c r="O3943" t="s">
        <v>82</v>
      </c>
      <c r="P3943" t="str">
        <f>"2170717809                    "</f>
        <v xml:space="preserve">2170717809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57.9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2</v>
      </c>
      <c r="BI3943">
        <v>13.1</v>
      </c>
      <c r="BJ3943">
        <v>5</v>
      </c>
      <c r="BK3943">
        <v>13.5</v>
      </c>
      <c r="BL3943" s="4">
        <v>340.35</v>
      </c>
      <c r="BM3943" s="4">
        <v>51.05</v>
      </c>
      <c r="BN3943" s="4">
        <v>391.4</v>
      </c>
      <c r="BO3943" s="4">
        <v>391.4</v>
      </c>
      <c r="BQ3943" t="s">
        <v>3094</v>
      </c>
      <c r="BR3943" t="s">
        <v>84</v>
      </c>
      <c r="BS3943" t="s">
        <v>201</v>
      </c>
      <c r="BY3943">
        <v>24932.1</v>
      </c>
      <c r="CC3943" t="s">
        <v>91</v>
      </c>
      <c r="CD3943">
        <v>7535</v>
      </c>
      <c r="CE3943" t="s">
        <v>2197</v>
      </c>
      <c r="CI3943">
        <v>1</v>
      </c>
      <c r="CJ3943" t="s">
        <v>201</v>
      </c>
      <c r="CK3943">
        <v>21</v>
      </c>
      <c r="CL3943" t="s">
        <v>89</v>
      </c>
    </row>
    <row r="3944" spans="1:90">
      <c r="A3944" t="s">
        <v>72</v>
      </c>
      <c r="B3944" t="s">
        <v>73</v>
      </c>
      <c r="C3944" t="s">
        <v>74</v>
      </c>
      <c r="E3944" t="str">
        <f>"FES1162725934"</f>
        <v>FES1162725934</v>
      </c>
      <c r="F3944" s="3">
        <v>43798</v>
      </c>
      <c r="G3944">
        <v>202005</v>
      </c>
      <c r="H3944" t="s">
        <v>75</v>
      </c>
      <c r="I3944" t="s">
        <v>76</v>
      </c>
      <c r="J3944" t="s">
        <v>77</v>
      </c>
      <c r="K3944" t="s">
        <v>78</v>
      </c>
      <c r="L3944" t="s">
        <v>339</v>
      </c>
      <c r="M3944" t="s">
        <v>340</v>
      </c>
      <c r="N3944" t="s">
        <v>3457</v>
      </c>
      <c r="O3944" t="s">
        <v>82</v>
      </c>
      <c r="P3944" t="str">
        <f>"2170717845                    "</f>
        <v xml:space="preserve">2170717845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21.45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4.3</v>
      </c>
      <c r="BJ3944">
        <v>4.5999999999999996</v>
      </c>
      <c r="BK3944">
        <v>5</v>
      </c>
      <c r="BL3944" s="4">
        <v>126.08</v>
      </c>
      <c r="BM3944" s="4">
        <v>18.91</v>
      </c>
      <c r="BN3944" s="4">
        <v>144.99</v>
      </c>
      <c r="BO3944" s="4">
        <v>144.99</v>
      </c>
      <c r="BR3944" t="s">
        <v>84</v>
      </c>
      <c r="BS3944" t="s">
        <v>201</v>
      </c>
      <c r="BY3944">
        <v>23118.22</v>
      </c>
      <c r="CC3944" t="s">
        <v>340</v>
      </c>
      <c r="CD3944">
        <v>157</v>
      </c>
      <c r="CE3944" t="s">
        <v>1598</v>
      </c>
      <c r="CI3944">
        <v>1</v>
      </c>
      <c r="CJ3944" t="s">
        <v>201</v>
      </c>
      <c r="CK3944">
        <v>21</v>
      </c>
      <c r="CL3944" t="s">
        <v>89</v>
      </c>
    </row>
    <row r="3945" spans="1:90">
      <c r="A3945" t="s">
        <v>72</v>
      </c>
      <c r="B3945" t="s">
        <v>73</v>
      </c>
      <c r="C3945" t="s">
        <v>74</v>
      </c>
      <c r="E3945" t="str">
        <f>"FES1162726100"</f>
        <v>FES1162726100</v>
      </c>
      <c r="F3945" s="3">
        <v>43798</v>
      </c>
      <c r="G3945">
        <v>202005</v>
      </c>
      <c r="H3945" t="s">
        <v>75</v>
      </c>
      <c r="I3945" t="s">
        <v>76</v>
      </c>
      <c r="J3945" t="s">
        <v>77</v>
      </c>
      <c r="K3945" t="s">
        <v>78</v>
      </c>
      <c r="L3945" t="s">
        <v>90</v>
      </c>
      <c r="M3945" t="s">
        <v>91</v>
      </c>
      <c r="N3945" t="s">
        <v>2073</v>
      </c>
      <c r="O3945" t="s">
        <v>82</v>
      </c>
      <c r="P3945" t="str">
        <f>"2170719212                    "</f>
        <v xml:space="preserve">2170719212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30.03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2</v>
      </c>
      <c r="BI3945">
        <v>6.9</v>
      </c>
      <c r="BJ3945">
        <v>2.7</v>
      </c>
      <c r="BK3945">
        <v>7</v>
      </c>
      <c r="BL3945" s="4">
        <v>176.5</v>
      </c>
      <c r="BM3945" s="4">
        <v>26.48</v>
      </c>
      <c r="BN3945" s="4">
        <v>202.98</v>
      </c>
      <c r="BO3945" s="4">
        <v>202.98</v>
      </c>
      <c r="BR3945" t="s">
        <v>84</v>
      </c>
      <c r="BS3945" t="s">
        <v>201</v>
      </c>
      <c r="BY3945">
        <v>13674.87</v>
      </c>
      <c r="CC3945" t="s">
        <v>91</v>
      </c>
      <c r="CD3945">
        <v>7500</v>
      </c>
      <c r="CE3945" t="s">
        <v>3076</v>
      </c>
      <c r="CI3945">
        <v>1</v>
      </c>
      <c r="CJ3945" t="s">
        <v>201</v>
      </c>
      <c r="CK3945">
        <v>21</v>
      </c>
      <c r="CL3945" t="s">
        <v>89</v>
      </c>
    </row>
    <row r="3946" spans="1:90">
      <c r="A3946" t="s">
        <v>72</v>
      </c>
      <c r="B3946" t="s">
        <v>73</v>
      </c>
      <c r="C3946" t="s">
        <v>74</v>
      </c>
      <c r="E3946" t="str">
        <f>"FES1162726104"</f>
        <v>FES1162726104</v>
      </c>
      <c r="F3946" s="3">
        <v>43798</v>
      </c>
      <c r="G3946">
        <v>202005</v>
      </c>
      <c r="H3946" t="s">
        <v>75</v>
      </c>
      <c r="I3946" t="s">
        <v>76</v>
      </c>
      <c r="J3946" t="s">
        <v>77</v>
      </c>
      <c r="K3946" t="s">
        <v>78</v>
      </c>
      <c r="L3946" t="s">
        <v>133</v>
      </c>
      <c r="M3946" t="s">
        <v>134</v>
      </c>
      <c r="N3946" t="s">
        <v>310</v>
      </c>
      <c r="O3946" t="s">
        <v>82</v>
      </c>
      <c r="P3946" t="str">
        <f>"2170719593                    "</f>
        <v xml:space="preserve">2170719593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8.58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 s="4">
        <v>50.45</v>
      </c>
      <c r="BM3946" s="4">
        <v>7.57</v>
      </c>
      <c r="BN3946" s="4">
        <v>58.02</v>
      </c>
      <c r="BO3946" s="4">
        <v>58.02</v>
      </c>
      <c r="BQ3946" t="s">
        <v>121</v>
      </c>
      <c r="BR3946" t="s">
        <v>84</v>
      </c>
      <c r="BS3946" t="s">
        <v>201</v>
      </c>
      <c r="BY3946">
        <v>1200</v>
      </c>
      <c r="CC3946" t="s">
        <v>134</v>
      </c>
      <c r="CD3946">
        <v>5201</v>
      </c>
      <c r="CE3946" t="s">
        <v>147</v>
      </c>
      <c r="CI3946">
        <v>1</v>
      </c>
      <c r="CJ3946" t="s">
        <v>201</v>
      </c>
      <c r="CK3946">
        <v>21</v>
      </c>
      <c r="CL3946" t="s">
        <v>89</v>
      </c>
    </row>
    <row r="3947" spans="1:90">
      <c r="A3947" t="s">
        <v>72</v>
      </c>
      <c r="B3947" t="s">
        <v>73</v>
      </c>
      <c r="C3947" t="s">
        <v>74</v>
      </c>
      <c r="E3947" t="str">
        <f>"FES1162726048"</f>
        <v>FES1162726048</v>
      </c>
      <c r="F3947" s="3">
        <v>43798</v>
      </c>
      <c r="G3947">
        <v>202005</v>
      </c>
      <c r="H3947" t="s">
        <v>75</v>
      </c>
      <c r="I3947" t="s">
        <v>76</v>
      </c>
      <c r="J3947" t="s">
        <v>77</v>
      </c>
      <c r="K3947" t="s">
        <v>78</v>
      </c>
      <c r="L3947" t="s">
        <v>124</v>
      </c>
      <c r="M3947" t="s">
        <v>125</v>
      </c>
      <c r="N3947" t="s">
        <v>218</v>
      </c>
      <c r="O3947" t="s">
        <v>82</v>
      </c>
      <c r="P3947" t="str">
        <f>"2170719516                    "</f>
        <v xml:space="preserve">2170719516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6.71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 s="4">
        <v>39.42</v>
      </c>
      <c r="BM3947" s="4">
        <v>5.91</v>
      </c>
      <c r="BN3947" s="4">
        <v>45.33</v>
      </c>
      <c r="BO3947" s="4">
        <v>45.33</v>
      </c>
      <c r="BQ3947" t="s">
        <v>121</v>
      </c>
      <c r="BR3947" t="s">
        <v>84</v>
      </c>
      <c r="BS3947" t="s">
        <v>201</v>
      </c>
      <c r="BY3947">
        <v>1200</v>
      </c>
      <c r="CC3947" t="s">
        <v>125</v>
      </c>
      <c r="CD3947">
        <v>2094</v>
      </c>
      <c r="CE3947" t="s">
        <v>147</v>
      </c>
      <c r="CI3947">
        <v>1</v>
      </c>
      <c r="CJ3947" t="s">
        <v>201</v>
      </c>
      <c r="CK3947">
        <v>22</v>
      </c>
      <c r="CL3947" t="s">
        <v>89</v>
      </c>
    </row>
    <row r="3948" spans="1:90">
      <c r="A3948" t="s">
        <v>72</v>
      </c>
      <c r="B3948" t="s">
        <v>73</v>
      </c>
      <c r="C3948" t="s">
        <v>74</v>
      </c>
      <c r="E3948" t="str">
        <f>"FES1162725647"</f>
        <v>FES1162725647</v>
      </c>
      <c r="F3948" s="3">
        <v>43798</v>
      </c>
      <c r="G3948">
        <v>202005</v>
      </c>
      <c r="H3948" t="s">
        <v>75</v>
      </c>
      <c r="I3948" t="s">
        <v>76</v>
      </c>
      <c r="J3948" t="s">
        <v>77</v>
      </c>
      <c r="K3948" t="s">
        <v>78</v>
      </c>
      <c r="L3948" t="s">
        <v>106</v>
      </c>
      <c r="M3948" t="s">
        <v>107</v>
      </c>
      <c r="N3948" t="s">
        <v>108</v>
      </c>
      <c r="O3948" t="s">
        <v>82</v>
      </c>
      <c r="P3948" t="str">
        <f>"2170715445                    "</f>
        <v xml:space="preserve">2170715445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120.09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19.600000000000001</v>
      </c>
      <c r="BJ3948">
        <v>27.9</v>
      </c>
      <c r="BK3948">
        <v>28</v>
      </c>
      <c r="BL3948" s="4">
        <v>705.88</v>
      </c>
      <c r="BM3948" s="4">
        <v>105.88</v>
      </c>
      <c r="BN3948" s="4">
        <v>811.76</v>
      </c>
      <c r="BO3948" s="4">
        <v>811.76</v>
      </c>
      <c r="BQ3948" t="s">
        <v>109</v>
      </c>
      <c r="BR3948" t="s">
        <v>84</v>
      </c>
      <c r="BS3948" t="s">
        <v>201</v>
      </c>
      <c r="BY3948">
        <v>139615.13</v>
      </c>
      <c r="CC3948" t="s">
        <v>107</v>
      </c>
      <c r="CD3948">
        <v>6001</v>
      </c>
      <c r="CE3948" t="s">
        <v>1598</v>
      </c>
      <c r="CI3948">
        <v>1</v>
      </c>
      <c r="CJ3948" t="s">
        <v>201</v>
      </c>
      <c r="CK3948">
        <v>21</v>
      </c>
      <c r="CL3948" t="s">
        <v>89</v>
      </c>
    </row>
    <row r="3949" spans="1:90">
      <c r="A3949" t="s">
        <v>72</v>
      </c>
      <c r="B3949" t="s">
        <v>73</v>
      </c>
      <c r="C3949" t="s">
        <v>74</v>
      </c>
      <c r="E3949" t="str">
        <f>"FES1162724974"</f>
        <v>FES1162724974</v>
      </c>
      <c r="F3949" s="3">
        <v>43795</v>
      </c>
      <c r="G3949">
        <v>202005</v>
      </c>
      <c r="H3949" t="s">
        <v>75</v>
      </c>
      <c r="I3949" t="s">
        <v>76</v>
      </c>
      <c r="J3949" t="s">
        <v>211</v>
      </c>
      <c r="K3949" t="s">
        <v>78</v>
      </c>
      <c r="L3949" t="s">
        <v>925</v>
      </c>
      <c r="M3949" t="s">
        <v>926</v>
      </c>
      <c r="N3949" t="s">
        <v>3458</v>
      </c>
      <c r="O3949" t="s">
        <v>756</v>
      </c>
      <c r="P3949" t="str">
        <f>"2170718679                    "</f>
        <v xml:space="preserve">2170718679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12.07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2.6</v>
      </c>
      <c r="BJ3949">
        <v>3</v>
      </c>
      <c r="BK3949">
        <v>3</v>
      </c>
      <c r="BL3949" s="4">
        <v>70.95</v>
      </c>
      <c r="BM3949" s="4">
        <v>10.64</v>
      </c>
      <c r="BN3949" s="4">
        <v>81.59</v>
      </c>
      <c r="BO3949" s="4">
        <v>81.59</v>
      </c>
      <c r="BQ3949" t="s">
        <v>3459</v>
      </c>
      <c r="BR3949" t="s">
        <v>212</v>
      </c>
      <c r="BS3949" s="3">
        <v>43796</v>
      </c>
      <c r="BT3949" s="5">
        <v>0.6777777777777777</v>
      </c>
      <c r="BU3949" t="s">
        <v>3460</v>
      </c>
      <c r="BV3949" t="s">
        <v>86</v>
      </c>
      <c r="BY3949">
        <v>15201.52</v>
      </c>
      <c r="BZ3949" t="s">
        <v>27</v>
      </c>
      <c r="CA3949" t="s">
        <v>929</v>
      </c>
      <c r="CC3949" t="s">
        <v>926</v>
      </c>
      <c r="CD3949">
        <v>1020</v>
      </c>
      <c r="CE3949" t="s">
        <v>88</v>
      </c>
      <c r="CF3949" s="3">
        <v>43797</v>
      </c>
      <c r="CI3949">
        <v>1</v>
      </c>
      <c r="CJ3949">
        <v>1</v>
      </c>
      <c r="CK3949">
        <v>34</v>
      </c>
      <c r="CL3949" t="s">
        <v>89</v>
      </c>
    </row>
    <row r="3950" spans="1:90">
      <c r="A3950" t="s">
        <v>72</v>
      </c>
      <c r="B3950" t="s">
        <v>73</v>
      </c>
      <c r="C3950" t="s">
        <v>74</v>
      </c>
      <c r="E3950" t="str">
        <f>"FES1162725837"</f>
        <v>FES1162725837</v>
      </c>
      <c r="F3950" s="3">
        <v>43798</v>
      </c>
      <c r="G3950">
        <v>202005</v>
      </c>
      <c r="H3950" t="s">
        <v>75</v>
      </c>
      <c r="I3950" t="s">
        <v>76</v>
      </c>
      <c r="J3950" t="s">
        <v>77</v>
      </c>
      <c r="K3950" t="s">
        <v>78</v>
      </c>
      <c r="L3950" t="s">
        <v>75</v>
      </c>
      <c r="M3950" t="s">
        <v>76</v>
      </c>
      <c r="N3950" t="s">
        <v>360</v>
      </c>
      <c r="O3950" t="s">
        <v>82</v>
      </c>
      <c r="P3950" t="str">
        <f>"2170719416                    "</f>
        <v xml:space="preserve">2170719416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6.71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 s="4">
        <v>39.42</v>
      </c>
      <c r="BM3950" s="4">
        <v>5.91</v>
      </c>
      <c r="BN3950" s="4">
        <v>45.33</v>
      </c>
      <c r="BO3950" s="4">
        <v>45.33</v>
      </c>
      <c r="BQ3950" t="s">
        <v>109</v>
      </c>
      <c r="BR3950" t="s">
        <v>84</v>
      </c>
      <c r="BS3950" t="s">
        <v>201</v>
      </c>
      <c r="BY3950">
        <v>1200</v>
      </c>
      <c r="CC3950" t="s">
        <v>76</v>
      </c>
      <c r="CD3950">
        <v>1645</v>
      </c>
      <c r="CE3950" t="s">
        <v>147</v>
      </c>
      <c r="CI3950">
        <v>1</v>
      </c>
      <c r="CJ3950" t="s">
        <v>201</v>
      </c>
      <c r="CK3950">
        <v>22</v>
      </c>
      <c r="CL3950" t="s">
        <v>89</v>
      </c>
    </row>
    <row r="3951" spans="1:90">
      <c r="A3951" t="s">
        <v>72</v>
      </c>
      <c r="B3951" t="s">
        <v>73</v>
      </c>
      <c r="C3951" t="s">
        <v>74</v>
      </c>
      <c r="E3951" t="str">
        <f>"FES1162725914"</f>
        <v>FES1162725914</v>
      </c>
      <c r="F3951" s="3">
        <v>43798</v>
      </c>
      <c r="G3951">
        <v>202005</v>
      </c>
      <c r="H3951" t="s">
        <v>75</v>
      </c>
      <c r="I3951" t="s">
        <v>76</v>
      </c>
      <c r="J3951" t="s">
        <v>77</v>
      </c>
      <c r="K3951" t="s">
        <v>78</v>
      </c>
      <c r="L3951" t="s">
        <v>482</v>
      </c>
      <c r="M3951" t="s">
        <v>483</v>
      </c>
      <c r="N3951" t="s">
        <v>1734</v>
      </c>
      <c r="O3951" t="s">
        <v>82</v>
      </c>
      <c r="P3951" t="str">
        <f>"2170718827                    "</f>
        <v xml:space="preserve">2170718827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6.71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1.5</v>
      </c>
      <c r="BJ3951">
        <v>1.3</v>
      </c>
      <c r="BK3951">
        <v>1.5</v>
      </c>
      <c r="BL3951" s="4">
        <v>39.42</v>
      </c>
      <c r="BM3951" s="4">
        <v>5.91</v>
      </c>
      <c r="BN3951" s="4">
        <v>45.33</v>
      </c>
      <c r="BO3951" s="4">
        <v>45.33</v>
      </c>
      <c r="BQ3951" t="s">
        <v>121</v>
      </c>
      <c r="BR3951" t="s">
        <v>84</v>
      </c>
      <c r="BS3951" t="s">
        <v>201</v>
      </c>
      <c r="BY3951">
        <v>6710.29</v>
      </c>
      <c r="CC3951" t="s">
        <v>483</v>
      </c>
      <c r="CD3951">
        <v>1459</v>
      </c>
      <c r="CE3951" t="s">
        <v>1598</v>
      </c>
      <c r="CI3951">
        <v>1</v>
      </c>
      <c r="CJ3951" t="s">
        <v>201</v>
      </c>
      <c r="CK3951">
        <v>22</v>
      </c>
      <c r="CL3951" t="s">
        <v>89</v>
      </c>
    </row>
    <row r="3952" spans="1:90">
      <c r="A3952" t="s">
        <v>72</v>
      </c>
      <c r="B3952" t="s">
        <v>73</v>
      </c>
      <c r="C3952" t="s">
        <v>74</v>
      </c>
      <c r="E3952" t="str">
        <f>"FES1162726092"</f>
        <v>FES1162726092</v>
      </c>
      <c r="F3952" s="3">
        <v>43798</v>
      </c>
      <c r="G3952">
        <v>202005</v>
      </c>
      <c r="H3952" t="s">
        <v>75</v>
      </c>
      <c r="I3952" t="s">
        <v>76</v>
      </c>
      <c r="J3952" t="s">
        <v>77</v>
      </c>
      <c r="K3952" t="s">
        <v>78</v>
      </c>
      <c r="L3952" t="s">
        <v>546</v>
      </c>
      <c r="M3952" t="s">
        <v>547</v>
      </c>
      <c r="N3952" t="s">
        <v>3461</v>
      </c>
      <c r="O3952" t="s">
        <v>82</v>
      </c>
      <c r="P3952" t="str">
        <f>"2170719576                    "</f>
        <v xml:space="preserve">2170719576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6.71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 s="4">
        <v>39.42</v>
      </c>
      <c r="BM3952" s="4">
        <v>5.91</v>
      </c>
      <c r="BN3952" s="4">
        <v>45.33</v>
      </c>
      <c r="BO3952" s="4">
        <v>45.33</v>
      </c>
      <c r="BQ3952" t="s">
        <v>109</v>
      </c>
      <c r="BR3952" t="s">
        <v>84</v>
      </c>
      <c r="BS3952" t="s">
        <v>201</v>
      </c>
      <c r="BY3952">
        <v>1200</v>
      </c>
      <c r="CC3952" t="s">
        <v>547</v>
      </c>
      <c r="CD3952">
        <v>1709</v>
      </c>
      <c r="CE3952" t="s">
        <v>147</v>
      </c>
      <c r="CI3952">
        <v>1</v>
      </c>
      <c r="CJ3952" t="s">
        <v>201</v>
      </c>
      <c r="CK3952">
        <v>22</v>
      </c>
      <c r="CL3952" t="s">
        <v>89</v>
      </c>
    </row>
    <row r="3953" spans="1:90">
      <c r="A3953" t="s">
        <v>72</v>
      </c>
      <c r="B3953" t="s">
        <v>73</v>
      </c>
      <c r="C3953" t="s">
        <v>74</v>
      </c>
      <c r="E3953" t="str">
        <f>"FES1162725672"</f>
        <v>FES1162725672</v>
      </c>
      <c r="F3953" s="3">
        <v>43798</v>
      </c>
      <c r="G3953">
        <v>202005</v>
      </c>
      <c r="H3953" t="s">
        <v>75</v>
      </c>
      <c r="I3953" t="s">
        <v>76</v>
      </c>
      <c r="J3953" t="s">
        <v>77</v>
      </c>
      <c r="K3953" t="s">
        <v>78</v>
      </c>
      <c r="L3953" t="s">
        <v>482</v>
      </c>
      <c r="M3953" t="s">
        <v>483</v>
      </c>
      <c r="N3953" t="s">
        <v>594</v>
      </c>
      <c r="O3953" t="s">
        <v>82</v>
      </c>
      <c r="P3953" t="str">
        <f>"2170718938                    "</f>
        <v xml:space="preserve">2170718938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12.33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5.4</v>
      </c>
      <c r="BJ3953">
        <v>2.9</v>
      </c>
      <c r="BK3953">
        <v>5.5</v>
      </c>
      <c r="BL3953" s="4">
        <v>72.48</v>
      </c>
      <c r="BM3953" s="4">
        <v>10.87</v>
      </c>
      <c r="BN3953" s="4">
        <v>83.35</v>
      </c>
      <c r="BO3953" s="4">
        <v>83.35</v>
      </c>
      <c r="BQ3953" t="s">
        <v>109</v>
      </c>
      <c r="BR3953" t="s">
        <v>84</v>
      </c>
      <c r="BS3953" t="s">
        <v>201</v>
      </c>
      <c r="BY3953">
        <v>14723.28</v>
      </c>
      <c r="CC3953" t="s">
        <v>483</v>
      </c>
      <c r="CD3953">
        <v>1459</v>
      </c>
      <c r="CE3953" t="s">
        <v>1598</v>
      </c>
      <c r="CI3953">
        <v>1</v>
      </c>
      <c r="CJ3953" t="s">
        <v>201</v>
      </c>
      <c r="CK3953">
        <v>22</v>
      </c>
      <c r="CL3953" t="s">
        <v>89</v>
      </c>
    </row>
    <row r="3954" spans="1:90">
      <c r="A3954" t="s">
        <v>72</v>
      </c>
      <c r="B3954" t="s">
        <v>73</v>
      </c>
      <c r="C3954" t="s">
        <v>74</v>
      </c>
      <c r="E3954" t="str">
        <f>"FES1162724803"</f>
        <v>FES1162724803</v>
      </c>
      <c r="F3954" s="3">
        <v>43794</v>
      </c>
      <c r="G3954">
        <v>202005</v>
      </c>
      <c r="H3954" t="s">
        <v>75</v>
      </c>
      <c r="I3954" t="s">
        <v>76</v>
      </c>
      <c r="J3954" t="s">
        <v>211</v>
      </c>
      <c r="K3954" t="s">
        <v>78</v>
      </c>
      <c r="L3954" t="s">
        <v>124</v>
      </c>
      <c r="M3954" t="s">
        <v>125</v>
      </c>
      <c r="N3954" t="s">
        <v>218</v>
      </c>
      <c r="O3954" t="s">
        <v>756</v>
      </c>
      <c r="P3954" t="str">
        <f>"2170716540                    "</f>
        <v xml:space="preserve">2170716540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14.98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14.1</v>
      </c>
      <c r="BJ3954">
        <v>5</v>
      </c>
      <c r="BK3954">
        <v>15</v>
      </c>
      <c r="BL3954" s="4">
        <v>88.06</v>
      </c>
      <c r="BM3954" s="4">
        <v>13.21</v>
      </c>
      <c r="BN3954" s="4">
        <v>101.27</v>
      </c>
      <c r="BO3954" s="4">
        <v>101.27</v>
      </c>
      <c r="BQ3954" t="s">
        <v>121</v>
      </c>
      <c r="BR3954" t="s">
        <v>212</v>
      </c>
      <c r="BS3954" s="3">
        <v>43795</v>
      </c>
      <c r="BT3954" s="5">
        <v>0.37361111111111112</v>
      </c>
      <c r="BU3954" t="s">
        <v>1800</v>
      </c>
      <c r="BV3954" t="s">
        <v>86</v>
      </c>
      <c r="BY3954">
        <v>25070.22</v>
      </c>
      <c r="BZ3954" t="s">
        <v>27</v>
      </c>
      <c r="CC3954" t="s">
        <v>125</v>
      </c>
      <c r="CD3954">
        <v>2094</v>
      </c>
      <c r="CE3954" t="s">
        <v>1598</v>
      </c>
      <c r="CF3954" s="3">
        <v>43796</v>
      </c>
      <c r="CI3954">
        <v>1</v>
      </c>
      <c r="CJ3954">
        <v>1</v>
      </c>
      <c r="CK3954">
        <v>32</v>
      </c>
      <c r="CL3954" t="s">
        <v>89</v>
      </c>
    </row>
    <row r="3955" spans="1:90">
      <c r="A3955" t="s">
        <v>72</v>
      </c>
      <c r="B3955" t="s">
        <v>73</v>
      </c>
      <c r="C3955" t="s">
        <v>74</v>
      </c>
      <c r="E3955" t="str">
        <f>"FES1162726022"</f>
        <v>FES1162726022</v>
      </c>
      <c r="F3955" s="3">
        <v>43798</v>
      </c>
      <c r="G3955">
        <v>202005</v>
      </c>
      <c r="H3955" t="s">
        <v>75</v>
      </c>
      <c r="I3955" t="s">
        <v>76</v>
      </c>
      <c r="J3955" t="s">
        <v>77</v>
      </c>
      <c r="K3955" t="s">
        <v>78</v>
      </c>
      <c r="L3955" t="s">
        <v>202</v>
      </c>
      <c r="M3955" t="s">
        <v>203</v>
      </c>
      <c r="N3955" t="s">
        <v>479</v>
      </c>
      <c r="O3955" t="s">
        <v>82</v>
      </c>
      <c r="P3955" t="str">
        <f>"2170717807                    "</f>
        <v xml:space="preserve">2170717807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8.31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2.6</v>
      </c>
      <c r="BJ3955">
        <v>1.7</v>
      </c>
      <c r="BK3955">
        <v>3</v>
      </c>
      <c r="BL3955" s="4">
        <v>48.86</v>
      </c>
      <c r="BM3955" s="4">
        <v>7.33</v>
      </c>
      <c r="BN3955" s="4">
        <v>56.19</v>
      </c>
      <c r="BO3955" s="4">
        <v>56.19</v>
      </c>
      <c r="BQ3955" t="s">
        <v>142</v>
      </c>
      <c r="BR3955" t="s">
        <v>84</v>
      </c>
      <c r="BS3955" t="s">
        <v>201</v>
      </c>
      <c r="BY3955">
        <v>8360.17</v>
      </c>
      <c r="CC3955" t="s">
        <v>203</v>
      </c>
      <c r="CD3955">
        <v>1401</v>
      </c>
      <c r="CE3955" t="s">
        <v>88</v>
      </c>
      <c r="CI3955">
        <v>1</v>
      </c>
      <c r="CJ3955" t="s">
        <v>201</v>
      </c>
      <c r="CK3955">
        <v>22</v>
      </c>
      <c r="CL3955" t="s">
        <v>89</v>
      </c>
    </row>
    <row r="3956" spans="1:90">
      <c r="A3956" t="s">
        <v>72</v>
      </c>
      <c r="B3956" t="s">
        <v>73</v>
      </c>
      <c r="C3956" t="s">
        <v>74</v>
      </c>
      <c r="E3956" t="str">
        <f>"FES1162725229"</f>
        <v>FES1162725229</v>
      </c>
      <c r="F3956" s="3">
        <v>43795</v>
      </c>
      <c r="G3956">
        <v>202005</v>
      </c>
      <c r="H3956" t="s">
        <v>75</v>
      </c>
      <c r="I3956" t="s">
        <v>76</v>
      </c>
      <c r="J3956" t="s">
        <v>211</v>
      </c>
      <c r="K3956" t="s">
        <v>78</v>
      </c>
      <c r="L3956" t="s">
        <v>75</v>
      </c>
      <c r="M3956" t="s">
        <v>76</v>
      </c>
      <c r="N3956" t="s">
        <v>1116</v>
      </c>
      <c r="O3956" t="s">
        <v>756</v>
      </c>
      <c r="P3956" t="str">
        <f>"2170718963                    "</f>
        <v xml:space="preserve">2170718963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15.73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15.2</v>
      </c>
      <c r="BJ3956">
        <v>16</v>
      </c>
      <c r="BK3956">
        <v>16</v>
      </c>
      <c r="BL3956" s="4">
        <v>92.48</v>
      </c>
      <c r="BM3956" s="4">
        <v>13.87</v>
      </c>
      <c r="BN3956" s="4">
        <v>106.35</v>
      </c>
      <c r="BO3956" s="4">
        <v>106.35</v>
      </c>
      <c r="BQ3956" t="s">
        <v>121</v>
      </c>
      <c r="BR3956" t="s">
        <v>212</v>
      </c>
      <c r="BS3956" s="3">
        <v>43796</v>
      </c>
      <c r="BT3956" s="5">
        <v>0.32847222222222222</v>
      </c>
      <c r="BU3956" t="s">
        <v>3005</v>
      </c>
      <c r="BV3956" t="s">
        <v>86</v>
      </c>
      <c r="BY3956">
        <v>80226.179999999993</v>
      </c>
      <c r="BZ3956" t="s">
        <v>27</v>
      </c>
      <c r="CA3956" t="s">
        <v>238</v>
      </c>
      <c r="CC3956" t="s">
        <v>76</v>
      </c>
      <c r="CD3956">
        <v>1666</v>
      </c>
      <c r="CE3956" t="s">
        <v>1598</v>
      </c>
      <c r="CF3956" s="3">
        <v>43797</v>
      </c>
      <c r="CI3956">
        <v>1</v>
      </c>
      <c r="CJ3956">
        <v>1</v>
      </c>
      <c r="CK3956">
        <v>32</v>
      </c>
      <c r="CL3956" t="s">
        <v>89</v>
      </c>
    </row>
    <row r="3957" spans="1:90">
      <c r="A3957" t="s">
        <v>72</v>
      </c>
      <c r="B3957" t="s">
        <v>73</v>
      </c>
      <c r="C3957" t="s">
        <v>74</v>
      </c>
      <c r="E3957" t="str">
        <f>"FES1162723963"</f>
        <v>FES1162723963</v>
      </c>
      <c r="F3957" s="3">
        <v>43789</v>
      </c>
      <c r="G3957">
        <v>202005</v>
      </c>
      <c r="H3957" t="s">
        <v>75</v>
      </c>
      <c r="I3957" t="s">
        <v>76</v>
      </c>
      <c r="J3957" t="s">
        <v>211</v>
      </c>
      <c r="K3957" t="s">
        <v>78</v>
      </c>
      <c r="L3957" t="s">
        <v>825</v>
      </c>
      <c r="M3957" t="s">
        <v>826</v>
      </c>
      <c r="N3957" t="s">
        <v>827</v>
      </c>
      <c r="O3957" t="s">
        <v>756</v>
      </c>
      <c r="P3957" t="str">
        <f>"2170717947                    "</f>
        <v xml:space="preserve">2170717947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15.69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4.4000000000000004</v>
      </c>
      <c r="BJ3957">
        <v>4.4000000000000004</v>
      </c>
      <c r="BK3957">
        <v>5</v>
      </c>
      <c r="BL3957" s="4">
        <v>92.24</v>
      </c>
      <c r="BM3957" s="4">
        <v>13.84</v>
      </c>
      <c r="BN3957" s="4">
        <v>106.08</v>
      </c>
      <c r="BO3957" s="4">
        <v>106.08</v>
      </c>
      <c r="BQ3957" t="s">
        <v>121</v>
      </c>
      <c r="BR3957" t="s">
        <v>212</v>
      </c>
      <c r="BS3957" s="3">
        <v>43790</v>
      </c>
      <c r="BT3957" s="5">
        <v>0.40277777777777773</v>
      </c>
      <c r="BU3957" t="s">
        <v>3462</v>
      </c>
      <c r="BV3957" t="s">
        <v>86</v>
      </c>
      <c r="BY3957">
        <v>22034.720000000001</v>
      </c>
      <c r="BZ3957" t="s">
        <v>27</v>
      </c>
      <c r="CC3957" t="s">
        <v>826</v>
      </c>
      <c r="CD3957">
        <v>1759</v>
      </c>
      <c r="CE3957" t="s">
        <v>88</v>
      </c>
      <c r="CF3957" s="3">
        <v>43791</v>
      </c>
      <c r="CI3957">
        <v>1</v>
      </c>
      <c r="CJ3957">
        <v>1</v>
      </c>
      <c r="CK3957">
        <v>34</v>
      </c>
      <c r="CL3957" t="s">
        <v>89</v>
      </c>
    </row>
    <row r="3958" spans="1:90">
      <c r="A3958" t="s">
        <v>72</v>
      </c>
      <c r="B3958" t="s">
        <v>73</v>
      </c>
      <c r="C3958" t="s">
        <v>74</v>
      </c>
      <c r="E3958" t="str">
        <f>"FES1162724716"</f>
        <v>FES1162724716</v>
      </c>
      <c r="F3958" s="3">
        <v>43791</v>
      </c>
      <c r="G3958">
        <v>202005</v>
      </c>
      <c r="H3958" t="s">
        <v>75</v>
      </c>
      <c r="I3958" t="s">
        <v>76</v>
      </c>
      <c r="J3958" t="s">
        <v>211</v>
      </c>
      <c r="K3958" t="s">
        <v>78</v>
      </c>
      <c r="L3958" t="s">
        <v>681</v>
      </c>
      <c r="M3958" t="s">
        <v>682</v>
      </c>
      <c r="N3958" t="s">
        <v>2585</v>
      </c>
      <c r="O3958" t="s">
        <v>756</v>
      </c>
      <c r="P3958" t="str">
        <f>"2170718015                    "</f>
        <v xml:space="preserve">2170718015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12.07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2.2999999999999998</v>
      </c>
      <c r="BJ3958">
        <v>2</v>
      </c>
      <c r="BK3958">
        <v>3</v>
      </c>
      <c r="BL3958" s="4">
        <v>70.95</v>
      </c>
      <c r="BM3958" s="4">
        <v>10.64</v>
      </c>
      <c r="BN3958" s="4">
        <v>81.59</v>
      </c>
      <c r="BO3958" s="4">
        <v>81.59</v>
      </c>
      <c r="BQ3958" t="s">
        <v>121</v>
      </c>
      <c r="BR3958" t="s">
        <v>212</v>
      </c>
      <c r="BS3958" s="3">
        <v>43794</v>
      </c>
      <c r="BT3958" s="5">
        <v>0.41666666666666669</v>
      </c>
      <c r="BU3958" t="s">
        <v>2819</v>
      </c>
      <c r="BV3958" t="s">
        <v>86</v>
      </c>
      <c r="BY3958">
        <v>9937.2999999999993</v>
      </c>
      <c r="BZ3958" t="s">
        <v>27</v>
      </c>
      <c r="CA3958" t="s">
        <v>1224</v>
      </c>
      <c r="CC3958" t="s">
        <v>682</v>
      </c>
      <c r="CD3958">
        <v>1939</v>
      </c>
      <c r="CE3958" t="s">
        <v>88</v>
      </c>
      <c r="CF3958" s="3">
        <v>43795</v>
      </c>
      <c r="CI3958">
        <v>1</v>
      </c>
      <c r="CJ3958">
        <v>1</v>
      </c>
      <c r="CK3958">
        <v>34</v>
      </c>
      <c r="CL3958" t="s">
        <v>89</v>
      </c>
    </row>
    <row r="3959" spans="1:90">
      <c r="A3959" t="s">
        <v>72</v>
      </c>
      <c r="B3959" t="s">
        <v>73</v>
      </c>
      <c r="C3959" t="s">
        <v>74</v>
      </c>
      <c r="E3959" t="str">
        <f>"FES1162725947"</f>
        <v>FES1162725947</v>
      </c>
      <c r="F3959" s="3">
        <v>43798</v>
      </c>
      <c r="G3959">
        <v>202005</v>
      </c>
      <c r="H3959" t="s">
        <v>75</v>
      </c>
      <c r="I3959" t="s">
        <v>76</v>
      </c>
      <c r="J3959" t="s">
        <v>77</v>
      </c>
      <c r="K3959" t="s">
        <v>78</v>
      </c>
      <c r="L3959" t="s">
        <v>405</v>
      </c>
      <c r="M3959" t="s">
        <v>406</v>
      </c>
      <c r="N3959" t="s">
        <v>934</v>
      </c>
      <c r="O3959" t="s">
        <v>82</v>
      </c>
      <c r="P3959" t="str">
        <f>"2170717259                    "</f>
        <v xml:space="preserve">2170717259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15.01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2.5</v>
      </c>
      <c r="BJ3959">
        <v>1.8</v>
      </c>
      <c r="BK3959">
        <v>2.5</v>
      </c>
      <c r="BL3959" s="4">
        <v>88.23</v>
      </c>
      <c r="BM3959" s="4">
        <v>13.23</v>
      </c>
      <c r="BN3959" s="4">
        <v>101.46</v>
      </c>
      <c r="BO3959" s="4">
        <v>101.46</v>
      </c>
      <c r="BQ3959" t="s">
        <v>109</v>
      </c>
      <c r="BR3959" t="s">
        <v>84</v>
      </c>
      <c r="BS3959" t="s">
        <v>201</v>
      </c>
      <c r="BY3959">
        <v>8912.59</v>
      </c>
      <c r="CC3959" t="s">
        <v>406</v>
      </c>
      <c r="CD3959">
        <v>250</v>
      </c>
      <c r="CE3959" t="s">
        <v>1598</v>
      </c>
      <c r="CI3959">
        <v>1</v>
      </c>
      <c r="CJ3959" t="s">
        <v>201</v>
      </c>
      <c r="CK3959">
        <v>24</v>
      </c>
      <c r="CL3959" t="s">
        <v>89</v>
      </c>
    </row>
    <row r="3960" spans="1:90">
      <c r="A3960" t="s">
        <v>72</v>
      </c>
      <c r="B3960" t="s">
        <v>73</v>
      </c>
      <c r="C3960" t="s">
        <v>74</v>
      </c>
      <c r="E3960" t="str">
        <f>"FES1162724944"</f>
        <v>FES1162724944</v>
      </c>
      <c r="F3960" s="3">
        <v>43794</v>
      </c>
      <c r="G3960">
        <v>202005</v>
      </c>
      <c r="H3960" t="s">
        <v>75</v>
      </c>
      <c r="I3960" t="s">
        <v>76</v>
      </c>
      <c r="J3960" t="s">
        <v>211</v>
      </c>
      <c r="K3960" t="s">
        <v>78</v>
      </c>
      <c r="L3960" t="s">
        <v>405</v>
      </c>
      <c r="M3960" t="s">
        <v>406</v>
      </c>
      <c r="N3960" t="s">
        <v>931</v>
      </c>
      <c r="O3960" t="s">
        <v>756</v>
      </c>
      <c r="P3960" t="str">
        <f>"2170718628                    "</f>
        <v xml:space="preserve">2170718628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12.07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1.2</v>
      </c>
      <c r="BJ3960">
        <v>2.4</v>
      </c>
      <c r="BK3960">
        <v>3</v>
      </c>
      <c r="BL3960" s="4">
        <v>70.95</v>
      </c>
      <c r="BM3960" s="4">
        <v>10.64</v>
      </c>
      <c r="BN3960" s="4">
        <v>81.59</v>
      </c>
      <c r="BO3960" s="4">
        <v>81.59</v>
      </c>
      <c r="BQ3960" t="s">
        <v>932</v>
      </c>
      <c r="BR3960" t="s">
        <v>212</v>
      </c>
      <c r="BS3960" s="3">
        <v>43795</v>
      </c>
      <c r="BT3960" s="5">
        <v>0.375</v>
      </c>
      <c r="BU3960" t="s">
        <v>1443</v>
      </c>
      <c r="BV3960" t="s">
        <v>86</v>
      </c>
      <c r="BY3960">
        <v>12185.17</v>
      </c>
      <c r="BZ3960" t="s">
        <v>27</v>
      </c>
      <c r="CA3960" t="s">
        <v>409</v>
      </c>
      <c r="CC3960" t="s">
        <v>406</v>
      </c>
      <c r="CD3960">
        <v>250</v>
      </c>
      <c r="CE3960" t="s">
        <v>1598</v>
      </c>
      <c r="CF3960" s="3">
        <v>43797</v>
      </c>
      <c r="CI3960">
        <v>1</v>
      </c>
      <c r="CJ3960">
        <v>1</v>
      </c>
      <c r="CK3960">
        <v>34</v>
      </c>
      <c r="CL3960" t="s">
        <v>89</v>
      </c>
    </row>
    <row r="3961" spans="1:90">
      <c r="A3961" t="s">
        <v>72</v>
      </c>
      <c r="B3961" t="s">
        <v>73</v>
      </c>
      <c r="C3961" t="s">
        <v>74</v>
      </c>
      <c r="E3961" t="str">
        <f>"FES1162726033"</f>
        <v>FES1162726033</v>
      </c>
      <c r="F3961" s="3">
        <v>43798</v>
      </c>
      <c r="G3961">
        <v>202005</v>
      </c>
      <c r="H3961" t="s">
        <v>75</v>
      </c>
      <c r="I3961" t="s">
        <v>76</v>
      </c>
      <c r="J3961" t="s">
        <v>77</v>
      </c>
      <c r="K3961" t="s">
        <v>78</v>
      </c>
      <c r="L3961" t="s">
        <v>1651</v>
      </c>
      <c r="M3961" t="s">
        <v>1651</v>
      </c>
      <c r="N3961" t="s">
        <v>1652</v>
      </c>
      <c r="O3961" t="s">
        <v>82</v>
      </c>
      <c r="P3961" t="str">
        <f>"2170719494                    "</f>
        <v xml:space="preserve">2170719494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12.07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 s="4">
        <v>70.95</v>
      </c>
      <c r="BM3961" s="4">
        <v>10.64</v>
      </c>
      <c r="BN3961" s="4">
        <v>81.59</v>
      </c>
      <c r="BO3961" s="4">
        <v>81.59</v>
      </c>
      <c r="BQ3961" t="s">
        <v>161</v>
      </c>
      <c r="BR3961" t="s">
        <v>84</v>
      </c>
      <c r="BS3961" t="s">
        <v>201</v>
      </c>
      <c r="BY3961">
        <v>1200</v>
      </c>
      <c r="CC3961" t="s">
        <v>1651</v>
      </c>
      <c r="CD3961">
        <v>1490</v>
      </c>
      <c r="CE3961" t="s">
        <v>147</v>
      </c>
      <c r="CI3961">
        <v>1</v>
      </c>
      <c r="CJ3961" t="s">
        <v>201</v>
      </c>
      <c r="CK3961">
        <v>24</v>
      </c>
      <c r="CL3961" t="s">
        <v>89</v>
      </c>
    </row>
    <row r="3962" spans="1:90">
      <c r="A3962" t="s">
        <v>72</v>
      </c>
      <c r="B3962" t="s">
        <v>73</v>
      </c>
      <c r="C3962" t="s">
        <v>74</v>
      </c>
      <c r="E3962" t="str">
        <f>"FES1162725910"</f>
        <v>FES1162725910</v>
      </c>
      <c r="F3962" s="3">
        <v>43798</v>
      </c>
      <c r="G3962">
        <v>202005</v>
      </c>
      <c r="H3962" t="s">
        <v>75</v>
      </c>
      <c r="I3962" t="s">
        <v>76</v>
      </c>
      <c r="J3962" t="s">
        <v>77</v>
      </c>
      <c r="K3962" t="s">
        <v>78</v>
      </c>
      <c r="L3962" t="s">
        <v>90</v>
      </c>
      <c r="M3962" t="s">
        <v>91</v>
      </c>
      <c r="N3962" t="s">
        <v>527</v>
      </c>
      <c r="O3962" t="s">
        <v>82</v>
      </c>
      <c r="P3962" t="str">
        <f>"2170719455                    "</f>
        <v xml:space="preserve">2170719455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132.94999999999999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20.7</v>
      </c>
      <c r="BJ3962">
        <v>31</v>
      </c>
      <c r="BK3962">
        <v>31</v>
      </c>
      <c r="BL3962" s="4">
        <v>781.5</v>
      </c>
      <c r="BM3962" s="4">
        <v>117.23</v>
      </c>
      <c r="BN3962" s="4">
        <v>898.73</v>
      </c>
      <c r="BO3962" s="4">
        <v>898.73</v>
      </c>
      <c r="BQ3962" t="s">
        <v>109</v>
      </c>
      <c r="BR3962" t="s">
        <v>84</v>
      </c>
      <c r="BS3962" t="s">
        <v>201</v>
      </c>
      <c r="BY3962">
        <v>155044.56</v>
      </c>
      <c r="CC3962" t="s">
        <v>91</v>
      </c>
      <c r="CD3962">
        <v>7405</v>
      </c>
      <c r="CE3962" t="s">
        <v>88</v>
      </c>
      <c r="CI3962">
        <v>1</v>
      </c>
      <c r="CJ3962" t="s">
        <v>201</v>
      </c>
      <c r="CK3962">
        <v>21</v>
      </c>
      <c r="CL3962" t="s">
        <v>89</v>
      </c>
    </row>
    <row r="3963" spans="1:90">
      <c r="A3963" t="s">
        <v>72</v>
      </c>
      <c r="B3963" t="s">
        <v>73</v>
      </c>
      <c r="C3963" t="s">
        <v>74</v>
      </c>
      <c r="E3963" t="str">
        <f>"FES1162725520"</f>
        <v>FES1162725520</v>
      </c>
      <c r="F3963" s="3">
        <v>43798</v>
      </c>
      <c r="G3963">
        <v>202005</v>
      </c>
      <c r="H3963" t="s">
        <v>75</v>
      </c>
      <c r="I3963" t="s">
        <v>76</v>
      </c>
      <c r="J3963" t="s">
        <v>77</v>
      </c>
      <c r="K3963" t="s">
        <v>78</v>
      </c>
      <c r="L3963" t="s">
        <v>75</v>
      </c>
      <c r="M3963" t="s">
        <v>76</v>
      </c>
      <c r="N3963" t="s">
        <v>360</v>
      </c>
      <c r="O3963" t="s">
        <v>82</v>
      </c>
      <c r="P3963" t="str">
        <f>"2170715406                    "</f>
        <v xml:space="preserve">2170715406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7.51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2.4</v>
      </c>
      <c r="BJ3963">
        <v>1.5</v>
      </c>
      <c r="BK3963">
        <v>2.5</v>
      </c>
      <c r="BL3963" s="4">
        <v>44.14</v>
      </c>
      <c r="BM3963" s="4">
        <v>6.62</v>
      </c>
      <c r="BN3963" s="4">
        <v>50.76</v>
      </c>
      <c r="BO3963" s="4">
        <v>50.76</v>
      </c>
      <c r="BQ3963" t="s">
        <v>109</v>
      </c>
      <c r="BR3963" t="s">
        <v>84</v>
      </c>
      <c r="BS3963" t="s">
        <v>201</v>
      </c>
      <c r="BY3963">
        <v>7462.46</v>
      </c>
      <c r="CC3963" t="s">
        <v>76</v>
      </c>
      <c r="CD3963">
        <v>1645</v>
      </c>
      <c r="CE3963" t="s">
        <v>1598</v>
      </c>
      <c r="CI3963">
        <v>1</v>
      </c>
      <c r="CJ3963" t="s">
        <v>201</v>
      </c>
      <c r="CK3963">
        <v>22</v>
      </c>
      <c r="CL3963" t="s">
        <v>89</v>
      </c>
    </row>
    <row r="3964" spans="1:90">
      <c r="A3964" t="s">
        <v>72</v>
      </c>
      <c r="B3964" t="s">
        <v>73</v>
      </c>
      <c r="C3964" t="s">
        <v>74</v>
      </c>
      <c r="E3964" t="str">
        <f>"FES1162724376"</f>
        <v>FES1162724376</v>
      </c>
      <c r="F3964" s="3">
        <v>43790</v>
      </c>
      <c r="G3964">
        <v>202005</v>
      </c>
      <c r="H3964" t="s">
        <v>75</v>
      </c>
      <c r="I3964" t="s">
        <v>76</v>
      </c>
      <c r="J3964" t="s">
        <v>211</v>
      </c>
      <c r="K3964" t="s">
        <v>78</v>
      </c>
      <c r="L3964" t="s">
        <v>172</v>
      </c>
      <c r="M3964" t="s">
        <v>173</v>
      </c>
      <c r="N3964" t="s">
        <v>2392</v>
      </c>
      <c r="O3964" t="s">
        <v>756</v>
      </c>
      <c r="P3964" t="str">
        <f>"2170715711                    "</f>
        <v xml:space="preserve">2170715711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26.56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7.4</v>
      </c>
      <c r="BJ3964">
        <v>3.1</v>
      </c>
      <c r="BK3964">
        <v>8</v>
      </c>
      <c r="BL3964" s="4">
        <v>156.12</v>
      </c>
      <c r="BM3964" s="4">
        <v>23.42</v>
      </c>
      <c r="BN3964" s="4">
        <v>179.54</v>
      </c>
      <c r="BO3964" s="4">
        <v>179.54</v>
      </c>
      <c r="BQ3964" t="s">
        <v>121</v>
      </c>
      <c r="BR3964" t="s">
        <v>212</v>
      </c>
      <c r="BS3964" s="3">
        <v>43791</v>
      </c>
      <c r="BT3964" s="5">
        <v>0.375</v>
      </c>
      <c r="BU3964" t="s">
        <v>694</v>
      </c>
      <c r="BV3964" t="s">
        <v>86</v>
      </c>
      <c r="BY3964">
        <v>15479.68</v>
      </c>
      <c r="BZ3964" t="s">
        <v>27</v>
      </c>
      <c r="CC3964" t="s">
        <v>173</v>
      </c>
      <c r="CD3964">
        <v>1739</v>
      </c>
      <c r="CE3964" t="s">
        <v>88</v>
      </c>
      <c r="CF3964" s="3">
        <v>43794</v>
      </c>
      <c r="CI3964">
        <v>1</v>
      </c>
      <c r="CJ3964">
        <v>1</v>
      </c>
      <c r="CK3964">
        <v>34</v>
      </c>
      <c r="CL3964" t="s">
        <v>89</v>
      </c>
    </row>
    <row r="3965" spans="1:90">
      <c r="A3965" t="s">
        <v>72</v>
      </c>
      <c r="B3965" t="s">
        <v>73</v>
      </c>
      <c r="C3965" t="s">
        <v>74</v>
      </c>
      <c r="E3965" t="str">
        <f>"FES1162725975"</f>
        <v>FES1162725975</v>
      </c>
      <c r="F3965" s="3">
        <v>43798</v>
      </c>
      <c r="G3965">
        <v>202005</v>
      </c>
      <c r="H3965" t="s">
        <v>75</v>
      </c>
      <c r="I3965" t="s">
        <v>76</v>
      </c>
      <c r="J3965" t="s">
        <v>77</v>
      </c>
      <c r="K3965" t="s">
        <v>78</v>
      </c>
      <c r="L3965" t="s">
        <v>482</v>
      </c>
      <c r="M3965" t="s">
        <v>483</v>
      </c>
      <c r="N3965" t="s">
        <v>1256</v>
      </c>
      <c r="O3965" t="s">
        <v>82</v>
      </c>
      <c r="P3965" t="str">
        <f>"2170715799                    "</f>
        <v xml:space="preserve">2170715799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6.71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 s="4">
        <v>39.42</v>
      </c>
      <c r="BM3965" s="4">
        <v>5.91</v>
      </c>
      <c r="BN3965" s="4">
        <v>45.33</v>
      </c>
      <c r="BO3965" s="4">
        <v>45.33</v>
      </c>
      <c r="BQ3965" t="s">
        <v>109</v>
      </c>
      <c r="BR3965" t="s">
        <v>84</v>
      </c>
      <c r="BS3965" t="s">
        <v>201</v>
      </c>
      <c r="BY3965">
        <v>1200</v>
      </c>
      <c r="CC3965" t="s">
        <v>483</v>
      </c>
      <c r="CD3965">
        <v>1459</v>
      </c>
      <c r="CE3965" t="s">
        <v>147</v>
      </c>
      <c r="CI3965">
        <v>1</v>
      </c>
      <c r="CJ3965" t="s">
        <v>201</v>
      </c>
      <c r="CK3965">
        <v>22</v>
      </c>
      <c r="CL3965" t="s">
        <v>89</v>
      </c>
    </row>
    <row r="3966" spans="1:90">
      <c r="A3966" t="s">
        <v>72</v>
      </c>
      <c r="B3966" t="s">
        <v>73</v>
      </c>
      <c r="C3966" t="s">
        <v>74</v>
      </c>
      <c r="E3966" t="str">
        <f>"FES1162724955"</f>
        <v>FES1162724955</v>
      </c>
      <c r="F3966" s="3">
        <v>43795</v>
      </c>
      <c r="G3966">
        <v>202005</v>
      </c>
      <c r="H3966" t="s">
        <v>75</v>
      </c>
      <c r="I3966" t="s">
        <v>76</v>
      </c>
      <c r="J3966" t="s">
        <v>211</v>
      </c>
      <c r="K3966" t="s">
        <v>78</v>
      </c>
      <c r="L3966" t="s">
        <v>405</v>
      </c>
      <c r="M3966" t="s">
        <v>406</v>
      </c>
      <c r="N3966" t="s">
        <v>407</v>
      </c>
      <c r="O3966" t="s">
        <v>756</v>
      </c>
      <c r="P3966" t="str">
        <f>"2170718643                    "</f>
        <v xml:space="preserve">2170718643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12.07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2.9</v>
      </c>
      <c r="BJ3966">
        <v>3</v>
      </c>
      <c r="BK3966">
        <v>3</v>
      </c>
      <c r="BL3966" s="4">
        <v>70.95</v>
      </c>
      <c r="BM3966" s="4">
        <v>10.64</v>
      </c>
      <c r="BN3966" s="4">
        <v>81.59</v>
      </c>
      <c r="BO3966" s="4">
        <v>81.59</v>
      </c>
      <c r="BQ3966" t="s">
        <v>121</v>
      </c>
      <c r="BR3966" t="s">
        <v>212</v>
      </c>
      <c r="BS3966" s="3">
        <v>43796</v>
      </c>
      <c r="BT3966" s="5">
        <v>0.39930555555555558</v>
      </c>
      <c r="BU3966" t="s">
        <v>1979</v>
      </c>
      <c r="BV3966" t="s">
        <v>86</v>
      </c>
      <c r="BY3966">
        <v>15006.35</v>
      </c>
      <c r="BZ3966" t="s">
        <v>27</v>
      </c>
      <c r="CA3966" t="s">
        <v>1501</v>
      </c>
      <c r="CC3966" t="s">
        <v>406</v>
      </c>
      <c r="CD3966">
        <v>250</v>
      </c>
      <c r="CE3966" t="s">
        <v>88</v>
      </c>
      <c r="CF3966" s="3">
        <v>43798</v>
      </c>
      <c r="CI3966">
        <v>1</v>
      </c>
      <c r="CJ3966">
        <v>1</v>
      </c>
      <c r="CK3966">
        <v>34</v>
      </c>
      <c r="CL3966" t="s">
        <v>89</v>
      </c>
    </row>
    <row r="3967" spans="1:90">
      <c r="A3967" t="s">
        <v>72</v>
      </c>
      <c r="B3967" t="s">
        <v>73</v>
      </c>
      <c r="C3967" t="s">
        <v>74</v>
      </c>
      <c r="E3967" t="str">
        <f>"FES1162725297"</f>
        <v>FES1162725297</v>
      </c>
      <c r="F3967" s="3">
        <v>43795</v>
      </c>
      <c r="G3967">
        <v>202005</v>
      </c>
      <c r="H3967" t="s">
        <v>75</v>
      </c>
      <c r="I3967" t="s">
        <v>76</v>
      </c>
      <c r="J3967" t="s">
        <v>211</v>
      </c>
      <c r="K3967" t="s">
        <v>78</v>
      </c>
      <c r="L3967" t="s">
        <v>825</v>
      </c>
      <c r="M3967" t="s">
        <v>826</v>
      </c>
      <c r="N3967" t="s">
        <v>939</v>
      </c>
      <c r="O3967" t="s">
        <v>756</v>
      </c>
      <c r="P3967" t="str">
        <f>"1162725297                    "</f>
        <v xml:space="preserve">1162725297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15.69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4.2</v>
      </c>
      <c r="BJ3967">
        <v>3.8</v>
      </c>
      <c r="BK3967">
        <v>5</v>
      </c>
      <c r="BL3967" s="4">
        <v>92.24</v>
      </c>
      <c r="BM3967" s="4">
        <v>13.84</v>
      </c>
      <c r="BN3967" s="4">
        <v>106.08</v>
      </c>
      <c r="BO3967" s="4">
        <v>106.08</v>
      </c>
      <c r="BQ3967" t="s">
        <v>121</v>
      </c>
      <c r="BR3967" t="s">
        <v>212</v>
      </c>
      <c r="BS3967" s="3">
        <v>43796</v>
      </c>
      <c r="BT3967" s="5">
        <v>0.4375</v>
      </c>
      <c r="BU3967" t="s">
        <v>3463</v>
      </c>
      <c r="BV3967" t="s">
        <v>86</v>
      </c>
      <c r="BY3967">
        <v>18906.82</v>
      </c>
      <c r="BZ3967" t="s">
        <v>27</v>
      </c>
      <c r="CC3967" t="s">
        <v>826</v>
      </c>
      <c r="CD3967">
        <v>1759</v>
      </c>
      <c r="CE3967" t="s">
        <v>88</v>
      </c>
      <c r="CF3967" s="3">
        <v>43797</v>
      </c>
      <c r="CI3967">
        <v>1</v>
      </c>
      <c r="CJ3967">
        <v>1</v>
      </c>
      <c r="CK3967">
        <v>34</v>
      </c>
      <c r="CL3967" t="s">
        <v>89</v>
      </c>
    </row>
    <row r="3968" spans="1:90">
      <c r="A3968" t="s">
        <v>72</v>
      </c>
      <c r="B3968" t="s">
        <v>73</v>
      </c>
      <c r="C3968" t="s">
        <v>74</v>
      </c>
      <c r="E3968" t="str">
        <f>"FES1162725014"</f>
        <v>FES1162725014</v>
      </c>
      <c r="F3968" s="3">
        <v>43794</v>
      </c>
      <c r="G3968">
        <v>202005</v>
      </c>
      <c r="H3968" t="s">
        <v>75</v>
      </c>
      <c r="I3968" t="s">
        <v>76</v>
      </c>
      <c r="J3968" t="s">
        <v>211</v>
      </c>
      <c r="K3968" t="s">
        <v>78</v>
      </c>
      <c r="L3968" t="s">
        <v>691</v>
      </c>
      <c r="M3968" t="s">
        <v>692</v>
      </c>
      <c r="N3968" t="s">
        <v>3464</v>
      </c>
      <c r="O3968" t="s">
        <v>756</v>
      </c>
      <c r="P3968" t="str">
        <f>"2170718742                    "</f>
        <v xml:space="preserve">2170718742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14.23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2</v>
      </c>
      <c r="BI3968">
        <v>10.6</v>
      </c>
      <c r="BJ3968">
        <v>13.2</v>
      </c>
      <c r="BK3968">
        <v>14</v>
      </c>
      <c r="BL3968" s="4">
        <v>83.64</v>
      </c>
      <c r="BM3968" s="4">
        <v>12.55</v>
      </c>
      <c r="BN3968" s="4">
        <v>96.19</v>
      </c>
      <c r="BO3968" s="4">
        <v>96.19</v>
      </c>
      <c r="BR3968" t="s">
        <v>212</v>
      </c>
      <c r="BS3968" s="3">
        <v>43795</v>
      </c>
      <c r="BT3968" s="5">
        <v>0.57291666666666663</v>
      </c>
      <c r="BU3968" t="s">
        <v>3465</v>
      </c>
      <c r="BV3968" t="s">
        <v>89</v>
      </c>
      <c r="BW3968" t="s">
        <v>596</v>
      </c>
      <c r="BX3968" t="s">
        <v>743</v>
      </c>
      <c r="BY3968">
        <v>66125.539999999994</v>
      </c>
      <c r="BZ3968" t="s">
        <v>27</v>
      </c>
      <c r="CC3968" t="s">
        <v>692</v>
      </c>
      <c r="CD3968">
        <v>1559</v>
      </c>
      <c r="CE3968" t="s">
        <v>2183</v>
      </c>
      <c r="CF3968" s="3">
        <v>43796</v>
      </c>
      <c r="CI3968">
        <v>1</v>
      </c>
      <c r="CJ3968">
        <v>1</v>
      </c>
      <c r="CK3968">
        <v>32</v>
      </c>
      <c r="CL3968" t="s">
        <v>89</v>
      </c>
    </row>
    <row r="3969" spans="1:90">
      <c r="A3969" t="s">
        <v>72</v>
      </c>
      <c r="B3969" t="s">
        <v>73</v>
      </c>
      <c r="C3969" t="s">
        <v>74</v>
      </c>
      <c r="E3969" t="str">
        <f>"FES1162725652"</f>
        <v>FES1162725652</v>
      </c>
      <c r="F3969" s="3">
        <v>43798</v>
      </c>
      <c r="G3969">
        <v>202005</v>
      </c>
      <c r="H3969" t="s">
        <v>75</v>
      </c>
      <c r="I3969" t="s">
        <v>76</v>
      </c>
      <c r="J3969" t="s">
        <v>77</v>
      </c>
      <c r="K3969" t="s">
        <v>78</v>
      </c>
      <c r="L3969" t="s">
        <v>106</v>
      </c>
      <c r="M3969" t="s">
        <v>107</v>
      </c>
      <c r="N3969" t="s">
        <v>1401</v>
      </c>
      <c r="O3969" t="s">
        <v>82</v>
      </c>
      <c r="P3969" t="str">
        <f>"2170715977                    "</f>
        <v xml:space="preserve">2170715977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15.02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3.5</v>
      </c>
      <c r="BJ3969">
        <v>3.5</v>
      </c>
      <c r="BK3969">
        <v>3.5</v>
      </c>
      <c r="BL3969" s="4">
        <v>88.27</v>
      </c>
      <c r="BM3969" s="4">
        <v>13.24</v>
      </c>
      <c r="BN3969" s="4">
        <v>101.51</v>
      </c>
      <c r="BO3969" s="4">
        <v>101.51</v>
      </c>
      <c r="BQ3969" t="s">
        <v>109</v>
      </c>
      <c r="BR3969" t="s">
        <v>84</v>
      </c>
      <c r="BS3969" t="s">
        <v>201</v>
      </c>
      <c r="BY3969">
        <v>17560.73</v>
      </c>
      <c r="CC3969" t="s">
        <v>107</v>
      </c>
      <c r="CD3969">
        <v>6001</v>
      </c>
      <c r="CE3969" t="s">
        <v>88</v>
      </c>
      <c r="CI3969">
        <v>1</v>
      </c>
      <c r="CJ3969" t="s">
        <v>201</v>
      </c>
      <c r="CK3969">
        <v>21</v>
      </c>
      <c r="CL3969" t="s">
        <v>89</v>
      </c>
    </row>
    <row r="3970" spans="1:90">
      <c r="A3970" t="s">
        <v>72</v>
      </c>
      <c r="B3970" t="s">
        <v>73</v>
      </c>
      <c r="C3970" t="s">
        <v>74</v>
      </c>
      <c r="E3970" t="str">
        <f>"FES1162725813"</f>
        <v>FES1162725813</v>
      </c>
      <c r="F3970" s="3">
        <v>43798</v>
      </c>
      <c r="G3970">
        <v>202005</v>
      </c>
      <c r="H3970" t="s">
        <v>75</v>
      </c>
      <c r="I3970" t="s">
        <v>76</v>
      </c>
      <c r="J3970" t="s">
        <v>77</v>
      </c>
      <c r="K3970" t="s">
        <v>78</v>
      </c>
      <c r="L3970" t="s">
        <v>106</v>
      </c>
      <c r="M3970" t="s">
        <v>107</v>
      </c>
      <c r="N3970" t="s">
        <v>150</v>
      </c>
      <c r="O3970" t="s">
        <v>82</v>
      </c>
      <c r="P3970" t="str">
        <f>"                              "</f>
        <v xml:space="preserve">          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15.02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1.8</v>
      </c>
      <c r="BJ3970">
        <v>3.1</v>
      </c>
      <c r="BK3970">
        <v>3.5</v>
      </c>
      <c r="BL3970" s="4">
        <v>88.27</v>
      </c>
      <c r="BM3970" s="4">
        <v>13.24</v>
      </c>
      <c r="BN3970" s="4">
        <v>101.51</v>
      </c>
      <c r="BO3970" s="4">
        <v>101.51</v>
      </c>
      <c r="BQ3970" t="s">
        <v>109</v>
      </c>
      <c r="BR3970" t="s">
        <v>84</v>
      </c>
      <c r="BS3970" t="s">
        <v>201</v>
      </c>
      <c r="BY3970">
        <v>15534.55</v>
      </c>
      <c r="CC3970" t="s">
        <v>107</v>
      </c>
      <c r="CD3970">
        <v>6001</v>
      </c>
      <c r="CE3970" t="s">
        <v>1598</v>
      </c>
      <c r="CI3970">
        <v>1</v>
      </c>
      <c r="CJ3970" t="s">
        <v>201</v>
      </c>
      <c r="CK3970">
        <v>21</v>
      </c>
      <c r="CL3970" t="s">
        <v>89</v>
      </c>
    </row>
    <row r="3971" spans="1:90">
      <c r="A3971" t="s">
        <v>72</v>
      </c>
      <c r="B3971" t="s">
        <v>73</v>
      </c>
      <c r="C3971" t="s">
        <v>74</v>
      </c>
      <c r="E3971" t="str">
        <f>"FES1162725455"</f>
        <v>FES1162725455</v>
      </c>
      <c r="F3971" s="3">
        <v>43796</v>
      </c>
      <c r="G3971">
        <v>202005</v>
      </c>
      <c r="H3971" t="s">
        <v>75</v>
      </c>
      <c r="I3971" t="s">
        <v>76</v>
      </c>
      <c r="J3971" t="s">
        <v>211</v>
      </c>
      <c r="K3971" t="s">
        <v>78</v>
      </c>
      <c r="L3971" t="s">
        <v>825</v>
      </c>
      <c r="M3971" t="s">
        <v>826</v>
      </c>
      <c r="N3971" t="s">
        <v>939</v>
      </c>
      <c r="O3971" t="s">
        <v>756</v>
      </c>
      <c r="P3971" t="str">
        <f>"2170719050                    "</f>
        <v xml:space="preserve">2170719050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12.07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2.8</v>
      </c>
      <c r="BJ3971">
        <v>0.9</v>
      </c>
      <c r="BK3971">
        <v>3</v>
      </c>
      <c r="BL3971" s="4">
        <v>70.95</v>
      </c>
      <c r="BM3971" s="4">
        <v>10.64</v>
      </c>
      <c r="BN3971" s="4">
        <v>81.59</v>
      </c>
      <c r="BO3971" s="4">
        <v>81.59</v>
      </c>
      <c r="BQ3971" t="s">
        <v>121</v>
      </c>
      <c r="BR3971" t="s">
        <v>212</v>
      </c>
      <c r="BS3971" s="3">
        <v>43797</v>
      </c>
      <c r="BT3971" s="5">
        <v>0.4375</v>
      </c>
      <c r="BU3971" t="s">
        <v>694</v>
      </c>
      <c r="BV3971" t="s">
        <v>86</v>
      </c>
      <c r="BY3971">
        <v>4605.28</v>
      </c>
      <c r="BZ3971" t="s">
        <v>27</v>
      </c>
      <c r="CC3971" t="s">
        <v>826</v>
      </c>
      <c r="CD3971">
        <v>1759</v>
      </c>
      <c r="CE3971" t="s">
        <v>88</v>
      </c>
      <c r="CI3971">
        <v>1</v>
      </c>
      <c r="CJ3971">
        <v>1</v>
      </c>
      <c r="CK3971">
        <v>34</v>
      </c>
      <c r="CL3971" t="s">
        <v>89</v>
      </c>
    </row>
    <row r="3972" spans="1:90">
      <c r="A3972" t="s">
        <v>72</v>
      </c>
      <c r="B3972" t="s">
        <v>73</v>
      </c>
      <c r="C3972" t="s">
        <v>74</v>
      </c>
      <c r="E3972" t="str">
        <f>"FES1162725387"</f>
        <v>FES1162725387</v>
      </c>
      <c r="F3972" s="3">
        <v>43796</v>
      </c>
      <c r="G3972">
        <v>202005</v>
      </c>
      <c r="H3972" t="s">
        <v>75</v>
      </c>
      <c r="I3972" t="s">
        <v>76</v>
      </c>
      <c r="J3972" t="s">
        <v>211</v>
      </c>
      <c r="K3972" t="s">
        <v>78</v>
      </c>
      <c r="L3972" t="s">
        <v>566</v>
      </c>
      <c r="M3972" t="s">
        <v>567</v>
      </c>
      <c r="N3972" t="s">
        <v>568</v>
      </c>
      <c r="O3972" t="s">
        <v>756</v>
      </c>
      <c r="P3972" t="str">
        <f>"2170717575                    "</f>
        <v xml:space="preserve">2170717575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19.32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5.2</v>
      </c>
      <c r="BJ3972">
        <v>2.1</v>
      </c>
      <c r="BK3972">
        <v>6</v>
      </c>
      <c r="BL3972" s="4">
        <v>113.54</v>
      </c>
      <c r="BM3972" s="4">
        <v>17.03</v>
      </c>
      <c r="BN3972" s="4">
        <v>130.57</v>
      </c>
      <c r="BO3972" s="4">
        <v>130.57</v>
      </c>
      <c r="BQ3972" t="s">
        <v>121</v>
      </c>
      <c r="BR3972" t="s">
        <v>212</v>
      </c>
      <c r="BS3972" s="3">
        <v>43797</v>
      </c>
      <c r="BT3972" s="5">
        <v>0.27083333333333331</v>
      </c>
      <c r="BU3972" t="s">
        <v>3466</v>
      </c>
      <c r="BV3972" t="s">
        <v>86</v>
      </c>
      <c r="BY3972">
        <v>10493.25</v>
      </c>
      <c r="BZ3972" t="s">
        <v>27</v>
      </c>
      <c r="CA3972" t="s">
        <v>3467</v>
      </c>
      <c r="CC3972" t="s">
        <v>567</v>
      </c>
      <c r="CD3972">
        <v>2410</v>
      </c>
      <c r="CE3972" t="s">
        <v>1598</v>
      </c>
      <c r="CI3972">
        <v>1</v>
      </c>
      <c r="CJ3972">
        <v>1</v>
      </c>
      <c r="CK3972">
        <v>34</v>
      </c>
      <c r="CL3972" t="s">
        <v>89</v>
      </c>
    </row>
    <row r="3973" spans="1:90">
      <c r="A3973" t="s">
        <v>72</v>
      </c>
      <c r="B3973" t="s">
        <v>73</v>
      </c>
      <c r="C3973" t="s">
        <v>74</v>
      </c>
      <c r="E3973" t="str">
        <f>"FES1162726049"</f>
        <v>FES1162726049</v>
      </c>
      <c r="F3973" s="3">
        <v>43798</v>
      </c>
      <c r="G3973">
        <v>202005</v>
      </c>
      <c r="H3973" t="s">
        <v>75</v>
      </c>
      <c r="I3973" t="s">
        <v>76</v>
      </c>
      <c r="J3973" t="s">
        <v>77</v>
      </c>
      <c r="K3973" t="s">
        <v>78</v>
      </c>
      <c r="L3973" t="s">
        <v>202</v>
      </c>
      <c r="M3973" t="s">
        <v>203</v>
      </c>
      <c r="N3973" t="s">
        <v>1455</v>
      </c>
      <c r="O3973" t="s">
        <v>82</v>
      </c>
      <c r="P3973" t="str">
        <f>"2170719518                    "</f>
        <v xml:space="preserve">2170719518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6.71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0.9</v>
      </c>
      <c r="BJ3973">
        <v>1.8</v>
      </c>
      <c r="BK3973">
        <v>2</v>
      </c>
      <c r="BL3973" s="4">
        <v>39.42</v>
      </c>
      <c r="BM3973" s="4">
        <v>5.91</v>
      </c>
      <c r="BN3973" s="4">
        <v>45.33</v>
      </c>
      <c r="BO3973" s="4">
        <v>45.33</v>
      </c>
      <c r="BQ3973" t="s">
        <v>1456</v>
      </c>
      <c r="BR3973" t="s">
        <v>84</v>
      </c>
      <c r="BS3973" t="s">
        <v>201</v>
      </c>
      <c r="BY3973">
        <v>9077.4500000000007</v>
      </c>
      <c r="CC3973" t="s">
        <v>203</v>
      </c>
      <c r="CD3973">
        <v>1422</v>
      </c>
      <c r="CE3973" t="s">
        <v>1598</v>
      </c>
      <c r="CI3973">
        <v>1</v>
      </c>
      <c r="CJ3973" t="s">
        <v>201</v>
      </c>
      <c r="CK3973">
        <v>22</v>
      </c>
      <c r="CL3973" t="s">
        <v>89</v>
      </c>
    </row>
    <row r="3974" spans="1:90">
      <c r="A3974" t="s">
        <v>72</v>
      </c>
      <c r="B3974" t="s">
        <v>73</v>
      </c>
      <c r="C3974" t="s">
        <v>74</v>
      </c>
      <c r="E3974" t="str">
        <f>"FES1162725817"</f>
        <v>FES1162725817</v>
      </c>
      <c r="F3974" s="3">
        <v>43798</v>
      </c>
      <c r="G3974">
        <v>202005</v>
      </c>
      <c r="H3974" t="s">
        <v>75</v>
      </c>
      <c r="I3974" t="s">
        <v>76</v>
      </c>
      <c r="J3974" t="s">
        <v>77</v>
      </c>
      <c r="K3974" t="s">
        <v>78</v>
      </c>
      <c r="L3974" t="s">
        <v>90</v>
      </c>
      <c r="M3974" t="s">
        <v>91</v>
      </c>
      <c r="N3974" t="s">
        <v>1236</v>
      </c>
      <c r="O3974" t="s">
        <v>82</v>
      </c>
      <c r="P3974" t="str">
        <f>"2170719387                    "</f>
        <v xml:space="preserve">2170719387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130.81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16.7</v>
      </c>
      <c r="BJ3974">
        <v>30.2</v>
      </c>
      <c r="BK3974">
        <v>30.5</v>
      </c>
      <c r="BL3974" s="4">
        <v>768.9</v>
      </c>
      <c r="BM3974" s="4">
        <v>115.34</v>
      </c>
      <c r="BN3974" s="4">
        <v>884.24</v>
      </c>
      <c r="BO3974" s="4">
        <v>884.24</v>
      </c>
      <c r="BQ3974" t="s">
        <v>109</v>
      </c>
      <c r="BR3974" t="s">
        <v>84</v>
      </c>
      <c r="BS3974" t="s">
        <v>201</v>
      </c>
      <c r="BY3974">
        <v>151122.35999999999</v>
      </c>
      <c r="CC3974" t="s">
        <v>91</v>
      </c>
      <c r="CD3974">
        <v>7441</v>
      </c>
      <c r="CE3974" t="s">
        <v>88</v>
      </c>
      <c r="CI3974">
        <v>1</v>
      </c>
      <c r="CJ3974" t="s">
        <v>201</v>
      </c>
      <c r="CK3974">
        <v>21</v>
      </c>
      <c r="CL3974" t="s">
        <v>89</v>
      </c>
    </row>
    <row r="3975" spans="1:90">
      <c r="A3975" t="s">
        <v>72</v>
      </c>
      <c r="B3975" t="s">
        <v>73</v>
      </c>
      <c r="C3975" t="s">
        <v>74</v>
      </c>
      <c r="E3975" t="str">
        <f>"FES1162725858"</f>
        <v>FES1162725858</v>
      </c>
      <c r="F3975" s="3">
        <v>43798</v>
      </c>
      <c r="G3975">
        <v>202005</v>
      </c>
      <c r="H3975" t="s">
        <v>75</v>
      </c>
      <c r="I3975" t="s">
        <v>76</v>
      </c>
      <c r="J3975" t="s">
        <v>77</v>
      </c>
      <c r="K3975" t="s">
        <v>78</v>
      </c>
      <c r="L3975" t="s">
        <v>605</v>
      </c>
      <c r="M3975" t="s">
        <v>606</v>
      </c>
      <c r="N3975" t="s">
        <v>607</v>
      </c>
      <c r="O3975" t="s">
        <v>82</v>
      </c>
      <c r="P3975" t="str">
        <f>"2170715982                    "</f>
        <v xml:space="preserve">2170715982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12.07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 s="4">
        <v>70.95</v>
      </c>
      <c r="BM3975" s="4">
        <v>10.64</v>
      </c>
      <c r="BN3975" s="4">
        <v>81.59</v>
      </c>
      <c r="BO3975" s="4">
        <v>81.59</v>
      </c>
      <c r="BQ3975" t="s">
        <v>109</v>
      </c>
      <c r="BR3975" t="s">
        <v>84</v>
      </c>
      <c r="BS3975" t="s">
        <v>201</v>
      </c>
      <c r="BY3975">
        <v>1200</v>
      </c>
      <c r="CC3975" t="s">
        <v>606</v>
      </c>
      <c r="CD3975">
        <v>208</v>
      </c>
      <c r="CE3975" t="s">
        <v>147</v>
      </c>
      <c r="CI3975">
        <v>1</v>
      </c>
      <c r="CJ3975" t="s">
        <v>201</v>
      </c>
      <c r="CK3975">
        <v>24</v>
      </c>
      <c r="CL3975" t="s">
        <v>89</v>
      </c>
    </row>
    <row r="3976" spans="1:90">
      <c r="A3976" t="s">
        <v>72</v>
      </c>
      <c r="B3976" t="s">
        <v>73</v>
      </c>
      <c r="C3976" t="s">
        <v>74</v>
      </c>
      <c r="E3976" t="str">
        <f>"FES1162725917"</f>
        <v>FES1162725917</v>
      </c>
      <c r="F3976" s="3">
        <v>43798</v>
      </c>
      <c r="G3976">
        <v>202005</v>
      </c>
      <c r="H3976" t="s">
        <v>75</v>
      </c>
      <c r="I3976" t="s">
        <v>76</v>
      </c>
      <c r="J3976" t="s">
        <v>77</v>
      </c>
      <c r="K3976" t="s">
        <v>78</v>
      </c>
      <c r="L3976" t="s">
        <v>605</v>
      </c>
      <c r="M3976" t="s">
        <v>606</v>
      </c>
      <c r="N3976" t="s">
        <v>785</v>
      </c>
      <c r="O3976" t="s">
        <v>82</v>
      </c>
      <c r="P3976" t="str">
        <f>"2170719456                    "</f>
        <v xml:space="preserve">2170719456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12.07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 s="4">
        <v>70.95</v>
      </c>
      <c r="BM3976" s="4">
        <v>10.64</v>
      </c>
      <c r="BN3976" s="4">
        <v>81.59</v>
      </c>
      <c r="BO3976" s="4">
        <v>81.59</v>
      </c>
      <c r="BQ3976" t="s">
        <v>109</v>
      </c>
      <c r="BR3976" t="s">
        <v>84</v>
      </c>
      <c r="BS3976" t="s">
        <v>201</v>
      </c>
      <c r="BY3976">
        <v>1200</v>
      </c>
      <c r="CC3976" t="s">
        <v>606</v>
      </c>
      <c r="CD3976">
        <v>407</v>
      </c>
      <c r="CE3976" t="s">
        <v>147</v>
      </c>
      <c r="CI3976">
        <v>1</v>
      </c>
      <c r="CJ3976" t="s">
        <v>201</v>
      </c>
      <c r="CK3976">
        <v>24</v>
      </c>
      <c r="CL3976" t="s">
        <v>89</v>
      </c>
    </row>
    <row r="3977" spans="1:90">
      <c r="A3977" t="s">
        <v>72</v>
      </c>
      <c r="B3977" t="s">
        <v>73</v>
      </c>
      <c r="C3977" t="s">
        <v>74</v>
      </c>
      <c r="E3977" t="str">
        <f>"FES1162725839"</f>
        <v>FES1162725839</v>
      </c>
      <c r="F3977" s="3">
        <v>43798</v>
      </c>
      <c r="G3977">
        <v>202005</v>
      </c>
      <c r="H3977" t="s">
        <v>75</v>
      </c>
      <c r="I3977" t="s">
        <v>76</v>
      </c>
      <c r="J3977" t="s">
        <v>77</v>
      </c>
      <c r="K3977" t="s">
        <v>78</v>
      </c>
      <c r="L3977" t="s">
        <v>101</v>
      </c>
      <c r="M3977" t="s">
        <v>102</v>
      </c>
      <c r="N3977" t="s">
        <v>2454</v>
      </c>
      <c r="O3977" t="s">
        <v>82</v>
      </c>
      <c r="P3977" t="str">
        <f>"2170719423                    "</f>
        <v xml:space="preserve">2170719423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8.58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 s="4">
        <v>50.45</v>
      </c>
      <c r="BM3977" s="4">
        <v>7.57</v>
      </c>
      <c r="BN3977" s="4">
        <v>58.02</v>
      </c>
      <c r="BO3977" s="4">
        <v>58.02</v>
      </c>
      <c r="BQ3977" t="s">
        <v>142</v>
      </c>
      <c r="BR3977" t="s">
        <v>84</v>
      </c>
      <c r="BS3977" t="s">
        <v>201</v>
      </c>
      <c r="BY3977">
        <v>1200</v>
      </c>
      <c r="CC3977" t="s">
        <v>102</v>
      </c>
      <c r="CD3977">
        <v>186</v>
      </c>
      <c r="CE3977" t="s">
        <v>147</v>
      </c>
      <c r="CI3977">
        <v>1</v>
      </c>
      <c r="CJ3977" t="s">
        <v>201</v>
      </c>
      <c r="CK3977">
        <v>21</v>
      </c>
      <c r="CL3977" t="s">
        <v>89</v>
      </c>
    </row>
    <row r="3978" spans="1:90">
      <c r="A3978" t="s">
        <v>72</v>
      </c>
      <c r="B3978" t="s">
        <v>73</v>
      </c>
      <c r="C3978" t="s">
        <v>74</v>
      </c>
      <c r="E3978" t="str">
        <f>"FES1162724669"</f>
        <v>FES1162724669</v>
      </c>
      <c r="F3978" s="3">
        <v>43791</v>
      </c>
      <c r="G3978">
        <v>202005</v>
      </c>
      <c r="H3978" t="s">
        <v>75</v>
      </c>
      <c r="I3978" t="s">
        <v>76</v>
      </c>
      <c r="J3978" t="s">
        <v>211</v>
      </c>
      <c r="K3978" t="s">
        <v>78</v>
      </c>
      <c r="L3978" t="s">
        <v>106</v>
      </c>
      <c r="M3978" t="s">
        <v>107</v>
      </c>
      <c r="N3978" t="s">
        <v>150</v>
      </c>
      <c r="O3978" t="s">
        <v>282</v>
      </c>
      <c r="P3978" t="str">
        <f>"2170718454                    "</f>
        <v xml:space="preserve">2170718454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31.11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15.5</v>
      </c>
      <c r="BJ3978">
        <v>32.9</v>
      </c>
      <c r="BK3978">
        <v>33</v>
      </c>
      <c r="BL3978" s="4">
        <v>187.88</v>
      </c>
      <c r="BM3978" s="4">
        <v>28.18</v>
      </c>
      <c r="BN3978" s="4">
        <v>216.06</v>
      </c>
      <c r="BO3978" s="4">
        <v>216.06</v>
      </c>
      <c r="BQ3978" t="s">
        <v>121</v>
      </c>
      <c r="BR3978" t="s">
        <v>212</v>
      </c>
      <c r="BS3978" s="3">
        <v>43794</v>
      </c>
      <c r="BT3978" s="5">
        <v>0.4236111111111111</v>
      </c>
      <c r="BU3978" t="s">
        <v>151</v>
      </c>
      <c r="BV3978" t="s">
        <v>86</v>
      </c>
      <c r="BY3978">
        <v>164384.64000000001</v>
      </c>
      <c r="CA3978" t="s">
        <v>111</v>
      </c>
      <c r="CC3978" t="s">
        <v>107</v>
      </c>
      <c r="CD3978">
        <v>6001</v>
      </c>
      <c r="CE3978" t="s">
        <v>88</v>
      </c>
      <c r="CF3978" s="3">
        <v>43795</v>
      </c>
      <c r="CI3978">
        <v>2</v>
      </c>
      <c r="CJ3978">
        <v>1</v>
      </c>
      <c r="CK3978" t="s">
        <v>1002</v>
      </c>
      <c r="CL3978" t="s">
        <v>89</v>
      </c>
    </row>
    <row r="3979" spans="1:90">
      <c r="A3979" t="s">
        <v>72</v>
      </c>
      <c r="B3979" t="s">
        <v>73</v>
      </c>
      <c r="C3979" t="s">
        <v>74</v>
      </c>
      <c r="E3979" t="str">
        <f>"FES1162725383"</f>
        <v>FES1162725383</v>
      </c>
      <c r="F3979" s="3">
        <v>43796</v>
      </c>
      <c r="G3979">
        <v>202005</v>
      </c>
      <c r="H3979" t="s">
        <v>75</v>
      </c>
      <c r="I3979" t="s">
        <v>76</v>
      </c>
      <c r="J3979" t="s">
        <v>211</v>
      </c>
      <c r="K3979" t="s">
        <v>78</v>
      </c>
      <c r="L3979" t="s">
        <v>999</v>
      </c>
      <c r="M3979" t="s">
        <v>91</v>
      </c>
      <c r="N3979" t="s">
        <v>401</v>
      </c>
      <c r="O3979" t="s">
        <v>282</v>
      </c>
      <c r="P3979" t="str">
        <f>"2170719141                    "</f>
        <v xml:space="preserve">2170719141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28.86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15.6</v>
      </c>
      <c r="BJ3979">
        <v>29.4</v>
      </c>
      <c r="BK3979">
        <v>30</v>
      </c>
      <c r="BL3979" s="4">
        <v>174.62</v>
      </c>
      <c r="BM3979" s="4">
        <v>26.19</v>
      </c>
      <c r="BN3979" s="4">
        <v>200.81</v>
      </c>
      <c r="BO3979" s="4">
        <v>200.81</v>
      </c>
      <c r="BQ3979" t="s">
        <v>121</v>
      </c>
      <c r="BR3979" t="s">
        <v>212</v>
      </c>
      <c r="BS3979" s="3">
        <v>43797</v>
      </c>
      <c r="BT3979" s="5">
        <v>0.36874999999999997</v>
      </c>
      <c r="BU3979" t="s">
        <v>402</v>
      </c>
      <c r="BV3979" t="s">
        <v>86</v>
      </c>
      <c r="BY3979">
        <v>146815.57999999999</v>
      </c>
      <c r="CA3979" t="s">
        <v>221</v>
      </c>
      <c r="CC3979" t="s">
        <v>91</v>
      </c>
      <c r="CD3979">
        <v>7441</v>
      </c>
      <c r="CE3979" t="s">
        <v>88</v>
      </c>
      <c r="CF3979" s="3">
        <v>43798</v>
      </c>
      <c r="CI3979">
        <v>2</v>
      </c>
      <c r="CJ3979">
        <v>1</v>
      </c>
      <c r="CK3979" t="s">
        <v>1002</v>
      </c>
      <c r="CL3979" t="s">
        <v>89</v>
      </c>
    </row>
    <row r="3980" spans="1:90">
      <c r="A3980" t="s">
        <v>72</v>
      </c>
      <c r="B3980" t="s">
        <v>73</v>
      </c>
      <c r="C3980" t="s">
        <v>74</v>
      </c>
      <c r="E3980" t="str">
        <f>"FES1162725381"</f>
        <v>FES1162725381</v>
      </c>
      <c r="F3980" s="3">
        <v>43796</v>
      </c>
      <c r="G3980">
        <v>202005</v>
      </c>
      <c r="H3980" t="s">
        <v>75</v>
      </c>
      <c r="I3980" t="s">
        <v>76</v>
      </c>
      <c r="J3980" t="s">
        <v>211</v>
      </c>
      <c r="K3980" t="s">
        <v>78</v>
      </c>
      <c r="L3980" t="s">
        <v>280</v>
      </c>
      <c r="M3980" t="s">
        <v>102</v>
      </c>
      <c r="N3980" t="s">
        <v>707</v>
      </c>
      <c r="O3980" t="s">
        <v>282</v>
      </c>
      <c r="P3980" t="str">
        <f>"2170719138                    "</f>
        <v xml:space="preserve">2170719138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14.75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6.4</v>
      </c>
      <c r="BJ3980">
        <v>12.4</v>
      </c>
      <c r="BK3980">
        <v>13</v>
      </c>
      <c r="BL3980" s="4">
        <v>91.71</v>
      </c>
      <c r="BM3980" s="4">
        <v>13.76</v>
      </c>
      <c r="BN3980" s="4">
        <v>105.47</v>
      </c>
      <c r="BO3980" s="4">
        <v>105.47</v>
      </c>
      <c r="BQ3980" t="s">
        <v>121</v>
      </c>
      <c r="BR3980" t="s">
        <v>212</v>
      </c>
      <c r="BS3980" s="3">
        <v>43797</v>
      </c>
      <c r="BT3980" s="5">
        <v>0.375</v>
      </c>
      <c r="BU3980" t="s">
        <v>708</v>
      </c>
      <c r="BV3980" t="s">
        <v>86</v>
      </c>
      <c r="BY3980">
        <v>62206.85</v>
      </c>
      <c r="CA3980" t="s">
        <v>709</v>
      </c>
      <c r="CC3980" t="s">
        <v>102</v>
      </c>
      <c r="CD3980">
        <v>1</v>
      </c>
      <c r="CE3980" t="s">
        <v>1598</v>
      </c>
      <c r="CF3980" s="3">
        <v>43798</v>
      </c>
      <c r="CI3980">
        <v>0</v>
      </c>
      <c r="CJ3980">
        <v>0</v>
      </c>
      <c r="CK3980" t="s">
        <v>285</v>
      </c>
      <c r="CL3980" t="s">
        <v>89</v>
      </c>
    </row>
    <row r="3981" spans="1:90">
      <c r="A3981" t="s">
        <v>72</v>
      </c>
      <c r="B3981" t="s">
        <v>73</v>
      </c>
      <c r="C3981" t="s">
        <v>74</v>
      </c>
      <c r="E3981" t="str">
        <f>"FES1162725736"</f>
        <v>FES1162725736</v>
      </c>
      <c r="F3981" s="3">
        <v>43798</v>
      </c>
      <c r="G3981">
        <v>202005</v>
      </c>
      <c r="H3981" t="s">
        <v>75</v>
      </c>
      <c r="I3981" t="s">
        <v>76</v>
      </c>
      <c r="J3981" t="s">
        <v>77</v>
      </c>
      <c r="K3981" t="s">
        <v>78</v>
      </c>
      <c r="L3981" t="s">
        <v>917</v>
      </c>
      <c r="M3981" t="s">
        <v>918</v>
      </c>
      <c r="N3981" t="s">
        <v>2754</v>
      </c>
      <c r="O3981" t="s">
        <v>282</v>
      </c>
      <c r="P3981" t="str">
        <f>"2170717305                    "</f>
        <v xml:space="preserve">2170717305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38.450000000000003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2</v>
      </c>
      <c r="BI3981">
        <v>30</v>
      </c>
      <c r="BJ3981">
        <v>52.4</v>
      </c>
      <c r="BK3981">
        <v>53</v>
      </c>
      <c r="BL3981" s="4">
        <v>231.01</v>
      </c>
      <c r="BM3981" s="4">
        <v>34.65</v>
      </c>
      <c r="BN3981" s="4">
        <v>265.66000000000003</v>
      </c>
      <c r="BO3981" s="4">
        <v>265.66000000000003</v>
      </c>
      <c r="BQ3981" t="s">
        <v>2755</v>
      </c>
      <c r="BR3981" t="s">
        <v>84</v>
      </c>
      <c r="BS3981" t="s">
        <v>201</v>
      </c>
      <c r="BY3981">
        <v>261807.5</v>
      </c>
      <c r="CC3981" t="s">
        <v>918</v>
      </c>
      <c r="CD3981">
        <v>2210</v>
      </c>
      <c r="CE3981" t="s">
        <v>2197</v>
      </c>
      <c r="CI3981">
        <v>1</v>
      </c>
      <c r="CJ3981" t="s">
        <v>201</v>
      </c>
      <c r="CK3981" t="s">
        <v>289</v>
      </c>
      <c r="CL3981" t="s">
        <v>89</v>
      </c>
    </row>
    <row r="3982" spans="1:90">
      <c r="A3982" t="s">
        <v>72</v>
      </c>
      <c r="B3982" t="s">
        <v>73</v>
      </c>
      <c r="C3982" t="s">
        <v>74</v>
      </c>
      <c r="E3982" t="str">
        <f>"009939531059"</f>
        <v>009939531059</v>
      </c>
      <c r="F3982" s="3">
        <v>43798</v>
      </c>
      <c r="G3982">
        <v>202005</v>
      </c>
      <c r="H3982" t="s">
        <v>2178</v>
      </c>
      <c r="I3982" t="s">
        <v>2179</v>
      </c>
      <c r="J3982" t="s">
        <v>3468</v>
      </c>
      <c r="K3982" t="s">
        <v>78</v>
      </c>
      <c r="L3982" t="s">
        <v>75</v>
      </c>
      <c r="M3982" t="s">
        <v>76</v>
      </c>
      <c r="N3982" t="s">
        <v>211</v>
      </c>
      <c r="O3982" t="s">
        <v>282</v>
      </c>
      <c r="P3982" t="str">
        <f>"                              "</f>
        <v xml:space="preserve">          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20.92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3.8</v>
      </c>
      <c r="BJ3982">
        <v>3.2</v>
      </c>
      <c r="BK3982">
        <v>4</v>
      </c>
      <c r="BL3982" s="4">
        <v>127.98</v>
      </c>
      <c r="BM3982" s="4">
        <v>19.2</v>
      </c>
      <c r="BN3982" s="4">
        <v>147.18</v>
      </c>
      <c r="BO3982" s="4">
        <v>147.18</v>
      </c>
      <c r="BR3982" t="s">
        <v>3469</v>
      </c>
      <c r="BS3982" t="s">
        <v>201</v>
      </c>
      <c r="BY3982">
        <v>15912</v>
      </c>
      <c r="CC3982" t="s">
        <v>76</v>
      </c>
      <c r="CD3982">
        <v>1600</v>
      </c>
      <c r="CE3982" t="s">
        <v>88</v>
      </c>
      <c r="CI3982">
        <v>1</v>
      </c>
      <c r="CJ3982" t="s">
        <v>201</v>
      </c>
      <c r="CK3982" t="s">
        <v>3470</v>
      </c>
      <c r="CL3982" t="s">
        <v>89</v>
      </c>
    </row>
    <row r="3983" spans="1:90">
      <c r="A3983" t="s">
        <v>72</v>
      </c>
      <c r="B3983" t="s">
        <v>73</v>
      </c>
      <c r="C3983" t="s">
        <v>74</v>
      </c>
      <c r="E3983" t="str">
        <f>"FES1162723687"</f>
        <v>FES1162723687</v>
      </c>
      <c r="F3983" s="3">
        <v>43787</v>
      </c>
      <c r="G3983">
        <v>202005</v>
      </c>
      <c r="H3983" t="s">
        <v>75</v>
      </c>
      <c r="I3983" t="s">
        <v>76</v>
      </c>
      <c r="J3983" t="s">
        <v>211</v>
      </c>
      <c r="K3983" t="s">
        <v>78</v>
      </c>
      <c r="L3983" t="s">
        <v>825</v>
      </c>
      <c r="M3983" t="s">
        <v>826</v>
      </c>
      <c r="N3983" t="s">
        <v>2862</v>
      </c>
      <c r="O3983" t="s">
        <v>282</v>
      </c>
      <c r="P3983" t="str">
        <f>"2170717468                    "</f>
        <v xml:space="preserve">2170717468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18.53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19.2</v>
      </c>
      <c r="BJ3983">
        <v>30.4</v>
      </c>
      <c r="BK3983">
        <v>31</v>
      </c>
      <c r="BL3983" s="4">
        <v>113.93</v>
      </c>
      <c r="BM3983" s="4">
        <v>17.09</v>
      </c>
      <c r="BN3983" s="4">
        <v>131.02000000000001</v>
      </c>
      <c r="BO3983" s="4">
        <v>131.02000000000001</v>
      </c>
      <c r="BQ3983" t="s">
        <v>121</v>
      </c>
      <c r="BR3983" t="s">
        <v>212</v>
      </c>
      <c r="BS3983" s="3">
        <v>43788</v>
      </c>
      <c r="BT3983" s="5">
        <v>0.375</v>
      </c>
      <c r="BU3983" t="s">
        <v>694</v>
      </c>
      <c r="BV3983" t="s">
        <v>86</v>
      </c>
      <c r="BY3983">
        <v>152077.20000000001</v>
      </c>
      <c r="CC3983" t="s">
        <v>826</v>
      </c>
      <c r="CD3983">
        <v>1759</v>
      </c>
      <c r="CE3983" t="s">
        <v>88</v>
      </c>
      <c r="CF3983" s="3">
        <v>43798</v>
      </c>
      <c r="CI3983">
        <v>1</v>
      </c>
      <c r="CJ3983">
        <v>1</v>
      </c>
      <c r="CK3983" t="s">
        <v>379</v>
      </c>
      <c r="CL3983" t="s">
        <v>89</v>
      </c>
    </row>
    <row r="3984" spans="1:90">
      <c r="A3984" t="s">
        <v>72</v>
      </c>
      <c r="B3984" t="s">
        <v>73</v>
      </c>
      <c r="C3984" t="s">
        <v>74</v>
      </c>
      <c r="E3984" t="str">
        <f>"FES1162723920"</f>
        <v>FES1162723920</v>
      </c>
      <c r="F3984" s="3">
        <v>43789</v>
      </c>
      <c r="G3984">
        <v>202005</v>
      </c>
      <c r="H3984" t="s">
        <v>75</v>
      </c>
      <c r="I3984" t="s">
        <v>76</v>
      </c>
      <c r="J3984" t="s">
        <v>211</v>
      </c>
      <c r="K3984" t="s">
        <v>78</v>
      </c>
      <c r="L3984" t="s">
        <v>280</v>
      </c>
      <c r="M3984" t="s">
        <v>102</v>
      </c>
      <c r="N3984" t="s">
        <v>707</v>
      </c>
      <c r="O3984" t="s">
        <v>282</v>
      </c>
      <c r="P3984" t="str">
        <f>"2170716337                    "</f>
        <v xml:space="preserve">2170716337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14.75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11.9</v>
      </c>
      <c r="BJ3984">
        <v>8.1999999999999993</v>
      </c>
      <c r="BK3984">
        <v>12</v>
      </c>
      <c r="BL3984" s="4">
        <v>91.71</v>
      </c>
      <c r="BM3984" s="4">
        <v>13.76</v>
      </c>
      <c r="BN3984" s="4">
        <v>105.47</v>
      </c>
      <c r="BO3984" s="4">
        <v>105.47</v>
      </c>
      <c r="BQ3984" t="s">
        <v>121</v>
      </c>
      <c r="BR3984" t="s">
        <v>212</v>
      </c>
      <c r="BS3984" s="3">
        <v>43790</v>
      </c>
      <c r="BT3984" s="5">
        <v>0.375</v>
      </c>
      <c r="BU3984" t="s">
        <v>708</v>
      </c>
      <c r="BV3984" t="s">
        <v>86</v>
      </c>
      <c r="BY3984">
        <v>40816.79</v>
      </c>
      <c r="CA3984" t="s">
        <v>709</v>
      </c>
      <c r="CC3984" t="s">
        <v>102</v>
      </c>
      <c r="CD3984">
        <v>1</v>
      </c>
      <c r="CE3984" t="s">
        <v>88</v>
      </c>
      <c r="CF3984" s="3">
        <v>43791</v>
      </c>
      <c r="CI3984">
        <v>0</v>
      </c>
      <c r="CJ3984">
        <v>0</v>
      </c>
      <c r="CK3984" t="s">
        <v>285</v>
      </c>
      <c r="CL3984" t="s">
        <v>89</v>
      </c>
    </row>
    <row r="3985" spans="1:90">
      <c r="A3985" t="s">
        <v>72</v>
      </c>
      <c r="B3985" t="s">
        <v>73</v>
      </c>
      <c r="C3985" t="s">
        <v>74</v>
      </c>
      <c r="E3985" t="str">
        <f>"FES1162724003"</f>
        <v>FES1162724003</v>
      </c>
      <c r="F3985" s="3">
        <v>43789</v>
      </c>
      <c r="G3985">
        <v>202005</v>
      </c>
      <c r="H3985" t="s">
        <v>75</v>
      </c>
      <c r="I3985" t="s">
        <v>76</v>
      </c>
      <c r="J3985" t="s">
        <v>211</v>
      </c>
      <c r="K3985" t="s">
        <v>78</v>
      </c>
      <c r="L3985" t="s">
        <v>339</v>
      </c>
      <c r="M3985" t="s">
        <v>340</v>
      </c>
      <c r="N3985" t="s">
        <v>2316</v>
      </c>
      <c r="O3985" t="s">
        <v>282</v>
      </c>
      <c r="P3985" t="str">
        <f>"2170714952                    "</f>
        <v xml:space="preserve">2170714952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14.75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9.6999999999999993</v>
      </c>
      <c r="BJ3985">
        <v>8.4</v>
      </c>
      <c r="BK3985">
        <v>10</v>
      </c>
      <c r="BL3985" s="4">
        <v>91.71</v>
      </c>
      <c r="BM3985" s="4">
        <v>13.76</v>
      </c>
      <c r="BN3985" s="4">
        <v>105.47</v>
      </c>
      <c r="BO3985" s="4">
        <v>105.47</v>
      </c>
      <c r="BQ3985" t="s">
        <v>142</v>
      </c>
      <c r="BR3985" t="s">
        <v>212</v>
      </c>
      <c r="BS3985" s="3">
        <v>43790</v>
      </c>
      <c r="BT3985" s="5">
        <v>0.3527777777777778</v>
      </c>
      <c r="BU3985" t="s">
        <v>3471</v>
      </c>
      <c r="BV3985" t="s">
        <v>86</v>
      </c>
      <c r="BY3985">
        <v>42181.64</v>
      </c>
      <c r="CA3985" t="s">
        <v>343</v>
      </c>
      <c r="CC3985" t="s">
        <v>340</v>
      </c>
      <c r="CD3985">
        <v>157</v>
      </c>
      <c r="CE3985" t="s">
        <v>88</v>
      </c>
      <c r="CF3985" s="3">
        <v>43791</v>
      </c>
      <c r="CI3985">
        <v>0</v>
      </c>
      <c r="CJ3985">
        <v>0</v>
      </c>
      <c r="CK3985" t="s">
        <v>285</v>
      </c>
      <c r="CL3985" t="s">
        <v>89</v>
      </c>
    </row>
    <row r="3986" spans="1:90">
      <c r="A3986" t="s">
        <v>72</v>
      </c>
      <c r="B3986" t="s">
        <v>73</v>
      </c>
      <c r="C3986" t="s">
        <v>74</v>
      </c>
      <c r="E3986" t="str">
        <f>"FES1162723968"</f>
        <v>FES1162723968</v>
      </c>
      <c r="F3986" s="3">
        <v>43789</v>
      </c>
      <c r="G3986">
        <v>202005</v>
      </c>
      <c r="H3986" t="s">
        <v>75</v>
      </c>
      <c r="I3986" t="s">
        <v>76</v>
      </c>
      <c r="J3986" t="s">
        <v>211</v>
      </c>
      <c r="K3986" t="s">
        <v>78</v>
      </c>
      <c r="L3986" t="s">
        <v>112</v>
      </c>
      <c r="M3986" t="s">
        <v>113</v>
      </c>
      <c r="N3986" t="s">
        <v>423</v>
      </c>
      <c r="O3986" t="s">
        <v>282</v>
      </c>
      <c r="P3986" t="str">
        <f>"2170717950                    "</f>
        <v xml:space="preserve">2170717950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19.7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15.9</v>
      </c>
      <c r="BJ3986">
        <v>29.2</v>
      </c>
      <c r="BK3986">
        <v>30</v>
      </c>
      <c r="BL3986" s="4">
        <v>120.78</v>
      </c>
      <c r="BM3986" s="4">
        <v>18.12</v>
      </c>
      <c r="BN3986" s="4">
        <v>138.9</v>
      </c>
      <c r="BO3986" s="4">
        <v>138.9</v>
      </c>
      <c r="BQ3986" t="s">
        <v>424</v>
      </c>
      <c r="BR3986" t="s">
        <v>212</v>
      </c>
      <c r="BS3986" s="3">
        <v>43790</v>
      </c>
      <c r="BT3986" s="5">
        <v>0.33958333333333335</v>
      </c>
      <c r="BU3986" t="s">
        <v>3472</v>
      </c>
      <c r="BV3986" t="s">
        <v>86</v>
      </c>
      <c r="BY3986">
        <v>145891.37</v>
      </c>
      <c r="CA3986" t="s">
        <v>426</v>
      </c>
      <c r="CC3986" t="s">
        <v>113</v>
      </c>
      <c r="CD3986">
        <v>4001</v>
      </c>
      <c r="CE3986" t="s">
        <v>88</v>
      </c>
      <c r="CF3986" s="3">
        <v>43791</v>
      </c>
      <c r="CI3986">
        <v>1</v>
      </c>
      <c r="CJ3986">
        <v>1</v>
      </c>
      <c r="CK3986" t="s">
        <v>711</v>
      </c>
      <c r="CL3986" t="s">
        <v>89</v>
      </c>
    </row>
    <row r="3987" spans="1:90">
      <c r="A3987" t="s">
        <v>72</v>
      </c>
      <c r="B3987" t="s">
        <v>73</v>
      </c>
      <c r="C3987" t="s">
        <v>74</v>
      </c>
      <c r="E3987" t="str">
        <f>"FES1162724082"</f>
        <v>FES1162724082</v>
      </c>
      <c r="F3987" s="3">
        <v>43789</v>
      </c>
      <c r="G3987">
        <v>202005</v>
      </c>
      <c r="H3987" t="s">
        <v>75</v>
      </c>
      <c r="I3987" t="s">
        <v>76</v>
      </c>
      <c r="J3987" t="s">
        <v>211</v>
      </c>
      <c r="K3987" t="s">
        <v>78</v>
      </c>
      <c r="L3987" t="s">
        <v>280</v>
      </c>
      <c r="M3987" t="s">
        <v>102</v>
      </c>
      <c r="N3987" t="s">
        <v>1857</v>
      </c>
      <c r="O3987" t="s">
        <v>282</v>
      </c>
      <c r="P3987" t="str">
        <f>"217076121                     "</f>
        <v xml:space="preserve">217076121 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14.75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8.4</v>
      </c>
      <c r="BJ3987">
        <v>3.9</v>
      </c>
      <c r="BK3987">
        <v>9</v>
      </c>
      <c r="BL3987" s="4">
        <v>91.71</v>
      </c>
      <c r="BM3987" s="4">
        <v>13.76</v>
      </c>
      <c r="BN3987" s="4">
        <v>105.47</v>
      </c>
      <c r="BO3987" s="4">
        <v>105.47</v>
      </c>
      <c r="BQ3987" t="s">
        <v>121</v>
      </c>
      <c r="BR3987" t="s">
        <v>212</v>
      </c>
      <c r="BS3987" s="3">
        <v>43790</v>
      </c>
      <c r="BT3987" s="5">
        <v>0.42708333333333331</v>
      </c>
      <c r="BU3987" t="s">
        <v>1039</v>
      </c>
      <c r="BV3987" t="s">
        <v>86</v>
      </c>
      <c r="BY3987">
        <v>19517.560000000001</v>
      </c>
      <c r="CA3987" t="s">
        <v>123</v>
      </c>
      <c r="CC3987" t="s">
        <v>102</v>
      </c>
      <c r="CD3987">
        <v>200</v>
      </c>
      <c r="CE3987" t="s">
        <v>88</v>
      </c>
      <c r="CF3987" s="3">
        <v>43791</v>
      </c>
      <c r="CI3987">
        <v>0</v>
      </c>
      <c r="CJ3987">
        <v>0</v>
      </c>
      <c r="CK3987" t="s">
        <v>285</v>
      </c>
      <c r="CL3987" t="s">
        <v>89</v>
      </c>
    </row>
    <row r="3988" spans="1:90">
      <c r="A3988" t="s">
        <v>72</v>
      </c>
      <c r="B3988" t="s">
        <v>73</v>
      </c>
      <c r="C3988" t="s">
        <v>74</v>
      </c>
      <c r="E3988" t="str">
        <f>"FES1162724127"</f>
        <v>FES1162724127</v>
      </c>
      <c r="F3988" s="3">
        <v>43789</v>
      </c>
      <c r="G3988">
        <v>202005</v>
      </c>
      <c r="H3988" t="s">
        <v>75</v>
      </c>
      <c r="I3988" t="s">
        <v>76</v>
      </c>
      <c r="J3988" t="s">
        <v>211</v>
      </c>
      <c r="K3988" t="s">
        <v>78</v>
      </c>
      <c r="L3988" t="s">
        <v>3473</v>
      </c>
      <c r="M3988" t="s">
        <v>3474</v>
      </c>
      <c r="N3988" t="s">
        <v>2350</v>
      </c>
      <c r="O3988" t="s">
        <v>282</v>
      </c>
      <c r="P3988" t="str">
        <f>"2170718091                    "</f>
        <v xml:space="preserve">2170718091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17.57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5.6</v>
      </c>
      <c r="BJ3988">
        <v>1.5</v>
      </c>
      <c r="BK3988">
        <v>6</v>
      </c>
      <c r="BL3988" s="4">
        <v>108.28</v>
      </c>
      <c r="BM3988" s="4">
        <v>16.239999999999998</v>
      </c>
      <c r="BN3988" s="4">
        <v>124.52</v>
      </c>
      <c r="BO3988" s="4">
        <v>124.52</v>
      </c>
      <c r="BQ3988" t="s">
        <v>121</v>
      </c>
      <c r="BR3988" t="s">
        <v>212</v>
      </c>
      <c r="BS3988" s="3">
        <v>43795</v>
      </c>
      <c r="BT3988" s="5">
        <v>0.51666666666666672</v>
      </c>
      <c r="BU3988" t="s">
        <v>2814</v>
      </c>
      <c r="BV3988" t="s">
        <v>89</v>
      </c>
      <c r="BW3988" t="s">
        <v>371</v>
      </c>
      <c r="BX3988" t="s">
        <v>372</v>
      </c>
      <c r="BY3988">
        <v>7658.46</v>
      </c>
      <c r="CA3988" t="s">
        <v>123</v>
      </c>
      <c r="CC3988" t="s">
        <v>3474</v>
      </c>
      <c r="CD3988">
        <v>4490</v>
      </c>
      <c r="CE3988" t="s">
        <v>88</v>
      </c>
      <c r="CF3988" s="3">
        <v>43797</v>
      </c>
      <c r="CI3988">
        <v>2</v>
      </c>
      <c r="CJ3988">
        <v>4</v>
      </c>
      <c r="CK3988" t="s">
        <v>994</v>
      </c>
      <c r="CL3988" t="s">
        <v>89</v>
      </c>
    </row>
    <row r="3989" spans="1:90">
      <c r="A3989" t="s">
        <v>72</v>
      </c>
      <c r="B3989" t="s">
        <v>73</v>
      </c>
      <c r="C3989" t="s">
        <v>74</v>
      </c>
      <c r="E3989" t="str">
        <f>"FES1162724533"</f>
        <v>FES1162724533</v>
      </c>
      <c r="F3989" s="3">
        <v>43790</v>
      </c>
      <c r="G3989">
        <v>202005</v>
      </c>
      <c r="H3989" t="s">
        <v>75</v>
      </c>
      <c r="I3989" t="s">
        <v>76</v>
      </c>
      <c r="J3989" t="s">
        <v>211</v>
      </c>
      <c r="K3989" t="s">
        <v>78</v>
      </c>
      <c r="L3989" t="s">
        <v>280</v>
      </c>
      <c r="M3989" t="s">
        <v>102</v>
      </c>
      <c r="N3989" t="s">
        <v>3475</v>
      </c>
      <c r="O3989" t="s">
        <v>282</v>
      </c>
      <c r="P3989" t="str">
        <f>"2170718286                    "</f>
        <v xml:space="preserve">2170718286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14.75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1.9</v>
      </c>
      <c r="BJ3989">
        <v>4.5999999999999996</v>
      </c>
      <c r="BK3989">
        <v>5</v>
      </c>
      <c r="BL3989" s="4">
        <v>91.71</v>
      </c>
      <c r="BM3989" s="4">
        <v>13.76</v>
      </c>
      <c r="BN3989" s="4">
        <v>105.47</v>
      </c>
      <c r="BO3989" s="4">
        <v>105.47</v>
      </c>
      <c r="BQ3989" t="s">
        <v>121</v>
      </c>
      <c r="BR3989" t="s">
        <v>212</v>
      </c>
      <c r="BS3989" s="3">
        <v>43792</v>
      </c>
      <c r="BT3989" s="5">
        <v>0.35555555555555557</v>
      </c>
      <c r="BU3989" t="s">
        <v>3476</v>
      </c>
      <c r="BV3989" t="s">
        <v>89</v>
      </c>
      <c r="BW3989" t="s">
        <v>319</v>
      </c>
      <c r="BX3989" t="s">
        <v>474</v>
      </c>
      <c r="BY3989">
        <v>22896</v>
      </c>
      <c r="CC3989" t="s">
        <v>102</v>
      </c>
      <c r="CD3989">
        <v>56</v>
      </c>
      <c r="CE3989" t="s">
        <v>88</v>
      </c>
      <c r="CF3989" s="3">
        <v>43795</v>
      </c>
      <c r="CI3989">
        <v>0</v>
      </c>
      <c r="CJ3989">
        <v>0</v>
      </c>
      <c r="CK3989" t="s">
        <v>285</v>
      </c>
      <c r="CL3989" t="s">
        <v>89</v>
      </c>
    </row>
    <row r="3990" spans="1:90">
      <c r="A3990" t="s">
        <v>72</v>
      </c>
      <c r="B3990" t="s">
        <v>73</v>
      </c>
      <c r="C3990" t="s">
        <v>74</v>
      </c>
      <c r="E3990" t="str">
        <f>"FES1162724452"</f>
        <v>FES1162724452</v>
      </c>
      <c r="F3990" s="3">
        <v>43791</v>
      </c>
      <c r="G3990">
        <v>202005</v>
      </c>
      <c r="H3990" t="s">
        <v>75</v>
      </c>
      <c r="I3990" t="s">
        <v>76</v>
      </c>
      <c r="J3990" t="s">
        <v>211</v>
      </c>
      <c r="K3990" t="s">
        <v>78</v>
      </c>
      <c r="L3990" t="s">
        <v>133</v>
      </c>
      <c r="M3990" t="s">
        <v>134</v>
      </c>
      <c r="N3990" t="s">
        <v>310</v>
      </c>
      <c r="O3990" t="s">
        <v>282</v>
      </c>
      <c r="P3990" t="str">
        <f>"2170718203                    "</f>
        <v xml:space="preserve">2170718203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29.61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15.9</v>
      </c>
      <c r="BJ3990">
        <v>30.2</v>
      </c>
      <c r="BK3990">
        <v>31</v>
      </c>
      <c r="BL3990" s="4">
        <v>179.04</v>
      </c>
      <c r="BM3990" s="4">
        <v>26.86</v>
      </c>
      <c r="BN3990" s="4">
        <v>205.9</v>
      </c>
      <c r="BO3990" s="4">
        <v>205.9</v>
      </c>
      <c r="BQ3990" t="s">
        <v>121</v>
      </c>
      <c r="BR3990" t="s">
        <v>212</v>
      </c>
      <c r="BS3990" s="3">
        <v>43794</v>
      </c>
      <c r="BT3990" s="5">
        <v>0.36249999999999999</v>
      </c>
      <c r="BU3990" t="s">
        <v>1108</v>
      </c>
      <c r="BV3990" t="s">
        <v>86</v>
      </c>
      <c r="BY3990">
        <v>151230.82999999999</v>
      </c>
      <c r="CA3990" t="s">
        <v>2805</v>
      </c>
      <c r="CC3990" t="s">
        <v>134</v>
      </c>
      <c r="CD3990">
        <v>5201</v>
      </c>
      <c r="CE3990" t="s">
        <v>88</v>
      </c>
      <c r="CF3990" s="3">
        <v>43795</v>
      </c>
      <c r="CI3990">
        <v>2</v>
      </c>
      <c r="CJ3990">
        <v>1</v>
      </c>
      <c r="CK3990" t="s">
        <v>994</v>
      </c>
      <c r="CL3990" t="s">
        <v>89</v>
      </c>
    </row>
    <row r="3991" spans="1:90">
      <c r="A3991" t="s">
        <v>72</v>
      </c>
      <c r="B3991" t="s">
        <v>73</v>
      </c>
      <c r="C3991" t="s">
        <v>74</v>
      </c>
      <c r="E3991" t="str">
        <f>"FES1162724648"</f>
        <v>FES1162724648</v>
      </c>
      <c r="F3991" s="3">
        <v>43791</v>
      </c>
      <c r="G3991">
        <v>202005</v>
      </c>
      <c r="H3991" t="s">
        <v>75</v>
      </c>
      <c r="I3991" t="s">
        <v>76</v>
      </c>
      <c r="J3991" t="s">
        <v>211</v>
      </c>
      <c r="K3991" t="s">
        <v>78</v>
      </c>
      <c r="L3991" t="s">
        <v>280</v>
      </c>
      <c r="M3991" t="s">
        <v>102</v>
      </c>
      <c r="N3991" t="s">
        <v>1857</v>
      </c>
      <c r="O3991" t="s">
        <v>282</v>
      </c>
      <c r="P3991" t="str">
        <f>"2170718432                    "</f>
        <v xml:space="preserve">2170718432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14.75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12.8</v>
      </c>
      <c r="BJ3991">
        <v>4.2</v>
      </c>
      <c r="BK3991">
        <v>13</v>
      </c>
      <c r="BL3991" s="4">
        <v>91.71</v>
      </c>
      <c r="BM3991" s="4">
        <v>13.76</v>
      </c>
      <c r="BN3991" s="4">
        <v>105.47</v>
      </c>
      <c r="BO3991" s="4">
        <v>105.47</v>
      </c>
      <c r="BQ3991" t="s">
        <v>121</v>
      </c>
      <c r="BR3991" t="s">
        <v>212</v>
      </c>
      <c r="BS3991" s="3">
        <v>43794</v>
      </c>
      <c r="BT3991" s="5">
        <v>0.38194444444444442</v>
      </c>
      <c r="BU3991" t="s">
        <v>295</v>
      </c>
      <c r="BV3991" t="s">
        <v>86</v>
      </c>
      <c r="BY3991">
        <v>21040.32</v>
      </c>
      <c r="CC3991" t="s">
        <v>102</v>
      </c>
      <c r="CD3991">
        <v>200</v>
      </c>
      <c r="CE3991" t="s">
        <v>88</v>
      </c>
      <c r="CF3991" s="3">
        <v>43795</v>
      </c>
      <c r="CI3991">
        <v>0</v>
      </c>
      <c r="CJ3991">
        <v>0</v>
      </c>
      <c r="CK3991" t="s">
        <v>285</v>
      </c>
      <c r="CL3991" t="s">
        <v>89</v>
      </c>
    </row>
    <row r="3992" spans="1:90">
      <c r="A3992" t="s">
        <v>72</v>
      </c>
      <c r="B3992" t="s">
        <v>73</v>
      </c>
      <c r="C3992" t="s">
        <v>74</v>
      </c>
      <c r="E3992" t="str">
        <f>"FES1162725876"</f>
        <v>FES1162725876</v>
      </c>
      <c r="F3992" s="3">
        <v>43798</v>
      </c>
      <c r="G3992">
        <v>202005</v>
      </c>
      <c r="H3992" t="s">
        <v>75</v>
      </c>
      <c r="I3992" t="s">
        <v>76</v>
      </c>
      <c r="J3992" t="s">
        <v>77</v>
      </c>
      <c r="K3992" t="s">
        <v>78</v>
      </c>
      <c r="L3992" t="s">
        <v>106</v>
      </c>
      <c r="M3992" t="s">
        <v>107</v>
      </c>
      <c r="N3992" t="s">
        <v>1974</v>
      </c>
      <c r="O3992" t="s">
        <v>82</v>
      </c>
      <c r="P3992" t="str">
        <f>"2170717050                    "</f>
        <v xml:space="preserve">2170717050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8.58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 s="4">
        <v>50.45</v>
      </c>
      <c r="BM3992" s="4">
        <v>7.57</v>
      </c>
      <c r="BN3992" s="4">
        <v>58.02</v>
      </c>
      <c r="BO3992" s="4">
        <v>58.02</v>
      </c>
      <c r="BQ3992" t="s">
        <v>1975</v>
      </c>
      <c r="BR3992" t="s">
        <v>84</v>
      </c>
      <c r="BS3992" t="s">
        <v>201</v>
      </c>
      <c r="BY3992">
        <v>1200</v>
      </c>
      <c r="CC3992" t="s">
        <v>107</v>
      </c>
      <c r="CD3992">
        <v>6012</v>
      </c>
      <c r="CE3992" t="s">
        <v>147</v>
      </c>
      <c r="CI3992">
        <v>1</v>
      </c>
      <c r="CJ3992" t="s">
        <v>201</v>
      </c>
      <c r="CK3992">
        <v>21</v>
      </c>
      <c r="CL3992" t="s">
        <v>89</v>
      </c>
    </row>
    <row r="3993" spans="1:90">
      <c r="A3993" t="s">
        <v>72</v>
      </c>
      <c r="B3993" t="s">
        <v>73</v>
      </c>
      <c r="C3993" t="s">
        <v>74</v>
      </c>
      <c r="E3993" t="str">
        <f>"FES1162726096"</f>
        <v>FES1162726096</v>
      </c>
      <c r="F3993" s="3">
        <v>43798</v>
      </c>
      <c r="G3993">
        <v>202005</v>
      </c>
      <c r="H3993" t="s">
        <v>75</v>
      </c>
      <c r="I3993" t="s">
        <v>76</v>
      </c>
      <c r="J3993" t="s">
        <v>77</v>
      </c>
      <c r="K3993" t="s">
        <v>78</v>
      </c>
      <c r="L3993" t="s">
        <v>2722</v>
      </c>
      <c r="M3993" t="s">
        <v>2723</v>
      </c>
      <c r="N3993" t="s">
        <v>2724</v>
      </c>
      <c r="O3993" t="s">
        <v>82</v>
      </c>
      <c r="P3993" t="str">
        <f>"201719587                     "</f>
        <v xml:space="preserve">201719587 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19.3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4.0999999999999996</v>
      </c>
      <c r="BJ3993">
        <v>1</v>
      </c>
      <c r="BK3993">
        <v>4.5</v>
      </c>
      <c r="BL3993" s="4">
        <v>113.47</v>
      </c>
      <c r="BM3993" s="4">
        <v>17.02</v>
      </c>
      <c r="BN3993" s="4">
        <v>130.49</v>
      </c>
      <c r="BO3993" s="4">
        <v>130.49</v>
      </c>
      <c r="BQ3993" t="s">
        <v>109</v>
      </c>
      <c r="BR3993" t="s">
        <v>84</v>
      </c>
      <c r="BS3993" t="s">
        <v>201</v>
      </c>
      <c r="BY3993">
        <v>5160.3999999999996</v>
      </c>
      <c r="CC3993" t="s">
        <v>2723</v>
      </c>
      <c r="CD3993">
        <v>4126</v>
      </c>
      <c r="CE3993" t="s">
        <v>88</v>
      </c>
      <c r="CI3993">
        <v>1</v>
      </c>
      <c r="CJ3993" t="s">
        <v>201</v>
      </c>
      <c r="CK3993">
        <v>21</v>
      </c>
      <c r="CL3993" t="s">
        <v>89</v>
      </c>
    </row>
    <row r="3994" spans="1:90">
      <c r="A3994" t="s">
        <v>72</v>
      </c>
      <c r="B3994" t="s">
        <v>73</v>
      </c>
      <c r="C3994" t="s">
        <v>74</v>
      </c>
      <c r="E3994" t="str">
        <f>"FES1162726124"</f>
        <v>FES1162726124</v>
      </c>
      <c r="F3994" s="3">
        <v>43798</v>
      </c>
      <c r="G3994">
        <v>202005</v>
      </c>
      <c r="H3994" t="s">
        <v>75</v>
      </c>
      <c r="I3994" t="s">
        <v>76</v>
      </c>
      <c r="J3994" t="s">
        <v>77</v>
      </c>
      <c r="K3994" t="s">
        <v>78</v>
      </c>
      <c r="L3994" t="s">
        <v>1680</v>
      </c>
      <c r="M3994" t="s">
        <v>1681</v>
      </c>
      <c r="N3994" t="s">
        <v>2339</v>
      </c>
      <c r="O3994" t="s">
        <v>82</v>
      </c>
      <c r="P3994" t="str">
        <f>"2170719610                    "</f>
        <v xml:space="preserve">2170719610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16.63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0.2</v>
      </c>
      <c r="BK3994">
        <v>1</v>
      </c>
      <c r="BL3994" s="4">
        <v>97.75</v>
      </c>
      <c r="BM3994" s="4">
        <v>14.66</v>
      </c>
      <c r="BN3994" s="4">
        <v>112.41</v>
      </c>
      <c r="BO3994" s="4">
        <v>112.41</v>
      </c>
      <c r="BQ3994" t="s">
        <v>109</v>
      </c>
      <c r="BR3994" t="s">
        <v>84</v>
      </c>
      <c r="BS3994" t="s">
        <v>201</v>
      </c>
      <c r="BY3994">
        <v>1200</v>
      </c>
      <c r="CC3994" t="s">
        <v>1681</v>
      </c>
      <c r="CD3994">
        <v>4450</v>
      </c>
      <c r="CE3994" t="s">
        <v>147</v>
      </c>
      <c r="CI3994">
        <v>1</v>
      </c>
      <c r="CJ3994" t="s">
        <v>201</v>
      </c>
      <c r="CK3994">
        <v>23</v>
      </c>
      <c r="CL3994" t="s">
        <v>89</v>
      </c>
    </row>
    <row r="3995" spans="1:90">
      <c r="A3995" t="s">
        <v>72</v>
      </c>
      <c r="B3995" t="s">
        <v>73</v>
      </c>
      <c r="C3995" t="s">
        <v>74</v>
      </c>
      <c r="E3995" t="str">
        <f>"FES1162726072"</f>
        <v>FES1162726072</v>
      </c>
      <c r="F3995" s="3">
        <v>43798</v>
      </c>
      <c r="G3995">
        <v>202005</v>
      </c>
      <c r="H3995" t="s">
        <v>75</v>
      </c>
      <c r="I3995" t="s">
        <v>76</v>
      </c>
      <c r="J3995" t="s">
        <v>77</v>
      </c>
      <c r="K3995" t="s">
        <v>78</v>
      </c>
      <c r="L3995" t="s">
        <v>101</v>
      </c>
      <c r="M3995" t="s">
        <v>102</v>
      </c>
      <c r="N3995" t="s">
        <v>2356</v>
      </c>
      <c r="O3995" t="s">
        <v>82</v>
      </c>
      <c r="P3995" t="str">
        <f>"2170719551                    "</f>
        <v xml:space="preserve">2170719551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10.73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2.1</v>
      </c>
      <c r="BJ3995">
        <v>1.5</v>
      </c>
      <c r="BK3995">
        <v>2.5</v>
      </c>
      <c r="BL3995" s="4">
        <v>63.06</v>
      </c>
      <c r="BM3995" s="4">
        <v>9.4600000000000009</v>
      </c>
      <c r="BN3995" s="4">
        <v>72.52</v>
      </c>
      <c r="BO3995" s="4">
        <v>72.52</v>
      </c>
      <c r="BQ3995" t="s">
        <v>109</v>
      </c>
      <c r="BR3995" t="s">
        <v>84</v>
      </c>
      <c r="BS3995" t="s">
        <v>201</v>
      </c>
      <c r="BY3995">
        <v>7461.58</v>
      </c>
      <c r="CC3995" t="s">
        <v>102</v>
      </c>
      <c r="CD3995">
        <v>1</v>
      </c>
      <c r="CE3995" t="s">
        <v>88</v>
      </c>
      <c r="CI3995">
        <v>1</v>
      </c>
      <c r="CJ3995" t="s">
        <v>201</v>
      </c>
      <c r="CK3995">
        <v>21</v>
      </c>
      <c r="CL3995" t="s">
        <v>89</v>
      </c>
    </row>
    <row r="3996" spans="1:90">
      <c r="A3996" t="s">
        <v>72</v>
      </c>
      <c r="B3996" t="s">
        <v>73</v>
      </c>
      <c r="C3996" t="s">
        <v>74</v>
      </c>
      <c r="E3996" t="str">
        <f>"FES1162725776"</f>
        <v>FES1162725776</v>
      </c>
      <c r="F3996" s="3">
        <v>43798</v>
      </c>
      <c r="G3996">
        <v>202005</v>
      </c>
      <c r="H3996" t="s">
        <v>75</v>
      </c>
      <c r="I3996" t="s">
        <v>76</v>
      </c>
      <c r="J3996" t="s">
        <v>77</v>
      </c>
      <c r="K3996" t="s">
        <v>78</v>
      </c>
      <c r="L3996" t="s">
        <v>101</v>
      </c>
      <c r="M3996" t="s">
        <v>102</v>
      </c>
      <c r="N3996" t="s">
        <v>2712</v>
      </c>
      <c r="O3996" t="s">
        <v>82</v>
      </c>
      <c r="P3996" t="str">
        <f>"2170718949                    "</f>
        <v xml:space="preserve">2170718949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120.09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2</v>
      </c>
      <c r="BI3996">
        <v>14.9</v>
      </c>
      <c r="BJ3996">
        <v>28</v>
      </c>
      <c r="BK3996">
        <v>28</v>
      </c>
      <c r="BL3996" s="4">
        <v>705.88</v>
      </c>
      <c r="BM3996" s="4">
        <v>105.88</v>
      </c>
      <c r="BN3996" s="4">
        <v>811.76</v>
      </c>
      <c r="BO3996" s="4">
        <v>811.76</v>
      </c>
      <c r="BR3996" t="s">
        <v>84</v>
      </c>
      <c r="BS3996" t="s">
        <v>201</v>
      </c>
      <c r="BY3996">
        <v>140197.82999999999</v>
      </c>
      <c r="CC3996" t="s">
        <v>102</v>
      </c>
      <c r="CD3996">
        <v>200</v>
      </c>
      <c r="CE3996" t="s">
        <v>2197</v>
      </c>
      <c r="CI3996">
        <v>1</v>
      </c>
      <c r="CJ3996" t="s">
        <v>201</v>
      </c>
      <c r="CK3996">
        <v>21</v>
      </c>
      <c r="CL3996" t="s">
        <v>89</v>
      </c>
    </row>
    <row r="3997" spans="1:90">
      <c r="A3997" t="s">
        <v>72</v>
      </c>
      <c r="B3997" t="s">
        <v>73</v>
      </c>
      <c r="C3997" t="s">
        <v>74</v>
      </c>
      <c r="E3997" t="str">
        <f>"FES1162726135"</f>
        <v>FES1162726135</v>
      </c>
      <c r="F3997" s="3">
        <v>43798</v>
      </c>
      <c r="G3997">
        <v>202005</v>
      </c>
      <c r="H3997" t="s">
        <v>75</v>
      </c>
      <c r="I3997" t="s">
        <v>76</v>
      </c>
      <c r="J3997" t="s">
        <v>77</v>
      </c>
      <c r="K3997" t="s">
        <v>78</v>
      </c>
      <c r="L3997" t="s">
        <v>124</v>
      </c>
      <c r="M3997" t="s">
        <v>125</v>
      </c>
      <c r="N3997" t="s">
        <v>1436</v>
      </c>
      <c r="O3997" t="s">
        <v>82</v>
      </c>
      <c r="P3997" t="str">
        <f>"2170719623                    "</f>
        <v xml:space="preserve">2170719623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6.71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1</v>
      </c>
      <c r="BJ3997">
        <v>0.2</v>
      </c>
      <c r="BK3997">
        <v>1</v>
      </c>
      <c r="BL3997" s="4">
        <v>39.42</v>
      </c>
      <c r="BM3997" s="4">
        <v>5.91</v>
      </c>
      <c r="BN3997" s="4">
        <v>45.33</v>
      </c>
      <c r="BO3997" s="4">
        <v>45.33</v>
      </c>
      <c r="BQ3997" t="s">
        <v>109</v>
      </c>
      <c r="BR3997" t="s">
        <v>84</v>
      </c>
      <c r="BS3997" t="s">
        <v>201</v>
      </c>
      <c r="BY3997">
        <v>1200</v>
      </c>
      <c r="CC3997" t="s">
        <v>125</v>
      </c>
      <c r="CD3997">
        <v>2091</v>
      </c>
      <c r="CE3997" t="s">
        <v>147</v>
      </c>
      <c r="CI3997">
        <v>1</v>
      </c>
      <c r="CJ3997" t="s">
        <v>201</v>
      </c>
      <c r="CK3997">
        <v>22</v>
      </c>
      <c r="CL3997" t="s">
        <v>89</v>
      </c>
    </row>
    <row r="3998" spans="1:90">
      <c r="A3998" t="s">
        <v>72</v>
      </c>
      <c r="B3998" t="s">
        <v>73</v>
      </c>
      <c r="C3998" t="s">
        <v>74</v>
      </c>
      <c r="E3998" t="str">
        <f>"FES1162726097"</f>
        <v>FES1162726097</v>
      </c>
      <c r="F3998" s="3">
        <v>43798</v>
      </c>
      <c r="G3998">
        <v>202005</v>
      </c>
      <c r="H3998" t="s">
        <v>75</v>
      </c>
      <c r="I3998" t="s">
        <v>76</v>
      </c>
      <c r="J3998" t="s">
        <v>77</v>
      </c>
      <c r="K3998" t="s">
        <v>78</v>
      </c>
      <c r="L3998" t="s">
        <v>701</v>
      </c>
      <c r="M3998" t="s">
        <v>702</v>
      </c>
      <c r="N3998" t="s">
        <v>1086</v>
      </c>
      <c r="O3998" t="s">
        <v>82</v>
      </c>
      <c r="P3998" t="str">
        <f>"2170719586                    "</f>
        <v xml:space="preserve">2170719586                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12.07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 s="4">
        <v>70.95</v>
      </c>
      <c r="BM3998" s="4">
        <v>10.64</v>
      </c>
      <c r="BN3998" s="4">
        <v>81.59</v>
      </c>
      <c r="BO3998" s="4">
        <v>81.59</v>
      </c>
      <c r="BQ3998" t="s">
        <v>121</v>
      </c>
      <c r="BR3998" t="s">
        <v>84</v>
      </c>
      <c r="BS3998" t="s">
        <v>201</v>
      </c>
      <c r="BY3998">
        <v>1200</v>
      </c>
      <c r="CC3998" t="s">
        <v>702</v>
      </c>
      <c r="CD3998">
        <v>299</v>
      </c>
      <c r="CE3998" t="s">
        <v>147</v>
      </c>
      <c r="CI3998">
        <v>1</v>
      </c>
      <c r="CJ3998" t="s">
        <v>201</v>
      </c>
      <c r="CK3998">
        <v>24</v>
      </c>
      <c r="CL3998" t="s">
        <v>89</v>
      </c>
    </row>
    <row r="3999" spans="1:90">
      <c r="A3999" t="s">
        <v>72</v>
      </c>
      <c r="B3999" t="s">
        <v>73</v>
      </c>
      <c r="C3999" t="s">
        <v>74</v>
      </c>
      <c r="E3999" t="str">
        <f>"FES1162726137"</f>
        <v>FES1162726137</v>
      </c>
      <c r="F3999" s="3">
        <v>43798</v>
      </c>
      <c r="G3999">
        <v>202005</v>
      </c>
      <c r="H3999" t="s">
        <v>75</v>
      </c>
      <c r="I3999" t="s">
        <v>76</v>
      </c>
      <c r="J3999" t="s">
        <v>77</v>
      </c>
      <c r="K3999" t="s">
        <v>78</v>
      </c>
      <c r="L3999" t="s">
        <v>106</v>
      </c>
      <c r="M3999" t="s">
        <v>107</v>
      </c>
      <c r="N3999" t="s">
        <v>128</v>
      </c>
      <c r="O3999" t="s">
        <v>82</v>
      </c>
      <c r="P3999" t="str">
        <f>"2170719626                    "</f>
        <v xml:space="preserve">2170719626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8.58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0.2</v>
      </c>
      <c r="BK3999">
        <v>1</v>
      </c>
      <c r="BL3999" s="4">
        <v>50.45</v>
      </c>
      <c r="BM3999" s="4">
        <v>7.57</v>
      </c>
      <c r="BN3999" s="4">
        <v>58.02</v>
      </c>
      <c r="BO3999" s="4">
        <v>58.02</v>
      </c>
      <c r="BQ3999" t="s">
        <v>121</v>
      </c>
      <c r="BR3999" t="s">
        <v>84</v>
      </c>
      <c r="BS3999" t="s">
        <v>201</v>
      </c>
      <c r="BY3999">
        <v>1200</v>
      </c>
      <c r="CC3999" t="s">
        <v>107</v>
      </c>
      <c r="CD3999">
        <v>6001</v>
      </c>
      <c r="CE3999" t="s">
        <v>147</v>
      </c>
      <c r="CI3999">
        <v>1</v>
      </c>
      <c r="CJ3999" t="s">
        <v>201</v>
      </c>
      <c r="CK3999">
        <v>21</v>
      </c>
      <c r="CL3999" t="s">
        <v>89</v>
      </c>
    </row>
    <row r="4000" spans="1:90">
      <c r="A4000" t="s">
        <v>72</v>
      </c>
      <c r="B4000" t="s">
        <v>73</v>
      </c>
      <c r="C4000" t="s">
        <v>74</v>
      </c>
      <c r="E4000" t="str">
        <f>"FES1162725907"</f>
        <v>FES1162725907</v>
      </c>
      <c r="F4000" s="3">
        <v>43798</v>
      </c>
      <c r="G4000">
        <v>202005</v>
      </c>
      <c r="H4000" t="s">
        <v>75</v>
      </c>
      <c r="I4000" t="s">
        <v>76</v>
      </c>
      <c r="J4000" t="s">
        <v>77</v>
      </c>
      <c r="K4000" t="s">
        <v>78</v>
      </c>
      <c r="L4000" t="s">
        <v>90</v>
      </c>
      <c r="M4000" t="s">
        <v>91</v>
      </c>
      <c r="N4000" t="s">
        <v>505</v>
      </c>
      <c r="O4000" t="s">
        <v>82</v>
      </c>
      <c r="P4000" t="str">
        <f>"2170717342                    "</f>
        <v xml:space="preserve">2170717342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72.91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9.6999999999999993</v>
      </c>
      <c r="BJ4000">
        <v>17</v>
      </c>
      <c r="BK4000">
        <v>17</v>
      </c>
      <c r="BL4000" s="4">
        <v>428.58</v>
      </c>
      <c r="BM4000" s="4">
        <v>64.290000000000006</v>
      </c>
      <c r="BN4000" s="4">
        <v>492.87</v>
      </c>
      <c r="BO4000" s="4">
        <v>492.87</v>
      </c>
      <c r="BQ4000" t="s">
        <v>121</v>
      </c>
      <c r="BR4000" t="s">
        <v>84</v>
      </c>
      <c r="BS4000" t="s">
        <v>201</v>
      </c>
      <c r="BY4000">
        <v>85074.28</v>
      </c>
      <c r="CC4000" t="s">
        <v>91</v>
      </c>
      <c r="CD4000">
        <v>7764</v>
      </c>
      <c r="CE4000" t="s">
        <v>1598</v>
      </c>
      <c r="CI4000">
        <v>1</v>
      </c>
      <c r="CJ4000" t="s">
        <v>201</v>
      </c>
      <c r="CK4000">
        <v>21</v>
      </c>
      <c r="CL4000" t="s">
        <v>89</v>
      </c>
    </row>
    <row r="4001" spans="1:90">
      <c r="A4001" t="s">
        <v>72</v>
      </c>
      <c r="B4001" t="s">
        <v>73</v>
      </c>
      <c r="C4001" t="s">
        <v>74</v>
      </c>
      <c r="E4001" t="str">
        <f>"FES1162725791"</f>
        <v>FES1162725791</v>
      </c>
      <c r="F4001" s="3">
        <v>43798</v>
      </c>
      <c r="G4001">
        <v>202005</v>
      </c>
      <c r="H4001" t="s">
        <v>75</v>
      </c>
      <c r="I4001" t="s">
        <v>76</v>
      </c>
      <c r="J4001" t="s">
        <v>77</v>
      </c>
      <c r="K4001" t="s">
        <v>78</v>
      </c>
      <c r="L4001" t="s">
        <v>101</v>
      </c>
      <c r="M4001" t="s">
        <v>102</v>
      </c>
      <c r="N4001" t="s">
        <v>707</v>
      </c>
      <c r="O4001" t="s">
        <v>82</v>
      </c>
      <c r="P4001" t="str">
        <f>"2170715852                    "</f>
        <v xml:space="preserve">2170715852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40.75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5.0999999999999996</v>
      </c>
      <c r="BJ4001">
        <v>9.1999999999999993</v>
      </c>
      <c r="BK4001">
        <v>9.5</v>
      </c>
      <c r="BL4001" s="4">
        <v>239.52</v>
      </c>
      <c r="BM4001" s="4">
        <v>35.93</v>
      </c>
      <c r="BN4001" s="4">
        <v>275.45</v>
      </c>
      <c r="BO4001" s="4">
        <v>275.45</v>
      </c>
      <c r="BQ4001" t="s">
        <v>121</v>
      </c>
      <c r="BR4001" t="s">
        <v>84</v>
      </c>
      <c r="BS4001" t="s">
        <v>201</v>
      </c>
      <c r="BY4001">
        <v>45914.57</v>
      </c>
      <c r="CC4001" t="s">
        <v>102</v>
      </c>
      <c r="CD4001">
        <v>1</v>
      </c>
      <c r="CE4001" t="s">
        <v>88</v>
      </c>
      <c r="CI4001">
        <v>1</v>
      </c>
      <c r="CJ4001" t="s">
        <v>201</v>
      </c>
      <c r="CK4001">
        <v>21</v>
      </c>
      <c r="CL4001" t="s">
        <v>89</v>
      </c>
    </row>
    <row r="4002" spans="1:90">
      <c r="A4002" t="s">
        <v>72</v>
      </c>
      <c r="B4002" t="s">
        <v>73</v>
      </c>
      <c r="C4002" t="s">
        <v>74</v>
      </c>
      <c r="E4002" t="str">
        <f>"FES1162726129"</f>
        <v>FES1162726129</v>
      </c>
      <c r="F4002" s="3">
        <v>43798</v>
      </c>
      <c r="G4002">
        <v>202005</v>
      </c>
      <c r="H4002" t="s">
        <v>75</v>
      </c>
      <c r="I4002" t="s">
        <v>76</v>
      </c>
      <c r="J4002" t="s">
        <v>77</v>
      </c>
      <c r="K4002" t="s">
        <v>78</v>
      </c>
      <c r="L4002" t="s">
        <v>101</v>
      </c>
      <c r="M4002" t="s">
        <v>102</v>
      </c>
      <c r="N4002" t="s">
        <v>330</v>
      </c>
      <c r="O4002" t="s">
        <v>82</v>
      </c>
      <c r="P4002" t="str">
        <f>"2170719619                    "</f>
        <v xml:space="preserve">2170719619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8.58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 s="4">
        <v>50.45</v>
      </c>
      <c r="BM4002" s="4">
        <v>7.57</v>
      </c>
      <c r="BN4002" s="4">
        <v>58.02</v>
      </c>
      <c r="BO4002" s="4">
        <v>58.02</v>
      </c>
      <c r="BQ4002" t="s">
        <v>109</v>
      </c>
      <c r="BR4002" t="s">
        <v>84</v>
      </c>
      <c r="BS4002" t="s">
        <v>201</v>
      </c>
      <c r="BY4002">
        <v>1200</v>
      </c>
      <c r="CC4002" t="s">
        <v>102</v>
      </c>
      <c r="CD4002">
        <v>200</v>
      </c>
      <c r="CE4002" t="s">
        <v>147</v>
      </c>
      <c r="CI4002">
        <v>1</v>
      </c>
      <c r="CJ4002" t="s">
        <v>201</v>
      </c>
      <c r="CK4002">
        <v>21</v>
      </c>
      <c r="CL4002" t="s">
        <v>89</v>
      </c>
    </row>
    <row r="4003" spans="1:90">
      <c r="A4003" t="s">
        <v>72</v>
      </c>
      <c r="B4003" t="s">
        <v>73</v>
      </c>
      <c r="C4003" t="s">
        <v>74</v>
      </c>
      <c r="E4003" t="str">
        <f>"FES1162726128"</f>
        <v>FES1162726128</v>
      </c>
      <c r="F4003" s="3">
        <v>43798</v>
      </c>
      <c r="G4003">
        <v>202005</v>
      </c>
      <c r="H4003" t="s">
        <v>75</v>
      </c>
      <c r="I4003" t="s">
        <v>76</v>
      </c>
      <c r="J4003" t="s">
        <v>77</v>
      </c>
      <c r="K4003" t="s">
        <v>78</v>
      </c>
      <c r="L4003" t="s">
        <v>133</v>
      </c>
      <c r="M4003" t="s">
        <v>134</v>
      </c>
      <c r="N4003" t="s">
        <v>310</v>
      </c>
      <c r="O4003" t="s">
        <v>82</v>
      </c>
      <c r="P4003" t="str">
        <f>"2170719618                    "</f>
        <v xml:space="preserve">2170719618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8.58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 s="4">
        <v>50.45</v>
      </c>
      <c r="BM4003" s="4">
        <v>7.57</v>
      </c>
      <c r="BN4003" s="4">
        <v>58.02</v>
      </c>
      <c r="BO4003" s="4">
        <v>58.02</v>
      </c>
      <c r="BQ4003" t="s">
        <v>121</v>
      </c>
      <c r="BR4003" t="s">
        <v>84</v>
      </c>
      <c r="BS4003" t="s">
        <v>201</v>
      </c>
      <c r="BY4003">
        <v>1200</v>
      </c>
      <c r="CC4003" t="s">
        <v>134</v>
      </c>
      <c r="CD4003">
        <v>5201</v>
      </c>
      <c r="CE4003" t="s">
        <v>147</v>
      </c>
      <c r="CI4003">
        <v>1</v>
      </c>
      <c r="CJ4003" t="s">
        <v>201</v>
      </c>
      <c r="CK4003">
        <v>21</v>
      </c>
      <c r="CL4003" t="s">
        <v>89</v>
      </c>
    </row>
    <row r="4004" spans="1:90">
      <c r="A4004" t="s">
        <v>72</v>
      </c>
      <c r="B4004" t="s">
        <v>73</v>
      </c>
      <c r="C4004" t="s">
        <v>74</v>
      </c>
      <c r="E4004" t="str">
        <f>"FES1162726134"</f>
        <v>FES1162726134</v>
      </c>
      <c r="F4004" s="3">
        <v>43798</v>
      </c>
      <c r="G4004">
        <v>202005</v>
      </c>
      <c r="H4004" t="s">
        <v>75</v>
      </c>
      <c r="I4004" t="s">
        <v>76</v>
      </c>
      <c r="J4004" t="s">
        <v>77</v>
      </c>
      <c r="K4004" t="s">
        <v>78</v>
      </c>
      <c r="L4004" t="s">
        <v>124</v>
      </c>
      <c r="M4004" t="s">
        <v>125</v>
      </c>
      <c r="N4004" t="s">
        <v>218</v>
      </c>
      <c r="O4004" t="s">
        <v>82</v>
      </c>
      <c r="P4004" t="str">
        <f>"21707196212                   "</f>
        <v xml:space="preserve">21707196212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11.53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4.5999999999999996</v>
      </c>
      <c r="BJ4004">
        <v>3.3</v>
      </c>
      <c r="BK4004">
        <v>5</v>
      </c>
      <c r="BL4004" s="4">
        <v>67.760000000000005</v>
      </c>
      <c r="BM4004" s="4">
        <v>10.16</v>
      </c>
      <c r="BN4004" s="4">
        <v>77.92</v>
      </c>
      <c r="BO4004" s="4">
        <v>77.92</v>
      </c>
      <c r="BQ4004" t="s">
        <v>121</v>
      </c>
      <c r="BR4004" t="s">
        <v>84</v>
      </c>
      <c r="BS4004" t="s">
        <v>201</v>
      </c>
      <c r="BY4004">
        <v>16599.919999999998</v>
      </c>
      <c r="CC4004" t="s">
        <v>125</v>
      </c>
      <c r="CD4004">
        <v>2094</v>
      </c>
      <c r="CE4004" t="s">
        <v>88</v>
      </c>
      <c r="CI4004">
        <v>1</v>
      </c>
      <c r="CJ4004" t="s">
        <v>201</v>
      </c>
      <c r="CK4004">
        <v>22</v>
      </c>
      <c r="CL4004" t="s">
        <v>89</v>
      </c>
    </row>
    <row r="4005" spans="1:90">
      <c r="A4005" t="s">
        <v>72</v>
      </c>
      <c r="B4005" t="s">
        <v>73</v>
      </c>
      <c r="C4005" t="s">
        <v>74</v>
      </c>
      <c r="E4005" t="str">
        <f>"FES1162726112"</f>
        <v>FES1162726112</v>
      </c>
      <c r="F4005" s="3">
        <v>43798</v>
      </c>
      <c r="G4005">
        <v>202005</v>
      </c>
      <c r="H4005" t="s">
        <v>75</v>
      </c>
      <c r="I4005" t="s">
        <v>76</v>
      </c>
      <c r="J4005" t="s">
        <v>77</v>
      </c>
      <c r="K4005" t="s">
        <v>78</v>
      </c>
      <c r="L4005" t="s">
        <v>90</v>
      </c>
      <c r="M4005" t="s">
        <v>91</v>
      </c>
      <c r="N4005" t="s">
        <v>945</v>
      </c>
      <c r="O4005" t="s">
        <v>82</v>
      </c>
      <c r="P4005" t="str">
        <f>"2170717316                    "</f>
        <v xml:space="preserve">2170717316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8.58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 s="4">
        <v>50.45</v>
      </c>
      <c r="BM4005" s="4">
        <v>7.57</v>
      </c>
      <c r="BN4005" s="4">
        <v>58.02</v>
      </c>
      <c r="BO4005" s="4">
        <v>58.02</v>
      </c>
      <c r="BQ4005" t="s">
        <v>121</v>
      </c>
      <c r="BR4005" t="s">
        <v>84</v>
      </c>
      <c r="BS4005" t="s">
        <v>201</v>
      </c>
      <c r="BY4005">
        <v>1200</v>
      </c>
      <c r="CC4005" t="s">
        <v>91</v>
      </c>
      <c r="CD4005">
        <v>7460</v>
      </c>
      <c r="CE4005" t="s">
        <v>147</v>
      </c>
      <c r="CI4005">
        <v>1</v>
      </c>
      <c r="CJ4005" t="s">
        <v>201</v>
      </c>
      <c r="CK4005">
        <v>21</v>
      </c>
      <c r="CL4005" t="s">
        <v>89</v>
      </c>
    </row>
    <row r="4006" spans="1:90">
      <c r="A4006" t="s">
        <v>72</v>
      </c>
      <c r="B4006" t="s">
        <v>73</v>
      </c>
      <c r="C4006" t="s">
        <v>74</v>
      </c>
      <c r="E4006" t="str">
        <f>"FES1162726121"</f>
        <v>FES1162726121</v>
      </c>
      <c r="F4006" s="3">
        <v>43798</v>
      </c>
      <c r="G4006">
        <v>202005</v>
      </c>
      <c r="H4006" t="s">
        <v>75</v>
      </c>
      <c r="I4006" t="s">
        <v>76</v>
      </c>
      <c r="J4006" t="s">
        <v>77</v>
      </c>
      <c r="K4006" t="s">
        <v>78</v>
      </c>
      <c r="L4006" t="s">
        <v>192</v>
      </c>
      <c r="M4006" t="s">
        <v>193</v>
      </c>
      <c r="N4006" t="s">
        <v>194</v>
      </c>
      <c r="O4006" t="s">
        <v>82</v>
      </c>
      <c r="P4006" t="str">
        <f>"2170718146                    "</f>
        <v xml:space="preserve">2170718146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24.14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2.7</v>
      </c>
      <c r="BJ4006">
        <v>1.8</v>
      </c>
      <c r="BK4006">
        <v>3</v>
      </c>
      <c r="BL4006" s="4">
        <v>141.9</v>
      </c>
      <c r="BM4006" s="4">
        <v>21.29</v>
      </c>
      <c r="BN4006" s="4">
        <v>163.19</v>
      </c>
      <c r="BO4006" s="4">
        <v>163.19</v>
      </c>
      <c r="BQ4006" t="s">
        <v>109</v>
      </c>
      <c r="BR4006" t="s">
        <v>84</v>
      </c>
      <c r="BS4006" t="s">
        <v>201</v>
      </c>
      <c r="BY4006">
        <v>9066.2999999999993</v>
      </c>
      <c r="CC4006" t="s">
        <v>193</v>
      </c>
      <c r="CD4006">
        <v>7130</v>
      </c>
      <c r="CE4006" t="s">
        <v>88</v>
      </c>
      <c r="CI4006">
        <v>1</v>
      </c>
      <c r="CJ4006" t="s">
        <v>201</v>
      </c>
      <c r="CK4006">
        <v>23</v>
      </c>
      <c r="CL4006" t="s">
        <v>89</v>
      </c>
    </row>
    <row r="4007" spans="1:90">
      <c r="A4007" t="s">
        <v>72</v>
      </c>
      <c r="B4007" t="s">
        <v>73</v>
      </c>
      <c r="C4007" t="s">
        <v>74</v>
      </c>
      <c r="E4007" t="str">
        <f>"FES1162726116"</f>
        <v>FES1162726116</v>
      </c>
      <c r="F4007" s="3">
        <v>43798</v>
      </c>
      <c r="G4007">
        <v>202005</v>
      </c>
      <c r="H4007" t="s">
        <v>75</v>
      </c>
      <c r="I4007" t="s">
        <v>76</v>
      </c>
      <c r="J4007" t="s">
        <v>77</v>
      </c>
      <c r="K4007" t="s">
        <v>78</v>
      </c>
      <c r="L4007" t="s">
        <v>90</v>
      </c>
      <c r="M4007" t="s">
        <v>91</v>
      </c>
      <c r="N4007" t="s">
        <v>1897</v>
      </c>
      <c r="O4007" t="s">
        <v>82</v>
      </c>
      <c r="P4007" t="str">
        <f>"2170719329                    "</f>
        <v xml:space="preserve">2170719329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8.58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0.9</v>
      </c>
      <c r="BJ4007">
        <v>1.2</v>
      </c>
      <c r="BK4007">
        <v>1.5</v>
      </c>
      <c r="BL4007" s="4">
        <v>50.45</v>
      </c>
      <c r="BM4007" s="4">
        <v>7.57</v>
      </c>
      <c r="BN4007" s="4">
        <v>58.02</v>
      </c>
      <c r="BO4007" s="4">
        <v>58.02</v>
      </c>
      <c r="BQ4007" t="s">
        <v>121</v>
      </c>
      <c r="BR4007" t="s">
        <v>84</v>
      </c>
      <c r="BS4007" t="s">
        <v>201</v>
      </c>
      <c r="BY4007">
        <v>5993.06</v>
      </c>
      <c r="CC4007" t="s">
        <v>91</v>
      </c>
      <c r="CD4007">
        <v>7580</v>
      </c>
      <c r="CE4007" t="s">
        <v>1598</v>
      </c>
      <c r="CI4007">
        <v>1</v>
      </c>
      <c r="CJ4007" t="s">
        <v>201</v>
      </c>
      <c r="CK4007">
        <v>21</v>
      </c>
      <c r="CL4007" t="s">
        <v>89</v>
      </c>
    </row>
    <row r="4008" spans="1:90">
      <c r="A4008" t="s">
        <v>72</v>
      </c>
      <c r="B4008" t="s">
        <v>73</v>
      </c>
      <c r="C4008" t="s">
        <v>74</v>
      </c>
      <c r="E4008" t="str">
        <f>"FES1162726127"</f>
        <v>FES1162726127</v>
      </c>
      <c r="F4008" s="3">
        <v>43798</v>
      </c>
      <c r="G4008">
        <v>202005</v>
      </c>
      <c r="H4008" t="s">
        <v>75</v>
      </c>
      <c r="I4008" t="s">
        <v>76</v>
      </c>
      <c r="J4008" t="s">
        <v>77</v>
      </c>
      <c r="K4008" t="s">
        <v>78</v>
      </c>
      <c r="L4008" t="s">
        <v>90</v>
      </c>
      <c r="M4008" t="s">
        <v>91</v>
      </c>
      <c r="N4008" t="s">
        <v>401</v>
      </c>
      <c r="O4008" t="s">
        <v>82</v>
      </c>
      <c r="P4008" t="str">
        <f>"2170716718                    "</f>
        <v xml:space="preserve">2170716718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25.74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5.6</v>
      </c>
      <c r="BJ4008">
        <v>2.6</v>
      </c>
      <c r="BK4008">
        <v>6</v>
      </c>
      <c r="BL4008" s="4">
        <v>151.29</v>
      </c>
      <c r="BM4008" s="4">
        <v>22.69</v>
      </c>
      <c r="BN4008" s="4">
        <v>173.98</v>
      </c>
      <c r="BO4008" s="4">
        <v>173.98</v>
      </c>
      <c r="BQ4008" t="s">
        <v>109</v>
      </c>
      <c r="BR4008" t="s">
        <v>84</v>
      </c>
      <c r="BS4008" t="s">
        <v>201</v>
      </c>
      <c r="BY4008">
        <v>13216.9</v>
      </c>
      <c r="CC4008" t="s">
        <v>91</v>
      </c>
      <c r="CD4008">
        <v>7441</v>
      </c>
      <c r="CE4008" t="s">
        <v>1598</v>
      </c>
      <c r="CI4008">
        <v>1</v>
      </c>
      <c r="CJ4008" t="s">
        <v>201</v>
      </c>
      <c r="CK4008">
        <v>21</v>
      </c>
      <c r="CL4008" t="s">
        <v>89</v>
      </c>
    </row>
    <row r="4009" spans="1:90">
      <c r="A4009" t="s">
        <v>72</v>
      </c>
      <c r="B4009" t="s">
        <v>73</v>
      </c>
      <c r="C4009" t="s">
        <v>74</v>
      </c>
      <c r="E4009" t="str">
        <f>"FES1162725691"</f>
        <v>FES1162725691</v>
      </c>
      <c r="F4009" s="3">
        <v>43798</v>
      </c>
      <c r="G4009">
        <v>202005</v>
      </c>
      <c r="H4009" t="s">
        <v>75</v>
      </c>
      <c r="I4009" t="s">
        <v>76</v>
      </c>
      <c r="J4009" t="s">
        <v>77</v>
      </c>
      <c r="K4009" t="s">
        <v>78</v>
      </c>
      <c r="L4009" t="s">
        <v>917</v>
      </c>
      <c r="M4009" t="s">
        <v>918</v>
      </c>
      <c r="N4009" t="s">
        <v>2754</v>
      </c>
      <c r="O4009" t="s">
        <v>82</v>
      </c>
      <c r="P4009" t="str">
        <f>"2170717305                    "</f>
        <v xml:space="preserve">2170717305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12.07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1</v>
      </c>
      <c r="BJ4009">
        <v>0.2</v>
      </c>
      <c r="BK4009">
        <v>1</v>
      </c>
      <c r="BL4009" s="4">
        <v>70.95</v>
      </c>
      <c r="BM4009" s="4">
        <v>10.64</v>
      </c>
      <c r="BN4009" s="4">
        <v>81.59</v>
      </c>
      <c r="BO4009" s="4">
        <v>81.59</v>
      </c>
      <c r="BQ4009" t="s">
        <v>109</v>
      </c>
      <c r="BR4009" t="s">
        <v>84</v>
      </c>
      <c r="BS4009" t="s">
        <v>201</v>
      </c>
      <c r="BY4009">
        <v>1200</v>
      </c>
      <c r="CC4009" t="s">
        <v>918</v>
      </c>
      <c r="CD4009">
        <v>2210</v>
      </c>
      <c r="CE4009" t="s">
        <v>147</v>
      </c>
      <c r="CI4009">
        <v>1</v>
      </c>
      <c r="CJ4009" t="s">
        <v>201</v>
      </c>
      <c r="CK4009">
        <v>24</v>
      </c>
      <c r="CL4009" t="s">
        <v>89</v>
      </c>
    </row>
    <row r="4010" spans="1:90">
      <c r="A4010" t="s">
        <v>72</v>
      </c>
      <c r="B4010" t="s">
        <v>73</v>
      </c>
      <c r="C4010" t="s">
        <v>74</v>
      </c>
      <c r="E4010" t="str">
        <f>"FES1162726037"</f>
        <v>FES1162726037</v>
      </c>
      <c r="F4010" s="3">
        <v>43798</v>
      </c>
      <c r="G4010">
        <v>202005</v>
      </c>
      <c r="H4010" t="s">
        <v>75</v>
      </c>
      <c r="I4010" t="s">
        <v>76</v>
      </c>
      <c r="J4010" t="s">
        <v>77</v>
      </c>
      <c r="K4010" t="s">
        <v>78</v>
      </c>
      <c r="L4010" t="s">
        <v>605</v>
      </c>
      <c r="M4010" t="s">
        <v>606</v>
      </c>
      <c r="N4010" t="s">
        <v>785</v>
      </c>
      <c r="O4010" t="s">
        <v>82</v>
      </c>
      <c r="P4010" t="str">
        <f>"2170719500                    "</f>
        <v xml:space="preserve">2170719500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12.07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0.2</v>
      </c>
      <c r="BK4010">
        <v>1</v>
      </c>
      <c r="BL4010" s="4">
        <v>70.95</v>
      </c>
      <c r="BM4010" s="4">
        <v>10.64</v>
      </c>
      <c r="BN4010" s="4">
        <v>81.59</v>
      </c>
      <c r="BO4010" s="4">
        <v>81.59</v>
      </c>
      <c r="BQ4010" t="s">
        <v>109</v>
      </c>
      <c r="BR4010" t="s">
        <v>84</v>
      </c>
      <c r="BS4010" t="s">
        <v>201</v>
      </c>
      <c r="BY4010">
        <v>1200</v>
      </c>
      <c r="CC4010" t="s">
        <v>606</v>
      </c>
      <c r="CD4010">
        <v>407</v>
      </c>
      <c r="CE4010" t="s">
        <v>147</v>
      </c>
      <c r="CI4010">
        <v>1</v>
      </c>
      <c r="CJ4010" t="s">
        <v>201</v>
      </c>
      <c r="CK4010">
        <v>24</v>
      </c>
      <c r="CL4010" t="s">
        <v>89</v>
      </c>
    </row>
    <row r="4011" spans="1:90">
      <c r="A4011" t="s">
        <v>72</v>
      </c>
      <c r="B4011" t="s">
        <v>73</v>
      </c>
      <c r="C4011" t="s">
        <v>74</v>
      </c>
      <c r="E4011" t="str">
        <f>"FES1162726133"</f>
        <v>FES1162726133</v>
      </c>
      <c r="F4011" s="3">
        <v>43798</v>
      </c>
      <c r="G4011">
        <v>202005</v>
      </c>
      <c r="H4011" t="s">
        <v>75</v>
      </c>
      <c r="I4011" t="s">
        <v>76</v>
      </c>
      <c r="J4011" t="s">
        <v>77</v>
      </c>
      <c r="K4011" t="s">
        <v>78</v>
      </c>
      <c r="L4011" t="s">
        <v>90</v>
      </c>
      <c r="M4011" t="s">
        <v>91</v>
      </c>
      <c r="N4011" t="s">
        <v>538</v>
      </c>
      <c r="O4011" t="s">
        <v>82</v>
      </c>
      <c r="P4011" t="str">
        <f>"2170719621                    "</f>
        <v xml:space="preserve">2170719621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8.58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0.2</v>
      </c>
      <c r="BK4011">
        <v>1</v>
      </c>
      <c r="BL4011" s="4">
        <v>50.45</v>
      </c>
      <c r="BM4011" s="4">
        <v>7.57</v>
      </c>
      <c r="BN4011" s="4">
        <v>58.02</v>
      </c>
      <c r="BO4011" s="4">
        <v>58.02</v>
      </c>
      <c r="BQ4011" t="s">
        <v>109</v>
      </c>
      <c r="BR4011" t="s">
        <v>84</v>
      </c>
      <c r="BS4011" t="s">
        <v>201</v>
      </c>
      <c r="BY4011">
        <v>1200</v>
      </c>
      <c r="CC4011" t="s">
        <v>91</v>
      </c>
      <c r="CD4011">
        <v>7530</v>
      </c>
      <c r="CE4011" t="s">
        <v>147</v>
      </c>
      <c r="CI4011">
        <v>1</v>
      </c>
      <c r="CJ4011" t="s">
        <v>201</v>
      </c>
      <c r="CK4011">
        <v>21</v>
      </c>
      <c r="CL4011" t="s">
        <v>89</v>
      </c>
    </row>
    <row r="4012" spans="1:90">
      <c r="A4012" t="s">
        <v>72</v>
      </c>
      <c r="B4012" t="s">
        <v>73</v>
      </c>
      <c r="C4012" t="s">
        <v>74</v>
      </c>
      <c r="E4012" t="str">
        <f>"FES1162726025"</f>
        <v>FES1162726025</v>
      </c>
      <c r="F4012" s="3">
        <v>43798</v>
      </c>
      <c r="G4012">
        <v>202005</v>
      </c>
      <c r="H4012" t="s">
        <v>75</v>
      </c>
      <c r="I4012" t="s">
        <v>76</v>
      </c>
      <c r="J4012" t="s">
        <v>77</v>
      </c>
      <c r="K4012" t="s">
        <v>78</v>
      </c>
      <c r="L4012" t="s">
        <v>1239</v>
      </c>
      <c r="M4012" t="s">
        <v>1240</v>
      </c>
      <c r="N4012" t="s">
        <v>1241</v>
      </c>
      <c r="O4012" t="s">
        <v>82</v>
      </c>
      <c r="P4012" t="str">
        <f>"2170717833                    "</f>
        <v xml:space="preserve">2170717833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16.63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1</v>
      </c>
      <c r="BJ4012">
        <v>0.2</v>
      </c>
      <c r="BK4012">
        <v>1</v>
      </c>
      <c r="BL4012" s="4">
        <v>97.75</v>
      </c>
      <c r="BM4012" s="4">
        <v>14.66</v>
      </c>
      <c r="BN4012" s="4">
        <v>112.41</v>
      </c>
      <c r="BO4012" s="4">
        <v>112.41</v>
      </c>
      <c r="BQ4012" t="s">
        <v>142</v>
      </c>
      <c r="BR4012" t="s">
        <v>84</v>
      </c>
      <c r="BS4012" t="s">
        <v>201</v>
      </c>
      <c r="BY4012">
        <v>1200</v>
      </c>
      <c r="CC4012" t="s">
        <v>1240</v>
      </c>
      <c r="CD4012">
        <v>6300</v>
      </c>
      <c r="CE4012" t="s">
        <v>147</v>
      </c>
      <c r="CI4012">
        <v>3</v>
      </c>
      <c r="CJ4012" t="s">
        <v>201</v>
      </c>
      <c r="CK4012">
        <v>23</v>
      </c>
      <c r="CL4012" t="s">
        <v>89</v>
      </c>
    </row>
    <row r="4013" spans="1:90">
      <c r="A4013" t="s">
        <v>72</v>
      </c>
      <c r="B4013" t="s">
        <v>73</v>
      </c>
      <c r="C4013" t="s">
        <v>74</v>
      </c>
      <c r="E4013" t="str">
        <f>"FES1162725968"</f>
        <v>FES1162725968</v>
      </c>
      <c r="F4013" s="3">
        <v>43798</v>
      </c>
      <c r="G4013">
        <v>202005</v>
      </c>
      <c r="H4013" t="s">
        <v>75</v>
      </c>
      <c r="I4013" t="s">
        <v>76</v>
      </c>
      <c r="J4013" t="s">
        <v>77</v>
      </c>
      <c r="K4013" t="s">
        <v>78</v>
      </c>
      <c r="L4013" t="s">
        <v>106</v>
      </c>
      <c r="M4013" t="s">
        <v>107</v>
      </c>
      <c r="N4013" t="s">
        <v>1974</v>
      </c>
      <c r="O4013" t="s">
        <v>82</v>
      </c>
      <c r="P4013" t="str">
        <f>"2170714353                    "</f>
        <v xml:space="preserve">2170714353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8.58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1</v>
      </c>
      <c r="BJ4013">
        <v>0.2</v>
      </c>
      <c r="BK4013">
        <v>1</v>
      </c>
      <c r="BL4013" s="4">
        <v>50.45</v>
      </c>
      <c r="BM4013" s="4">
        <v>7.57</v>
      </c>
      <c r="BN4013" s="4">
        <v>58.02</v>
      </c>
      <c r="BO4013" s="4">
        <v>58.02</v>
      </c>
      <c r="BQ4013" t="s">
        <v>121</v>
      </c>
      <c r="BR4013" t="s">
        <v>84</v>
      </c>
      <c r="BS4013" t="s">
        <v>201</v>
      </c>
      <c r="BY4013">
        <v>1200</v>
      </c>
      <c r="CC4013" t="s">
        <v>107</v>
      </c>
      <c r="CD4013">
        <v>6012</v>
      </c>
      <c r="CE4013" t="s">
        <v>147</v>
      </c>
      <c r="CI4013">
        <v>1</v>
      </c>
      <c r="CJ4013" t="s">
        <v>201</v>
      </c>
      <c r="CK4013">
        <v>21</v>
      </c>
      <c r="CL4013" t="s">
        <v>89</v>
      </c>
    </row>
    <row r="4014" spans="1:90">
      <c r="A4014" t="s">
        <v>72</v>
      </c>
      <c r="B4014" t="s">
        <v>73</v>
      </c>
      <c r="C4014" t="s">
        <v>74</v>
      </c>
      <c r="E4014" t="str">
        <f>"FES1162726132"</f>
        <v>FES1162726132</v>
      </c>
      <c r="F4014" s="3">
        <v>43798</v>
      </c>
      <c r="G4014">
        <v>202005</v>
      </c>
      <c r="H4014" t="s">
        <v>75</v>
      </c>
      <c r="I4014" t="s">
        <v>76</v>
      </c>
      <c r="J4014" t="s">
        <v>77</v>
      </c>
      <c r="K4014" t="s">
        <v>78</v>
      </c>
      <c r="L4014" t="s">
        <v>202</v>
      </c>
      <c r="M4014" t="s">
        <v>203</v>
      </c>
      <c r="N4014" t="s">
        <v>1455</v>
      </c>
      <c r="O4014" t="s">
        <v>82</v>
      </c>
      <c r="P4014" t="str">
        <f>"2170719518                    "</f>
        <v xml:space="preserve">2170719518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6.71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2</v>
      </c>
      <c r="BJ4014">
        <v>0.5</v>
      </c>
      <c r="BK4014">
        <v>2</v>
      </c>
      <c r="BL4014" s="4">
        <v>39.42</v>
      </c>
      <c r="BM4014" s="4">
        <v>5.91</v>
      </c>
      <c r="BN4014" s="4">
        <v>45.33</v>
      </c>
      <c r="BO4014" s="4">
        <v>45.33</v>
      </c>
      <c r="BQ4014" t="s">
        <v>1456</v>
      </c>
      <c r="BR4014" t="s">
        <v>84</v>
      </c>
      <c r="BS4014" t="s">
        <v>201</v>
      </c>
      <c r="BY4014">
        <v>2400</v>
      </c>
      <c r="CC4014" t="s">
        <v>203</v>
      </c>
      <c r="CD4014">
        <v>1422</v>
      </c>
      <c r="CE4014" t="s">
        <v>88</v>
      </c>
      <c r="CI4014">
        <v>1</v>
      </c>
      <c r="CJ4014" t="s">
        <v>201</v>
      </c>
      <c r="CK4014">
        <v>22</v>
      </c>
      <c r="CL4014" t="s">
        <v>89</v>
      </c>
    </row>
    <row r="4015" spans="1:90">
      <c r="A4015" t="s">
        <v>72</v>
      </c>
      <c r="B4015" t="s">
        <v>73</v>
      </c>
      <c r="C4015" t="s">
        <v>74</v>
      </c>
      <c r="E4015" t="str">
        <f>"FES1162725846"</f>
        <v>FES1162725846</v>
      </c>
      <c r="F4015" s="3">
        <v>43798</v>
      </c>
      <c r="G4015">
        <v>202005</v>
      </c>
      <c r="H4015" t="s">
        <v>75</v>
      </c>
      <c r="I4015" t="s">
        <v>76</v>
      </c>
      <c r="J4015" t="s">
        <v>77</v>
      </c>
      <c r="K4015" t="s">
        <v>78</v>
      </c>
      <c r="L4015" t="s">
        <v>75</v>
      </c>
      <c r="M4015" t="s">
        <v>76</v>
      </c>
      <c r="N4015" t="s">
        <v>466</v>
      </c>
      <c r="O4015" t="s">
        <v>82</v>
      </c>
      <c r="P4015" t="str">
        <f>"2170719432                    "</f>
        <v xml:space="preserve">2170719432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6.71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1</v>
      </c>
      <c r="BJ4015">
        <v>0.2</v>
      </c>
      <c r="BK4015">
        <v>1</v>
      </c>
      <c r="BL4015" s="4">
        <v>39.42</v>
      </c>
      <c r="BM4015" s="4">
        <v>5.91</v>
      </c>
      <c r="BN4015" s="4">
        <v>45.33</v>
      </c>
      <c r="BO4015" s="4">
        <v>45.33</v>
      </c>
      <c r="BQ4015" t="s">
        <v>109</v>
      </c>
      <c r="BR4015" t="s">
        <v>84</v>
      </c>
      <c r="BS4015" t="s">
        <v>201</v>
      </c>
      <c r="BY4015">
        <v>1200</v>
      </c>
      <c r="CC4015" t="s">
        <v>76</v>
      </c>
      <c r="CD4015">
        <v>1609</v>
      </c>
      <c r="CE4015" t="s">
        <v>147</v>
      </c>
      <c r="CI4015">
        <v>1</v>
      </c>
      <c r="CJ4015" t="s">
        <v>201</v>
      </c>
      <c r="CK4015">
        <v>22</v>
      </c>
      <c r="CL4015" t="s">
        <v>89</v>
      </c>
    </row>
    <row r="4016" spans="1:90">
      <c r="A4016" t="s">
        <v>72</v>
      </c>
      <c r="B4016" t="s">
        <v>73</v>
      </c>
      <c r="C4016" t="s">
        <v>74</v>
      </c>
      <c r="E4016" t="str">
        <f>"FES1162726130"</f>
        <v>FES1162726130</v>
      </c>
      <c r="F4016" s="3">
        <v>43798</v>
      </c>
      <c r="G4016">
        <v>202005</v>
      </c>
      <c r="H4016" t="s">
        <v>75</v>
      </c>
      <c r="I4016" t="s">
        <v>76</v>
      </c>
      <c r="J4016" t="s">
        <v>77</v>
      </c>
      <c r="K4016" t="s">
        <v>78</v>
      </c>
      <c r="L4016" t="s">
        <v>124</v>
      </c>
      <c r="M4016" t="s">
        <v>125</v>
      </c>
      <c r="N4016" t="s">
        <v>230</v>
      </c>
      <c r="O4016" t="s">
        <v>82</v>
      </c>
      <c r="P4016" t="str">
        <f>"2170719030                    "</f>
        <v xml:space="preserve">2170719030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6.71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1</v>
      </c>
      <c r="BJ4016">
        <v>0.2</v>
      </c>
      <c r="BK4016">
        <v>1</v>
      </c>
      <c r="BL4016" s="4">
        <v>39.42</v>
      </c>
      <c r="BM4016" s="4">
        <v>5.91</v>
      </c>
      <c r="BN4016" s="4">
        <v>45.33</v>
      </c>
      <c r="BO4016" s="4">
        <v>45.33</v>
      </c>
      <c r="BQ4016" t="s">
        <v>109</v>
      </c>
      <c r="BR4016" t="s">
        <v>84</v>
      </c>
      <c r="BS4016" t="s">
        <v>201</v>
      </c>
      <c r="BY4016">
        <v>1200</v>
      </c>
      <c r="CC4016" t="s">
        <v>125</v>
      </c>
      <c r="CD4016">
        <v>2091</v>
      </c>
      <c r="CE4016" t="s">
        <v>147</v>
      </c>
      <c r="CI4016">
        <v>1</v>
      </c>
      <c r="CJ4016" t="s">
        <v>201</v>
      </c>
      <c r="CK4016">
        <v>22</v>
      </c>
      <c r="CL4016" t="s">
        <v>89</v>
      </c>
    </row>
    <row r="4017" spans="1:90">
      <c r="A4017" t="s">
        <v>72</v>
      </c>
      <c r="B4017" t="s">
        <v>73</v>
      </c>
      <c r="C4017" t="s">
        <v>74</v>
      </c>
      <c r="E4017" t="str">
        <f>"FES1162725754"</f>
        <v>FES1162725754</v>
      </c>
      <c r="F4017" s="3">
        <v>43798</v>
      </c>
      <c r="G4017">
        <v>202005</v>
      </c>
      <c r="H4017" t="s">
        <v>75</v>
      </c>
      <c r="I4017" t="s">
        <v>76</v>
      </c>
      <c r="J4017" t="s">
        <v>77</v>
      </c>
      <c r="K4017" t="s">
        <v>78</v>
      </c>
      <c r="L4017" t="s">
        <v>405</v>
      </c>
      <c r="M4017" t="s">
        <v>406</v>
      </c>
      <c r="N4017" t="s">
        <v>871</v>
      </c>
      <c r="O4017" t="s">
        <v>82</v>
      </c>
      <c r="P4017" t="str">
        <f>"2170717655                    "</f>
        <v xml:space="preserve">2170717655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12.07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1</v>
      </c>
      <c r="BJ4017">
        <v>0.2</v>
      </c>
      <c r="BK4017">
        <v>1</v>
      </c>
      <c r="BL4017" s="4">
        <v>70.95</v>
      </c>
      <c r="BM4017" s="4">
        <v>10.64</v>
      </c>
      <c r="BN4017" s="4">
        <v>81.59</v>
      </c>
      <c r="BO4017" s="4">
        <v>81.59</v>
      </c>
      <c r="BQ4017" t="s">
        <v>121</v>
      </c>
      <c r="BR4017" t="s">
        <v>84</v>
      </c>
      <c r="BS4017" t="s">
        <v>201</v>
      </c>
      <c r="BY4017">
        <v>1200</v>
      </c>
      <c r="CC4017" t="s">
        <v>406</v>
      </c>
      <c r="CD4017">
        <v>250</v>
      </c>
      <c r="CE4017" t="s">
        <v>147</v>
      </c>
      <c r="CI4017">
        <v>1</v>
      </c>
      <c r="CJ4017" t="s">
        <v>201</v>
      </c>
      <c r="CK4017">
        <v>24</v>
      </c>
      <c r="CL4017" t="s">
        <v>89</v>
      </c>
    </row>
    <row r="4018" spans="1:90">
      <c r="A4018" t="s">
        <v>72</v>
      </c>
      <c r="B4018" t="s">
        <v>73</v>
      </c>
      <c r="C4018" t="s">
        <v>74</v>
      </c>
      <c r="E4018" t="str">
        <f>"FES1162726131"</f>
        <v>FES1162726131</v>
      </c>
      <c r="F4018" s="3">
        <v>43798</v>
      </c>
      <c r="G4018">
        <v>202005</v>
      </c>
      <c r="H4018" t="s">
        <v>75</v>
      </c>
      <c r="I4018" t="s">
        <v>76</v>
      </c>
      <c r="J4018" t="s">
        <v>77</v>
      </c>
      <c r="K4018" t="s">
        <v>78</v>
      </c>
      <c r="L4018" t="s">
        <v>124</v>
      </c>
      <c r="M4018" t="s">
        <v>125</v>
      </c>
      <c r="N4018" t="s">
        <v>230</v>
      </c>
      <c r="O4018" t="s">
        <v>82</v>
      </c>
      <c r="P4018" t="str">
        <f>"2170719161                    "</f>
        <v xml:space="preserve">2170719161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6.71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</v>
      </c>
      <c r="BJ4018">
        <v>0.2</v>
      </c>
      <c r="BK4018">
        <v>1</v>
      </c>
      <c r="BL4018" s="4">
        <v>39.42</v>
      </c>
      <c r="BM4018" s="4">
        <v>5.91</v>
      </c>
      <c r="BN4018" s="4">
        <v>45.33</v>
      </c>
      <c r="BO4018" s="4">
        <v>45.33</v>
      </c>
      <c r="BQ4018" t="s">
        <v>109</v>
      </c>
      <c r="BR4018" t="s">
        <v>84</v>
      </c>
      <c r="BS4018" t="s">
        <v>201</v>
      </c>
      <c r="BY4018">
        <v>1200</v>
      </c>
      <c r="CC4018" t="s">
        <v>125</v>
      </c>
      <c r="CD4018">
        <v>2091</v>
      </c>
      <c r="CE4018" t="s">
        <v>147</v>
      </c>
      <c r="CI4018">
        <v>1</v>
      </c>
      <c r="CJ4018" t="s">
        <v>201</v>
      </c>
      <c r="CK4018">
        <v>22</v>
      </c>
      <c r="CL4018" t="s">
        <v>89</v>
      </c>
    </row>
    <row r="4019" spans="1:90">
      <c r="A4019" t="s">
        <v>72</v>
      </c>
      <c r="B4019" t="s">
        <v>73</v>
      </c>
      <c r="C4019" t="s">
        <v>74</v>
      </c>
      <c r="E4019" t="str">
        <f>"FES1162726125"</f>
        <v>FES1162726125</v>
      </c>
      <c r="F4019" s="3">
        <v>43798</v>
      </c>
      <c r="G4019">
        <v>202005</v>
      </c>
      <c r="H4019" t="s">
        <v>75</v>
      </c>
      <c r="I4019" t="s">
        <v>76</v>
      </c>
      <c r="J4019" t="s">
        <v>77</v>
      </c>
      <c r="K4019" t="s">
        <v>78</v>
      </c>
      <c r="L4019" t="s">
        <v>106</v>
      </c>
      <c r="M4019" t="s">
        <v>107</v>
      </c>
      <c r="N4019" t="s">
        <v>108</v>
      </c>
      <c r="O4019" t="s">
        <v>82</v>
      </c>
      <c r="P4019" t="str">
        <f>"2170719616                    "</f>
        <v xml:space="preserve">2170719616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12.87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2.9</v>
      </c>
      <c r="BJ4019">
        <v>1.6</v>
      </c>
      <c r="BK4019">
        <v>3</v>
      </c>
      <c r="BL4019" s="4">
        <v>75.66</v>
      </c>
      <c r="BM4019" s="4">
        <v>11.35</v>
      </c>
      <c r="BN4019" s="4">
        <v>87.01</v>
      </c>
      <c r="BO4019" s="4">
        <v>87.01</v>
      </c>
      <c r="BQ4019" t="s">
        <v>109</v>
      </c>
      <c r="BR4019" t="s">
        <v>84</v>
      </c>
      <c r="BS4019" t="s">
        <v>201</v>
      </c>
      <c r="BY4019">
        <v>7755.6</v>
      </c>
      <c r="CC4019" t="s">
        <v>107</v>
      </c>
      <c r="CD4019">
        <v>6001</v>
      </c>
      <c r="CE4019" t="s">
        <v>147</v>
      </c>
      <c r="CI4019">
        <v>1</v>
      </c>
      <c r="CJ4019" t="s">
        <v>201</v>
      </c>
      <c r="CK4019">
        <v>21</v>
      </c>
      <c r="CL4019" t="s">
        <v>89</v>
      </c>
    </row>
    <row r="4020" spans="1:90">
      <c r="A4020" t="s">
        <v>72</v>
      </c>
      <c r="B4020" t="s">
        <v>73</v>
      </c>
      <c r="C4020" t="s">
        <v>74</v>
      </c>
      <c r="E4020" t="str">
        <f>"FES1162726113"</f>
        <v>FES1162726113</v>
      </c>
      <c r="F4020" s="3">
        <v>43798</v>
      </c>
      <c r="G4020">
        <v>202005</v>
      </c>
      <c r="H4020" t="s">
        <v>75</v>
      </c>
      <c r="I4020" t="s">
        <v>76</v>
      </c>
      <c r="J4020" t="s">
        <v>77</v>
      </c>
      <c r="K4020" t="s">
        <v>78</v>
      </c>
      <c r="L4020" t="s">
        <v>3477</v>
      </c>
      <c r="M4020" t="s">
        <v>3478</v>
      </c>
      <c r="N4020" t="s">
        <v>3479</v>
      </c>
      <c r="O4020" t="s">
        <v>82</v>
      </c>
      <c r="P4020" t="str">
        <f>"2170718517                    "</f>
        <v xml:space="preserve">2170718517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16.63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1</v>
      </c>
      <c r="BJ4020">
        <v>0.2</v>
      </c>
      <c r="BK4020">
        <v>1</v>
      </c>
      <c r="BL4020" s="4">
        <v>97.75</v>
      </c>
      <c r="BM4020" s="4">
        <v>14.66</v>
      </c>
      <c r="BN4020" s="4">
        <v>112.41</v>
      </c>
      <c r="BO4020" s="4">
        <v>112.41</v>
      </c>
      <c r="BQ4020" t="s">
        <v>109</v>
      </c>
      <c r="BR4020" t="s">
        <v>84</v>
      </c>
      <c r="BS4020" t="s">
        <v>201</v>
      </c>
      <c r="BY4020">
        <v>1200</v>
      </c>
      <c r="CC4020" t="s">
        <v>3478</v>
      </c>
      <c r="CD4020">
        <v>600</v>
      </c>
      <c r="CE4020" t="s">
        <v>147</v>
      </c>
      <c r="CI4020">
        <v>1</v>
      </c>
      <c r="CJ4020" t="s">
        <v>201</v>
      </c>
      <c r="CK4020">
        <v>23</v>
      </c>
      <c r="CL4020" t="s">
        <v>89</v>
      </c>
    </row>
    <row r="4021" spans="1:90">
      <c r="A4021" t="s">
        <v>72</v>
      </c>
      <c r="B4021" t="s">
        <v>73</v>
      </c>
      <c r="C4021" t="s">
        <v>74</v>
      </c>
      <c r="E4021" t="str">
        <f>"FES1162726007"</f>
        <v>FES1162726007</v>
      </c>
      <c r="F4021" s="3">
        <v>43798</v>
      </c>
      <c r="G4021">
        <v>202005</v>
      </c>
      <c r="H4021" t="s">
        <v>75</v>
      </c>
      <c r="I4021" t="s">
        <v>76</v>
      </c>
      <c r="J4021" t="s">
        <v>77</v>
      </c>
      <c r="K4021" t="s">
        <v>78</v>
      </c>
      <c r="L4021" t="s">
        <v>106</v>
      </c>
      <c r="M4021" t="s">
        <v>107</v>
      </c>
      <c r="N4021" t="s">
        <v>301</v>
      </c>
      <c r="O4021" t="s">
        <v>82</v>
      </c>
      <c r="P4021" t="str">
        <f>"2170719488                    "</f>
        <v xml:space="preserve">2170719488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38.6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5.7</v>
      </c>
      <c r="BJ4021">
        <v>8.8000000000000007</v>
      </c>
      <c r="BK4021">
        <v>9</v>
      </c>
      <c r="BL4021" s="4">
        <v>226.91</v>
      </c>
      <c r="BM4021" s="4">
        <v>34.04</v>
      </c>
      <c r="BN4021" s="4">
        <v>260.95</v>
      </c>
      <c r="BO4021" s="4">
        <v>260.95</v>
      </c>
      <c r="BQ4021" t="s">
        <v>302</v>
      </c>
      <c r="BR4021" t="s">
        <v>84</v>
      </c>
      <c r="BS4021" t="s">
        <v>201</v>
      </c>
      <c r="BY4021">
        <v>43960.73</v>
      </c>
      <c r="CC4021" t="s">
        <v>107</v>
      </c>
      <c r="CD4021">
        <v>6001</v>
      </c>
      <c r="CE4021" t="s">
        <v>1598</v>
      </c>
      <c r="CI4021">
        <v>1</v>
      </c>
      <c r="CJ4021" t="s">
        <v>201</v>
      </c>
      <c r="CK4021">
        <v>21</v>
      </c>
      <c r="CL4021" t="s">
        <v>89</v>
      </c>
    </row>
    <row r="4022" spans="1:90">
      <c r="A4022" t="s">
        <v>72</v>
      </c>
      <c r="B4022" t="s">
        <v>73</v>
      </c>
      <c r="C4022" t="s">
        <v>74</v>
      </c>
      <c r="E4022" t="str">
        <f>"FES1162726141"</f>
        <v>FES1162726141</v>
      </c>
      <c r="F4022" s="3">
        <v>43798</v>
      </c>
      <c r="G4022">
        <v>202005</v>
      </c>
      <c r="H4022" t="s">
        <v>75</v>
      </c>
      <c r="I4022" t="s">
        <v>76</v>
      </c>
      <c r="J4022" t="s">
        <v>77</v>
      </c>
      <c r="K4022" t="s">
        <v>78</v>
      </c>
      <c r="L4022" t="s">
        <v>79</v>
      </c>
      <c r="M4022" t="s">
        <v>80</v>
      </c>
      <c r="N4022" t="s">
        <v>1843</v>
      </c>
      <c r="O4022" t="s">
        <v>82</v>
      </c>
      <c r="P4022" t="str">
        <f>"2170719362                    "</f>
        <v xml:space="preserve">2170719362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42.89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2</v>
      </c>
      <c r="BI4022">
        <v>8.1999999999999993</v>
      </c>
      <c r="BJ4022">
        <v>10</v>
      </c>
      <c r="BK4022">
        <v>10</v>
      </c>
      <c r="BL4022" s="4">
        <v>252.12</v>
      </c>
      <c r="BM4022" s="4">
        <v>37.82</v>
      </c>
      <c r="BN4022" s="4">
        <v>289.94</v>
      </c>
      <c r="BO4022" s="4">
        <v>289.94</v>
      </c>
      <c r="BQ4022" t="s">
        <v>109</v>
      </c>
      <c r="BR4022" t="s">
        <v>84</v>
      </c>
      <c r="BS4022" t="s">
        <v>201</v>
      </c>
      <c r="BY4022">
        <v>49848.959999999999</v>
      </c>
      <c r="CC4022" t="s">
        <v>80</v>
      </c>
      <c r="CD4022">
        <v>6229</v>
      </c>
      <c r="CE4022" t="s">
        <v>3213</v>
      </c>
      <c r="CI4022">
        <v>1</v>
      </c>
      <c r="CJ4022" t="s">
        <v>201</v>
      </c>
      <c r="CK4022">
        <v>21</v>
      </c>
      <c r="CL4022" t="s">
        <v>89</v>
      </c>
    </row>
    <row r="4023" spans="1:90">
      <c r="A4023" t="s">
        <v>72</v>
      </c>
      <c r="B4023" t="s">
        <v>73</v>
      </c>
      <c r="C4023" t="s">
        <v>74</v>
      </c>
      <c r="E4023" t="str">
        <f>"FES1162724932"</f>
        <v>FES1162724932</v>
      </c>
      <c r="F4023" s="3">
        <v>43798</v>
      </c>
      <c r="G4023">
        <v>202005</v>
      </c>
      <c r="H4023" t="s">
        <v>75</v>
      </c>
      <c r="I4023" t="s">
        <v>76</v>
      </c>
      <c r="J4023" t="s">
        <v>77</v>
      </c>
      <c r="K4023" t="s">
        <v>78</v>
      </c>
      <c r="L4023" t="s">
        <v>106</v>
      </c>
      <c r="M4023" t="s">
        <v>107</v>
      </c>
      <c r="N4023" t="s">
        <v>262</v>
      </c>
      <c r="O4023" t="s">
        <v>82</v>
      </c>
      <c r="P4023" t="str">
        <f>"2170718616                    "</f>
        <v xml:space="preserve">2170718616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8.58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1.6</v>
      </c>
      <c r="BJ4023">
        <v>1.8</v>
      </c>
      <c r="BK4023">
        <v>2</v>
      </c>
      <c r="BL4023" s="4">
        <v>50.45</v>
      </c>
      <c r="BM4023" s="4">
        <v>7.57</v>
      </c>
      <c r="BN4023" s="4">
        <v>58.02</v>
      </c>
      <c r="BO4023" s="4">
        <v>58.02</v>
      </c>
      <c r="BQ4023" t="s">
        <v>2355</v>
      </c>
      <c r="BR4023" t="s">
        <v>84</v>
      </c>
      <c r="BS4023" t="s">
        <v>201</v>
      </c>
      <c r="BY4023">
        <v>9028.4500000000007</v>
      </c>
      <c r="CC4023" t="s">
        <v>107</v>
      </c>
      <c r="CD4023">
        <v>6045</v>
      </c>
      <c r="CE4023" t="s">
        <v>88</v>
      </c>
      <c r="CI4023">
        <v>1</v>
      </c>
      <c r="CJ4023" t="s">
        <v>201</v>
      </c>
      <c r="CK4023">
        <v>21</v>
      </c>
      <c r="CL4023" t="s">
        <v>89</v>
      </c>
    </row>
    <row r="4024" spans="1:90">
      <c r="A4024" t="s">
        <v>72</v>
      </c>
      <c r="B4024" t="s">
        <v>73</v>
      </c>
      <c r="C4024" t="s">
        <v>74</v>
      </c>
      <c r="E4024" t="str">
        <f>"009939264328"</f>
        <v>009939264328</v>
      </c>
      <c r="F4024" s="3">
        <v>43798</v>
      </c>
      <c r="G4024">
        <v>202005</v>
      </c>
      <c r="H4024" t="s">
        <v>101</v>
      </c>
      <c r="I4024" t="s">
        <v>102</v>
      </c>
      <c r="J4024" t="s">
        <v>707</v>
      </c>
      <c r="K4024" t="s">
        <v>78</v>
      </c>
      <c r="L4024" t="s">
        <v>75</v>
      </c>
      <c r="M4024" t="s">
        <v>76</v>
      </c>
      <c r="N4024" t="s">
        <v>211</v>
      </c>
      <c r="O4024" t="s">
        <v>82</v>
      </c>
      <c r="P4024" t="str">
        <f>"NO REF                        "</f>
        <v xml:space="preserve">NO REF    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21.45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5</v>
      </c>
      <c r="BJ4024">
        <v>1.2</v>
      </c>
      <c r="BK4024">
        <v>5</v>
      </c>
      <c r="BL4024" s="4">
        <v>126.08</v>
      </c>
      <c r="BM4024" s="4">
        <v>18.91</v>
      </c>
      <c r="BN4024" s="4">
        <v>144.99</v>
      </c>
      <c r="BO4024" s="4">
        <v>144.99</v>
      </c>
      <c r="BQ4024" t="s">
        <v>2364</v>
      </c>
      <c r="BR4024" t="s">
        <v>2365</v>
      </c>
      <c r="BS4024" t="s">
        <v>201</v>
      </c>
      <c r="BY4024">
        <v>5950</v>
      </c>
      <c r="BZ4024" t="s">
        <v>27</v>
      </c>
      <c r="CC4024" t="s">
        <v>76</v>
      </c>
      <c r="CD4024">
        <v>1600</v>
      </c>
      <c r="CE4024" t="s">
        <v>1011</v>
      </c>
      <c r="CI4024">
        <v>1</v>
      </c>
      <c r="CJ4024" t="s">
        <v>201</v>
      </c>
      <c r="CK4024">
        <v>21</v>
      </c>
      <c r="CL4024" t="s">
        <v>89</v>
      </c>
    </row>
    <row r="4025" spans="1:90">
      <c r="A4025" t="s">
        <v>72</v>
      </c>
      <c r="B4025" t="s">
        <v>73</v>
      </c>
      <c r="C4025" t="s">
        <v>74</v>
      </c>
      <c r="E4025" t="str">
        <f>"FES1162726102"</f>
        <v>FES1162726102</v>
      </c>
      <c r="F4025" s="3">
        <v>43798</v>
      </c>
      <c r="G4025">
        <v>202005</v>
      </c>
      <c r="H4025" t="s">
        <v>75</v>
      </c>
      <c r="I4025" t="s">
        <v>76</v>
      </c>
      <c r="J4025" t="s">
        <v>77</v>
      </c>
      <c r="K4025" t="s">
        <v>78</v>
      </c>
      <c r="L4025" t="s">
        <v>482</v>
      </c>
      <c r="M4025" t="s">
        <v>483</v>
      </c>
      <c r="N4025" t="s">
        <v>1054</v>
      </c>
      <c r="O4025" t="s">
        <v>282</v>
      </c>
      <c r="P4025" t="str">
        <f>"2170719590                    "</f>
        <v xml:space="preserve">2170719590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31.46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2</v>
      </c>
      <c r="BI4025">
        <v>30.2</v>
      </c>
      <c r="BJ4025">
        <v>62.4</v>
      </c>
      <c r="BK4025">
        <v>63</v>
      </c>
      <c r="BL4025" s="4">
        <v>189.9</v>
      </c>
      <c r="BM4025" s="4">
        <v>28.49</v>
      </c>
      <c r="BN4025" s="4">
        <v>218.39</v>
      </c>
      <c r="BO4025" s="4">
        <v>218.39</v>
      </c>
      <c r="BQ4025" t="s">
        <v>109</v>
      </c>
      <c r="BR4025" t="s">
        <v>84</v>
      </c>
      <c r="BS4025" t="s">
        <v>201</v>
      </c>
      <c r="BY4025">
        <v>312242.7</v>
      </c>
      <c r="CC4025" t="s">
        <v>483</v>
      </c>
      <c r="CD4025">
        <v>1459</v>
      </c>
      <c r="CE4025" t="s">
        <v>1892</v>
      </c>
      <c r="CI4025">
        <v>1</v>
      </c>
      <c r="CJ4025" t="s">
        <v>201</v>
      </c>
      <c r="CK4025" t="s">
        <v>379</v>
      </c>
      <c r="CL4025" t="s">
        <v>89</v>
      </c>
    </row>
    <row r="4026" spans="1:90">
      <c r="A4026" t="s">
        <v>72</v>
      </c>
      <c r="B4026" t="s">
        <v>73</v>
      </c>
      <c r="C4026" t="s">
        <v>74</v>
      </c>
      <c r="E4026" t="str">
        <f>"FES1162725723"</f>
        <v>FES1162725723</v>
      </c>
      <c r="F4026" s="3">
        <v>43798</v>
      </c>
      <c r="G4026">
        <v>202005</v>
      </c>
      <c r="H4026" t="s">
        <v>75</v>
      </c>
      <c r="I4026" t="s">
        <v>76</v>
      </c>
      <c r="J4026" t="s">
        <v>77</v>
      </c>
      <c r="K4026" t="s">
        <v>78</v>
      </c>
      <c r="L4026" t="s">
        <v>79</v>
      </c>
      <c r="M4026" t="s">
        <v>80</v>
      </c>
      <c r="N4026" t="s">
        <v>458</v>
      </c>
      <c r="O4026" t="s">
        <v>282</v>
      </c>
      <c r="P4026" t="str">
        <f>"2170717096                    "</f>
        <v xml:space="preserve">2170717096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56.69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2</v>
      </c>
      <c r="BI4026">
        <v>40</v>
      </c>
      <c r="BJ4026">
        <v>66.2</v>
      </c>
      <c r="BK4026">
        <v>67</v>
      </c>
      <c r="BL4026" s="4">
        <v>338.24</v>
      </c>
      <c r="BM4026" s="4">
        <v>50.74</v>
      </c>
      <c r="BN4026" s="4">
        <v>388.98</v>
      </c>
      <c r="BO4026" s="4">
        <v>388.98</v>
      </c>
      <c r="BQ4026" t="s">
        <v>109</v>
      </c>
      <c r="BR4026" t="s">
        <v>84</v>
      </c>
      <c r="BS4026" t="s">
        <v>201</v>
      </c>
      <c r="BY4026">
        <v>331066.34999999998</v>
      </c>
      <c r="CC4026" t="s">
        <v>80</v>
      </c>
      <c r="CD4026">
        <v>6230</v>
      </c>
      <c r="CE4026" t="s">
        <v>1892</v>
      </c>
      <c r="CI4026">
        <v>2</v>
      </c>
      <c r="CJ4026" t="s">
        <v>201</v>
      </c>
      <c r="CK4026" t="s">
        <v>1002</v>
      </c>
      <c r="CL4026" t="s">
        <v>89</v>
      </c>
    </row>
    <row r="4027" spans="1:90">
      <c r="A4027" t="s">
        <v>72</v>
      </c>
      <c r="B4027" t="s">
        <v>73</v>
      </c>
      <c r="C4027" t="s">
        <v>74</v>
      </c>
      <c r="E4027" t="str">
        <f>"019911311454"</f>
        <v>019911311454</v>
      </c>
      <c r="F4027" s="3">
        <v>43798</v>
      </c>
      <c r="G4027">
        <v>202005</v>
      </c>
      <c r="H4027" t="s">
        <v>90</v>
      </c>
      <c r="I4027" t="s">
        <v>91</v>
      </c>
      <c r="J4027" t="s">
        <v>211</v>
      </c>
      <c r="K4027" t="s">
        <v>78</v>
      </c>
      <c r="L4027" t="s">
        <v>75</v>
      </c>
      <c r="M4027" t="s">
        <v>76</v>
      </c>
      <c r="N4027" t="s">
        <v>1014</v>
      </c>
      <c r="O4027" t="s">
        <v>282</v>
      </c>
      <c r="P4027" t="str">
        <f>"1703                          "</f>
        <v xml:space="preserve">1703      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17.57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 s="4">
        <v>108.28</v>
      </c>
      <c r="BM4027" s="4">
        <v>16.239999999999998</v>
      </c>
      <c r="BN4027" s="4">
        <v>124.52</v>
      </c>
      <c r="BO4027" s="4">
        <v>124.52</v>
      </c>
      <c r="BQ4027" t="s">
        <v>1015</v>
      </c>
      <c r="BR4027" t="s">
        <v>1011</v>
      </c>
      <c r="BS4027" t="s">
        <v>201</v>
      </c>
      <c r="BY4027">
        <v>1200</v>
      </c>
      <c r="CC4027" t="s">
        <v>76</v>
      </c>
      <c r="CD4027">
        <v>1620</v>
      </c>
      <c r="CE4027" t="s">
        <v>1013</v>
      </c>
      <c r="CI4027">
        <v>2</v>
      </c>
      <c r="CJ4027" t="s">
        <v>201</v>
      </c>
      <c r="CK4027" t="s">
        <v>1002</v>
      </c>
      <c r="CL4027" t="s">
        <v>89</v>
      </c>
    </row>
    <row r="4029" spans="1:90">
      <c r="E4029" t="s">
        <v>3480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875</v>
      </c>
      <c r="AF4029">
        <v>0</v>
      </c>
      <c r="AG4029">
        <v>164.07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57165.41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I4029">
        <v>11059.1</v>
      </c>
      <c r="BJ4029">
        <v>9392.5</v>
      </c>
      <c r="BK4029">
        <v>14145.5</v>
      </c>
      <c r="BL4029" s="4">
        <v>336371.41</v>
      </c>
      <c r="BM4029" s="4">
        <v>50457.120000000003</v>
      </c>
      <c r="BN4029" s="4">
        <v>386828.53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2019-12-02T05:39:47Z</dcterms:created>
  <dcterms:modified xsi:type="dcterms:W3CDTF">2019-12-02T05:40:28Z</dcterms:modified>
</cp:coreProperties>
</file>