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J17991" sheetId="1" r:id="rId1"/>
  </sheets>
  <calcPr calcId="124519"/>
</workbook>
</file>

<file path=xl/calcChain.xml><?xml version="1.0" encoding="utf-8"?>
<calcChain xmlns="http://schemas.openxmlformats.org/spreadsheetml/2006/main">
  <c r="P128" i="1"/>
  <c r="E128"/>
  <c r="P127"/>
  <c r="E127"/>
  <c r="P126"/>
  <c r="E126"/>
  <c r="P125"/>
  <c r="E125"/>
  <c r="P124"/>
  <c r="E124"/>
  <c r="P123"/>
  <c r="E123"/>
  <c r="P122"/>
  <c r="E122"/>
  <c r="P121"/>
  <c r="E121"/>
  <c r="P120"/>
  <c r="E120"/>
  <c r="P119"/>
  <c r="E119"/>
  <c r="P118"/>
  <c r="E118"/>
  <c r="P117"/>
  <c r="E117"/>
  <c r="P116"/>
  <c r="E116"/>
  <c r="P115"/>
  <c r="E115"/>
  <c r="P114"/>
  <c r="E114"/>
  <c r="P113"/>
  <c r="E113"/>
  <c r="P112"/>
  <c r="E112"/>
  <c r="P111"/>
  <c r="E111"/>
  <c r="P110"/>
  <c r="E110"/>
  <c r="P109"/>
  <c r="E109"/>
  <c r="P108"/>
  <c r="E108"/>
  <c r="P107"/>
  <c r="E107"/>
  <c r="P106"/>
  <c r="E106"/>
  <c r="P105"/>
  <c r="E105"/>
  <c r="P104"/>
  <c r="E104"/>
  <c r="P103"/>
  <c r="E103"/>
  <c r="P102"/>
  <c r="E102"/>
  <c r="P101"/>
  <c r="E101"/>
  <c r="P100"/>
  <c r="E100"/>
  <c r="P99"/>
  <c r="E99"/>
  <c r="P98"/>
  <c r="E98"/>
  <c r="P97"/>
  <c r="E97"/>
  <c r="P96"/>
  <c r="E96"/>
  <c r="P95"/>
  <c r="E95"/>
  <c r="P94"/>
  <c r="E94"/>
  <c r="P93"/>
  <c r="E93"/>
  <c r="P92"/>
  <c r="E92"/>
  <c r="P91"/>
  <c r="E91"/>
  <c r="P90"/>
  <c r="E90"/>
  <c r="P89"/>
  <c r="E89"/>
  <c r="P88"/>
  <c r="E88"/>
  <c r="P87"/>
  <c r="E87"/>
  <c r="P86"/>
  <c r="E86"/>
  <c r="P85"/>
  <c r="E85"/>
  <c r="P84"/>
  <c r="E84"/>
  <c r="P83"/>
  <c r="E83"/>
  <c r="P82"/>
  <c r="E82"/>
  <c r="P81"/>
  <c r="E81"/>
  <c r="P80"/>
  <c r="E80"/>
  <c r="P79"/>
  <c r="E79"/>
  <c r="P78"/>
  <c r="E78"/>
  <c r="P77"/>
  <c r="E77"/>
  <c r="P76"/>
  <c r="E76"/>
  <c r="P75"/>
  <c r="E75"/>
  <c r="P74"/>
  <c r="E74"/>
  <c r="P73"/>
  <c r="E73"/>
  <c r="P72"/>
  <c r="E72"/>
  <c r="P71"/>
  <c r="E71"/>
  <c r="P70"/>
  <c r="E70"/>
  <c r="P69"/>
  <c r="E69"/>
  <c r="P68"/>
  <c r="E68"/>
  <c r="P67"/>
  <c r="E67"/>
  <c r="P66"/>
  <c r="E66"/>
  <c r="P65"/>
  <c r="E65"/>
  <c r="P64"/>
  <c r="E64"/>
  <c r="P63"/>
  <c r="E63"/>
  <c r="P62"/>
  <c r="E62"/>
  <c r="P61"/>
  <c r="E61"/>
  <c r="P60"/>
  <c r="E60"/>
  <c r="P59"/>
  <c r="E59"/>
  <c r="P58"/>
  <c r="E58"/>
  <c r="P57"/>
  <c r="E57"/>
  <c r="P56"/>
  <c r="E56"/>
  <c r="P55"/>
  <c r="E55"/>
  <c r="P54"/>
  <c r="E54"/>
  <c r="P53"/>
  <c r="E53"/>
  <c r="P52"/>
  <c r="E52"/>
  <c r="P51"/>
  <c r="E51"/>
  <c r="P50"/>
  <c r="E50"/>
  <c r="P49"/>
  <c r="E49"/>
  <c r="P48"/>
  <c r="E48"/>
  <c r="P47"/>
  <c r="E47"/>
  <c r="P46"/>
  <c r="E46"/>
  <c r="P45"/>
  <c r="E45"/>
  <c r="P44"/>
  <c r="E44"/>
  <c r="P43"/>
  <c r="E43"/>
  <c r="P42"/>
  <c r="E42"/>
  <c r="P41"/>
  <c r="E41"/>
  <c r="P40"/>
  <c r="E40"/>
  <c r="P39"/>
  <c r="E39"/>
  <c r="P38"/>
  <c r="E38"/>
  <c r="P37"/>
  <c r="E37"/>
  <c r="P36"/>
  <c r="E36"/>
  <c r="P35"/>
  <c r="E35"/>
  <c r="P34"/>
  <c r="E34"/>
  <c r="P33"/>
  <c r="E33"/>
  <c r="P32"/>
  <c r="E32"/>
  <c r="P31"/>
  <c r="E31"/>
  <c r="P30"/>
  <c r="E30"/>
  <c r="P29"/>
  <c r="E29"/>
  <c r="P28"/>
  <c r="E28"/>
  <c r="P27"/>
  <c r="E27"/>
  <c r="P26"/>
  <c r="E26"/>
  <c r="P25"/>
  <c r="E25"/>
  <c r="P24"/>
  <c r="E24"/>
  <c r="P23"/>
  <c r="E23"/>
  <c r="P22"/>
  <c r="E22"/>
  <c r="P21"/>
  <c r="E21"/>
  <c r="P20"/>
  <c r="E20"/>
  <c r="P19"/>
  <c r="E19"/>
  <c r="P18"/>
  <c r="E18"/>
  <c r="P17"/>
  <c r="E17"/>
  <c r="P16"/>
  <c r="E16"/>
  <c r="P15"/>
  <c r="E15"/>
  <c r="P14"/>
  <c r="E14"/>
  <c r="P13"/>
  <c r="E13"/>
  <c r="P12"/>
  <c r="E12"/>
  <c r="P11"/>
  <c r="E11"/>
  <c r="P10"/>
  <c r="E10"/>
  <c r="P9"/>
  <c r="E9"/>
  <c r="P8"/>
  <c r="E8"/>
  <c r="P7"/>
  <c r="E7"/>
  <c r="P6"/>
  <c r="E6"/>
  <c r="P5"/>
  <c r="E5"/>
  <c r="P4"/>
  <c r="E4"/>
  <c r="P3"/>
  <c r="E3"/>
  <c r="P2"/>
  <c r="E2"/>
</calcChain>
</file>

<file path=xl/sharedStrings.xml><?xml version="1.0" encoding="utf-8"?>
<sst xmlns="http://schemas.openxmlformats.org/spreadsheetml/2006/main" count="2596" uniqueCount="561">
  <si>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</si>
  <si>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</si>
  <si>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</si>
  <si>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</si>
  <si>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</si>
  <si>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</si>
  <si>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</si>
  <si>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</si>
  <si>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</si>
  <si>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</si>
  <si>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</si>
  <si>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</si>
  <si>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</si>
  <si>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</si>
  <si>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</si>
  <si>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</si>
  <si>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</si>
  <si>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</si>
  <si>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</si>
  <si>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</si>
  <si>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</si>
  <si>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</si>
  <si>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</si>
  <si>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</si>
  <si>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</si>
  <si>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</si>
  <si>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</si>
  <si>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</si>
  <si>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</si>
  <si>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</si>
  <si>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</si>
  <si>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</si>
  <si>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</si>
  <si>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</si>
  <si>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</si>
  <si>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</si>
  <si>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</si>
  <si>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</si>
  <si>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</si>
  <si>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</si>
  <si>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</si>
  <si>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</si>
  <si>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</si>
  <si>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</si>
  <si>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</si>
  <si>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</si>
  <si>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</si>
  <si>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</si>
  <si>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</si>
  <si>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</si>
  <si>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</si>
  <si>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</si>
  <si>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</si>
  <si>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</si>
  <si>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</si>
  <si>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</si>
  <si>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</si>
  <si>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</si>
  <si>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</si>
  <si>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</si>
  <si>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</si>
  <si>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</si>
  <si>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</si>
  <si>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</si>
  <si>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</si>
  <si>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</si>
  <si>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</si>
  <si>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</si>
  <si>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</si>
  <si>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</si>
  <si>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</si>
  <si>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</si>
  <si>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J17991</t>
  </si>
  <si>
    <t xml:space="preserve">MOVE ANALYTICS CC - ADMIN          </t>
  </si>
  <si>
    <t>WAY</t>
  </si>
  <si>
    <t>NELSP</t>
  </si>
  <si>
    <t>NELSPRUIT</t>
  </si>
  <si>
    <t xml:space="preserve">AVIFM                              </t>
  </si>
  <si>
    <t xml:space="preserve">                                   </t>
  </si>
  <si>
    <t>KEMPT</t>
  </si>
  <si>
    <t>KEMPTON PARK</t>
  </si>
  <si>
    <t>ON1</t>
  </si>
  <si>
    <t>ZIYAAD</t>
  </si>
  <si>
    <t>SAM MABENA</t>
  </si>
  <si>
    <t>Nonhlanhla</t>
  </si>
  <si>
    <t>yes</t>
  </si>
  <si>
    <t>POD received from cell 0739524922 M</t>
  </si>
  <si>
    <t>PARCEL</t>
  </si>
  <si>
    <t>no</t>
  </si>
  <si>
    <t>QUEEN</t>
  </si>
  <si>
    <t>QUEENSTOWN</t>
  </si>
  <si>
    <t xml:space="preserve">AVI FIELD                          </t>
  </si>
  <si>
    <t>PORT3</t>
  </si>
  <si>
    <t>PORT ELIZABETH</t>
  </si>
  <si>
    <t xml:space="preserve">AVI                                </t>
  </si>
  <si>
    <t>CHANTEL</t>
  </si>
  <si>
    <t>LEON BREYTENBACH</t>
  </si>
  <si>
    <t>chantel</t>
  </si>
  <si>
    <t>POD received from cell 0835755064 M</t>
  </si>
  <si>
    <t xml:space="preserve">AVI FIELD MARKETING                </t>
  </si>
  <si>
    <t>ALBE2</t>
  </si>
  <si>
    <t>ALBERTON</t>
  </si>
  <si>
    <t xml:space="preserve">SUZANNE OOSTH                      </t>
  </si>
  <si>
    <t>MARY</t>
  </si>
  <si>
    <t>R  00sth</t>
  </si>
  <si>
    <t>POD received from cell 0727172649 M</t>
  </si>
  <si>
    <t>CAPET</t>
  </si>
  <si>
    <t>CAPE TOWN</t>
  </si>
  <si>
    <t xml:space="preserve">PRIONTEX                           </t>
  </si>
  <si>
    <t>PRETO</t>
  </si>
  <si>
    <t>PRETORIA</t>
  </si>
  <si>
    <t xml:space="preserve">UROLOCARE HOSPITAL                 </t>
  </si>
  <si>
    <t>MARILIZE BURGER</t>
  </si>
  <si>
    <t>MARCELLE GORDON</t>
  </si>
  <si>
    <t>Marelize</t>
  </si>
  <si>
    <t>POD received from cell 0780245853 M</t>
  </si>
  <si>
    <t>FLYER</t>
  </si>
  <si>
    <t>MIDRA</t>
  </si>
  <si>
    <t>MIDRAND</t>
  </si>
  <si>
    <t xml:space="preserve">PRIONTEX MICROW CLEAN              </t>
  </si>
  <si>
    <t>CARLA</t>
  </si>
  <si>
    <t>illeg</t>
  </si>
  <si>
    <t>JOHAN</t>
  </si>
  <si>
    <t>JOHANNESBURG</t>
  </si>
  <si>
    <t xml:space="preserve">FAGRON JHB  PHY                    </t>
  </si>
  <si>
    <t>SHEERBANU HOLT</t>
  </si>
  <si>
    <t>rainier</t>
  </si>
  <si>
    <t>POD received from cell 0769347056 M</t>
  </si>
  <si>
    <t xml:space="preserve">ELDIRARIO TRADERS                  </t>
  </si>
  <si>
    <t>NICO STRYDOM</t>
  </si>
  <si>
    <t>chante</t>
  </si>
  <si>
    <t>POD received from cell 0848977566 M</t>
  </si>
  <si>
    <t>FLYER DOCS</t>
  </si>
  <si>
    <t>GEORG</t>
  </si>
  <si>
    <t>GEORGE</t>
  </si>
  <si>
    <t xml:space="preserve">AVI FIELDMARKETING                 </t>
  </si>
  <si>
    <t>JOHN</t>
  </si>
  <si>
    <t>TANYA</t>
  </si>
  <si>
    <t>Late Linehaul Delayed Beyond Skynet Control</t>
  </si>
  <si>
    <t>seb</t>
  </si>
  <si>
    <t>j17991</t>
  </si>
  <si>
    <t xml:space="preserve">avi fieldmarketing                 </t>
  </si>
  <si>
    <t>john</t>
  </si>
  <si>
    <t>chantal</t>
  </si>
  <si>
    <t>UAT</t>
  </si>
  <si>
    <t>PIET1</t>
  </si>
  <si>
    <t>PIETERMARITZBURG</t>
  </si>
  <si>
    <t xml:space="preserve">IBC                                </t>
  </si>
  <si>
    <t xml:space="preserve">AVI NATIONAL BRANDS                </t>
  </si>
  <si>
    <t>JEANETTE</t>
  </si>
  <si>
    <t>AVINASH</t>
  </si>
  <si>
    <t>ROBERT</t>
  </si>
  <si>
    <t xml:space="preserve">AVI FINANCE                        </t>
  </si>
  <si>
    <t xml:space="preserve">I.B.C                              </t>
  </si>
  <si>
    <t>METHEMBE MOYO</t>
  </si>
  <si>
    <t>jessica</t>
  </si>
  <si>
    <t>POD received from cell 0737818615 M</t>
  </si>
  <si>
    <t>UMTAT</t>
  </si>
  <si>
    <t>UMTATA</t>
  </si>
  <si>
    <t>THULANI MEMANI</t>
  </si>
  <si>
    <t>E PAUL</t>
  </si>
  <si>
    <t xml:space="preserve">AVI FIELD MATKETING INLAND WES     </t>
  </si>
  <si>
    <t xml:space="preserve">INDIGO BRANDS                      </t>
  </si>
  <si>
    <t>JACKIE THERON</t>
  </si>
  <si>
    <t>N A</t>
  </si>
  <si>
    <t>gcali</t>
  </si>
  <si>
    <t>POD received from cell 0745037779 M</t>
  </si>
  <si>
    <t xml:space="preserve">Urolocare Hospitals (PTY) Ltd      </t>
  </si>
  <si>
    <t xml:space="preserve">PRIONTEX CAPE                      </t>
  </si>
  <si>
    <t>Marcelle Gordon</t>
  </si>
  <si>
    <t>Henriette or Marlize</t>
  </si>
  <si>
    <t>marcelle</t>
  </si>
  <si>
    <t>POD received from cell 0736814363 M</t>
  </si>
  <si>
    <t>Flyer</t>
  </si>
  <si>
    <t>EAST</t>
  </si>
  <si>
    <t>EAST LONDON</t>
  </si>
  <si>
    <t>WARREN BAARTMAN</t>
  </si>
  <si>
    <t>Warren</t>
  </si>
  <si>
    <t>POD received from cell 0838920848 M</t>
  </si>
  <si>
    <t>VANESSA CHRISTIAN</t>
  </si>
  <si>
    <t>A SONGWANGWA</t>
  </si>
  <si>
    <t>BLOE1</t>
  </si>
  <si>
    <t>BLOEMFONTEIN</t>
  </si>
  <si>
    <t xml:space="preserve">AVI FIELD MARKETING-FREE STATE     </t>
  </si>
  <si>
    <t>IZAAN</t>
  </si>
  <si>
    <t>JEAN</t>
  </si>
  <si>
    <t xml:space="preserve">AVI NBL                            </t>
  </si>
  <si>
    <t>ROMONA KISTEN</t>
  </si>
  <si>
    <t>AMLA KHAN</t>
  </si>
  <si>
    <t>DURBA</t>
  </si>
  <si>
    <t>DURBAN</t>
  </si>
  <si>
    <t>JACHIE T</t>
  </si>
  <si>
    <t>AYESHA</t>
  </si>
  <si>
    <t>CHANTEL M</t>
  </si>
  <si>
    <t>LOUISE A</t>
  </si>
  <si>
    <t>mary</t>
  </si>
  <si>
    <t xml:space="preserve">AUIFM                              </t>
  </si>
  <si>
    <t>NA</t>
  </si>
  <si>
    <t>PHILLEMDN</t>
  </si>
  <si>
    <t>RANDB</t>
  </si>
  <si>
    <t>RANDBURG</t>
  </si>
  <si>
    <t xml:space="preserve">ACINO FORENSICS                    </t>
  </si>
  <si>
    <t>RD</t>
  </si>
  <si>
    <t>RUDO CHIPURIRO</t>
  </si>
  <si>
    <t>ASANDA</t>
  </si>
  <si>
    <t>BOX</t>
  </si>
  <si>
    <t>RD2</t>
  </si>
  <si>
    <t>RDR</t>
  </si>
  <si>
    <t>KIMBE</t>
  </si>
  <si>
    <t>KIMBERLEY</t>
  </si>
  <si>
    <t xml:space="preserve">KIMBERLEY HOSPITAL                 </t>
  </si>
  <si>
    <t>capet</t>
  </si>
  <si>
    <t>COLLECT AT MAIN THEATRE RECEPTIONIST 6TH FLOOR DR ESMAY OLIVIER</t>
  </si>
  <si>
    <t>BRIAN BEYERS</t>
  </si>
  <si>
    <t>Robin</t>
  </si>
  <si>
    <t>POD received from cell 0833164881 M</t>
  </si>
  <si>
    <t>Box</t>
  </si>
  <si>
    <t>RDY</t>
  </si>
  <si>
    <t xml:space="preserve">ZBNC PERFECT HEALTH                </t>
  </si>
  <si>
    <t>BUSI MAKENETE</t>
  </si>
  <si>
    <t>Teboho</t>
  </si>
  <si>
    <t>POD received from cell 0792153175 M</t>
  </si>
  <si>
    <t>UMHLA</t>
  </si>
  <si>
    <t>UMHLANGA ROCKS</t>
  </si>
  <si>
    <t>MAGS PILLAY</t>
  </si>
  <si>
    <t>MALHR BOODHOO</t>
  </si>
  <si>
    <t>phumy</t>
  </si>
  <si>
    <t>POD received from cell 0792438310 M</t>
  </si>
  <si>
    <t>rd1</t>
  </si>
  <si>
    <t>PIET2</t>
  </si>
  <si>
    <t>PIETERSBURG</t>
  </si>
  <si>
    <t xml:space="preserve">AVI FIELD MARKETING INLAND NOR     </t>
  </si>
  <si>
    <t>preto</t>
  </si>
  <si>
    <t>SONNAY KASS</t>
  </si>
  <si>
    <t>GLBERT</t>
  </si>
  <si>
    <t xml:space="preserve">Marie                         </t>
  </si>
  <si>
    <t xml:space="preserve">POD received from cell 0729919507 M     </t>
  </si>
  <si>
    <t>RDD</t>
  </si>
  <si>
    <t>MARIE VAN ALLEN</t>
  </si>
  <si>
    <t>Marie</t>
  </si>
  <si>
    <t>POD received from cell 0729919507 M</t>
  </si>
  <si>
    <t>KERSHNIE MOODLEY</t>
  </si>
  <si>
    <t xml:space="preserve">MIE - SMARTSCREAN                  </t>
  </si>
  <si>
    <t>MORNE SMITH</t>
  </si>
  <si>
    <t>DIVA</t>
  </si>
  <si>
    <t>POD received from cell 0631426232 M</t>
  </si>
  <si>
    <t xml:space="preserve">INTETO CONNECT                     </t>
  </si>
  <si>
    <t xml:space="preserve">TAKE A LOT                         </t>
  </si>
  <si>
    <t>Booking Reference No TALBIAKBL231001</t>
  </si>
  <si>
    <t>Receiving</t>
  </si>
  <si>
    <t>BRADWYN GOLIATH</t>
  </si>
  <si>
    <t xml:space="preserve">PRIONETX                           </t>
  </si>
  <si>
    <t>VERUL</t>
  </si>
  <si>
    <t>VERULAM</t>
  </si>
  <si>
    <t xml:space="preserve">UMHLALI GOLF ESTATE                </t>
  </si>
  <si>
    <t>JANINE BERICHON</t>
  </si>
  <si>
    <t>NADHIR BOODHOO</t>
  </si>
  <si>
    <t>Bongani</t>
  </si>
  <si>
    <t>POD received from cell 0732603055 M</t>
  </si>
  <si>
    <t>rd2</t>
  </si>
  <si>
    <t xml:space="preserve">NETCARE MONTANA HOSP               </t>
  </si>
  <si>
    <t>DR GERHARD KOK</t>
  </si>
  <si>
    <t>NADHIR BOODHOAS</t>
  </si>
  <si>
    <t>magda</t>
  </si>
  <si>
    <t>WELKO</t>
  </si>
  <si>
    <t>WELKOM</t>
  </si>
  <si>
    <t xml:space="preserve">PRIVATE                            </t>
  </si>
  <si>
    <t>ROSEMARY NTLOKO</t>
  </si>
  <si>
    <t>Mathabo</t>
  </si>
  <si>
    <t>POD received from cell 0714033754 M</t>
  </si>
  <si>
    <t xml:space="preserve">MIE                                </t>
  </si>
  <si>
    <t>YAJMA B</t>
  </si>
  <si>
    <t>DIYA</t>
  </si>
  <si>
    <t xml:space="preserve">NBL HEADOFFICE                     </t>
  </si>
  <si>
    <t>DOLF OFFO</t>
  </si>
  <si>
    <t>YAJNA B</t>
  </si>
  <si>
    <t>rebect</t>
  </si>
  <si>
    <t>CHANTEL MYBURG</t>
  </si>
  <si>
    <t>MEMENI THULANI</t>
  </si>
  <si>
    <t>VIRGINIA</t>
  </si>
  <si>
    <t xml:space="preserve">PRIONTEX MICROCLEAN GAUTENG        </t>
  </si>
  <si>
    <t xml:space="preserve">PRIONTEX STERIPACK                 </t>
  </si>
  <si>
    <t>MARK KIRSTEN</t>
  </si>
  <si>
    <t>JERRY</t>
  </si>
  <si>
    <t>mark</t>
  </si>
  <si>
    <t xml:space="preserve">KHAYELITSHA HOSPITAL               </t>
  </si>
  <si>
    <t>.</t>
  </si>
  <si>
    <t>TRECIA WINDVOGEL</t>
  </si>
  <si>
    <t>Marcelle</t>
  </si>
  <si>
    <t>Company Closed</t>
  </si>
  <si>
    <t>jam</t>
  </si>
  <si>
    <t>RDL</t>
  </si>
  <si>
    <t xml:space="preserve">NEW SOMERSET HOSPITAL              </t>
  </si>
  <si>
    <t>DR DAWIE SCHOEMAN</t>
  </si>
  <si>
    <t>MARCELLE GORDON ROBIN</t>
  </si>
  <si>
    <t>SCHOEMAN</t>
  </si>
  <si>
    <t>NGF</t>
  </si>
  <si>
    <t xml:space="preserve">INDINGO BRANDS                     </t>
  </si>
  <si>
    <t>silayi</t>
  </si>
  <si>
    <t xml:space="preserve">INDIGO COSMETICS                   </t>
  </si>
  <si>
    <t>FARENA JACOBS</t>
  </si>
  <si>
    <t>ngf</t>
  </si>
  <si>
    <t xml:space="preserve">HAKUNA MATATA VET                  </t>
  </si>
  <si>
    <t>JEANRE</t>
  </si>
  <si>
    <t>Jeanne</t>
  </si>
  <si>
    <t>Outlying delivery location</t>
  </si>
  <si>
    <t>avw</t>
  </si>
  <si>
    <t>POD received from cell 0636391488 M</t>
  </si>
  <si>
    <t>VERWO</t>
  </si>
  <si>
    <t>CENTURION</t>
  </si>
  <si>
    <t xml:space="preserve">MIE SMARTSCREEN                    </t>
  </si>
  <si>
    <t>BRENDA</t>
  </si>
  <si>
    <t>LOUIS</t>
  </si>
  <si>
    <t>LOUIS TRICHARDT</t>
  </si>
  <si>
    <t xml:space="preserve">MALAMULELE HOSPITAL                </t>
  </si>
  <si>
    <t>KHULSO RAMPHELO</t>
  </si>
  <si>
    <t>RAMPHELO</t>
  </si>
  <si>
    <t>POD received from cell 086738963 M</t>
  </si>
  <si>
    <t>RD5</t>
  </si>
  <si>
    <t xml:space="preserve">MEDICLINIC WELKOM                  </t>
  </si>
  <si>
    <t>CHARNE LEE COETZER</t>
  </si>
  <si>
    <t>C Smit</t>
  </si>
  <si>
    <t>POD received from cell 0731159260 M</t>
  </si>
  <si>
    <t>RD3</t>
  </si>
  <si>
    <t xml:space="preserve">PRINTEX                            </t>
  </si>
  <si>
    <t>SHAMIL BEGG</t>
  </si>
  <si>
    <t>PETER</t>
  </si>
  <si>
    <t xml:space="preserve">PRIONTEX MICRONCLEAN               </t>
  </si>
  <si>
    <t xml:space="preserve">B AND L STERIPCK                   </t>
  </si>
  <si>
    <t>MARK</t>
  </si>
  <si>
    <t>shwrwy</t>
  </si>
  <si>
    <t>POD received from cell 0744435413 M</t>
  </si>
  <si>
    <t xml:space="preserve">AFFMED                             </t>
  </si>
  <si>
    <t>SERENA SWART</t>
  </si>
  <si>
    <t>swart</t>
  </si>
  <si>
    <t>JACKIE T</t>
  </si>
  <si>
    <t xml:space="preserve">PRIONTEX  Corporate Park North     </t>
  </si>
  <si>
    <t xml:space="preserve">Priontex Durban                    </t>
  </si>
  <si>
    <t>SDX</t>
  </si>
  <si>
    <t>MAK KIRSTEN</t>
  </si>
  <si>
    <t>Jerry</t>
  </si>
  <si>
    <t>WISEMAN</t>
  </si>
  <si>
    <t>DSD / FUE</t>
  </si>
  <si>
    <t xml:space="preserve">AQUARIUS HEALTHCARE                </t>
  </si>
  <si>
    <t>BEVERLEY NOBLE</t>
  </si>
  <si>
    <t>Michelle</t>
  </si>
  <si>
    <t>POD received from cell 0833656676 M</t>
  </si>
  <si>
    <t xml:space="preserve">INHEP                              </t>
  </si>
  <si>
    <t>JACKIE</t>
  </si>
  <si>
    <t>SONAY</t>
  </si>
  <si>
    <t xml:space="preserve">SHEPPARD GROUP SHEPPARD MEDICA     </t>
  </si>
  <si>
    <t>MANDY VAN WYK</t>
  </si>
  <si>
    <t>mandy</t>
  </si>
  <si>
    <t>POD received from cell 0731234559 M</t>
  </si>
  <si>
    <t xml:space="preserve">P V T                              </t>
  </si>
  <si>
    <t>FRANCES HOLMES</t>
  </si>
  <si>
    <t>BRYONY CLARK</t>
  </si>
  <si>
    <t>matthew holmes</t>
  </si>
  <si>
    <t>POD received from cell 0723716814 M</t>
  </si>
  <si>
    <t>STEVEN</t>
  </si>
  <si>
    <t>?</t>
  </si>
  <si>
    <t>FORENA JACOBS</t>
  </si>
  <si>
    <t xml:space="preserve">ALTIS BIOLOGICS                    </t>
  </si>
  <si>
    <t>NICOLAAS DUNEAS</t>
  </si>
  <si>
    <t>charis</t>
  </si>
  <si>
    <t>..</t>
  </si>
  <si>
    <t>STANF</t>
  </si>
  <si>
    <t>STANDFORD</t>
  </si>
  <si>
    <t xml:space="preserve">I   J                              </t>
  </si>
  <si>
    <t>TEHAN</t>
  </si>
  <si>
    <t>Phumza</t>
  </si>
  <si>
    <t>POD received from cell 0785909133 M</t>
  </si>
  <si>
    <t xml:space="preserve">NEW SOMERSET HOSPITAL PHARMACY     </t>
  </si>
  <si>
    <t>CAROLINE DE BEER</t>
  </si>
  <si>
    <t xml:space="preserve">C DEBEER                      </t>
  </si>
  <si>
    <t xml:space="preserve">                                        </t>
  </si>
  <si>
    <t xml:space="preserve">AVI FIELD MARKERTING               </t>
  </si>
  <si>
    <t>NONHLANHLA</t>
  </si>
  <si>
    <t>C ERASMUS</t>
  </si>
  <si>
    <t>PORT4</t>
  </si>
  <si>
    <t>PORT SHEPSTONE</t>
  </si>
  <si>
    <t xml:space="preserve">HIBISCUS HOSPITAL                  </t>
  </si>
  <si>
    <t>SUDHASHA</t>
  </si>
  <si>
    <t>rd3</t>
  </si>
  <si>
    <t xml:space="preserve">PRINTOEX                           </t>
  </si>
  <si>
    <t>MATCELLA G</t>
  </si>
  <si>
    <t xml:space="preserve">UROLOCORE HOSPITALS                </t>
  </si>
  <si>
    <t>MARLIZE BURGER</t>
  </si>
  <si>
    <t xml:space="preserve">NATIONAL BRANDS LTD                </t>
  </si>
  <si>
    <t>LEIGH ANN</t>
  </si>
  <si>
    <t>OLIVER</t>
  </si>
  <si>
    <t xml:space="preserve">ILLEG                         </t>
  </si>
  <si>
    <t xml:space="preserve">CLUB SURGIGAL                      </t>
  </si>
  <si>
    <t>DR JD DE WET</t>
  </si>
  <si>
    <t>Adele</t>
  </si>
  <si>
    <t>POD received from cell 0723940461 M</t>
  </si>
  <si>
    <t>EBRAHIM</t>
  </si>
  <si>
    <t>NICOLYN</t>
  </si>
  <si>
    <t>ZAKHELE</t>
  </si>
  <si>
    <t>rdx</t>
  </si>
  <si>
    <t xml:space="preserve">ROBERT                        </t>
  </si>
  <si>
    <t xml:space="preserve">AVI FM WESTERN CAPE                </t>
  </si>
  <si>
    <t xml:space="preserve">AVI FIELD MARKETING INLAND WES     </t>
  </si>
  <si>
    <t>MPHO NGAPO</t>
  </si>
  <si>
    <t>CANDICE MURISON</t>
  </si>
  <si>
    <t>Aphiwe</t>
  </si>
  <si>
    <t xml:space="preserve">AVI FIELD MARKETING WC             </t>
  </si>
  <si>
    <t xml:space="preserve">AVI FIELD MARKETING KZN            </t>
  </si>
  <si>
    <t>LOUISA VIEIRA</t>
  </si>
  <si>
    <t>TEIDI</t>
  </si>
  <si>
    <t>POD received from cell 0748410312 M</t>
  </si>
  <si>
    <t>HAND SANITIZERS</t>
  </si>
  <si>
    <t xml:space="preserve">AVI FIELD MARKETING FREE STATE     </t>
  </si>
  <si>
    <t>NICOLYNN BLIGNAUT</t>
  </si>
  <si>
    <t>margrette</t>
  </si>
  <si>
    <t>POD received from cell 0847649236 M</t>
  </si>
  <si>
    <t xml:space="preserve">AVI FIELD MARKETING INLAND EAS     </t>
  </si>
  <si>
    <t>ZIYAAD MAHOMED</t>
  </si>
  <si>
    <t>BIANCA VORSTER</t>
  </si>
  <si>
    <t xml:space="preserve">AVI FIELD MARKETING E CAPE         </t>
  </si>
  <si>
    <t>SHIREEN BASTERMAN</t>
  </si>
  <si>
    <t>uat</t>
  </si>
  <si>
    <t>AR SUPPORT</t>
  </si>
  <si>
    <t>THABANG</t>
  </si>
  <si>
    <t xml:space="preserve">DR DEON DORFMAN                    </t>
  </si>
  <si>
    <t>DR DEON DORFMAN</t>
  </si>
  <si>
    <t>Consignee not available)</t>
  </si>
  <si>
    <t>POD received from cell 0814169974 M</t>
  </si>
  <si>
    <t xml:space="preserve">LIFE MOUNT EDGECOMBE HOSP          </t>
  </si>
  <si>
    <t>NABILA KHAN</t>
  </si>
  <si>
    <t>ILLEG</t>
  </si>
  <si>
    <t xml:space="preserve">LINDA SANANGURAI                   </t>
  </si>
  <si>
    <t>NIRVANA</t>
  </si>
  <si>
    <t xml:space="preserve">ASPEN PHARMACARE                   </t>
  </si>
  <si>
    <t>CORLIEN</t>
  </si>
  <si>
    <t>Simphewe</t>
  </si>
  <si>
    <t>RDX</t>
  </si>
  <si>
    <t xml:space="preserve">EAST LONDON EYE HOSP               </t>
  </si>
  <si>
    <t>JO-ANNE HULLEY</t>
  </si>
  <si>
    <t>J  Hulley</t>
  </si>
  <si>
    <t>Late linehaul</t>
  </si>
  <si>
    <t>AVW</t>
  </si>
  <si>
    <t>POD received from cell 0619762165 M</t>
  </si>
  <si>
    <t>ROODE</t>
  </si>
  <si>
    <t>ROODEPOORT</t>
  </si>
  <si>
    <t xml:space="preserve">Selective Surgical                 </t>
  </si>
  <si>
    <t>Zane Fourie</t>
  </si>
  <si>
    <t>Jonathan</t>
  </si>
  <si>
    <t xml:space="preserve">PRIONTEX MICROCLEAN PTY LTD        </t>
  </si>
  <si>
    <t>SHAMIL</t>
  </si>
  <si>
    <t>Split shipment</t>
  </si>
  <si>
    <t>1 box still in JHB</t>
  </si>
  <si>
    <t>CHANEL</t>
  </si>
  <si>
    <t>THULANI</t>
  </si>
  <si>
    <t xml:space="preserve">DR E VENTER ZUID AFRIKAANS         </t>
  </si>
  <si>
    <t>VANESSA DUVENHAGE</t>
  </si>
  <si>
    <t>jacob</t>
  </si>
  <si>
    <t xml:space="preserve">LIFE ST DOMINICS HOSPITAL          </t>
  </si>
  <si>
    <t>MR LUTHO KUNYU</t>
  </si>
  <si>
    <t>margie</t>
  </si>
  <si>
    <t>POD received from cell 0834172191 M</t>
  </si>
  <si>
    <t xml:space="preserve">NATIONAL BRANDS                    </t>
  </si>
  <si>
    <t xml:space="preserve">SHAHEED SALIE                      </t>
  </si>
  <si>
    <t>JENAL</t>
  </si>
  <si>
    <t>Shaheed</t>
  </si>
  <si>
    <t>POD received from cell 0835346652 M</t>
  </si>
  <si>
    <t xml:space="preserve">NATIONAL BRANDS LIMITED            </t>
  </si>
  <si>
    <t xml:space="preserve">AMIE JORDI                         </t>
  </si>
  <si>
    <t>AMIE JORDI</t>
  </si>
  <si>
    <t>christoph</t>
  </si>
  <si>
    <t xml:space="preserve">NDIGO COSMETICS                    </t>
  </si>
  <si>
    <t>CATHERINE</t>
  </si>
  <si>
    <t>EUGENE</t>
  </si>
  <si>
    <t>John</t>
  </si>
  <si>
    <t>Missed cutoff</t>
  </si>
  <si>
    <t xml:space="preserve">LYNN SHERLOCK                      </t>
  </si>
  <si>
    <t xml:space="preserve">I AND J HOUSE                      </t>
  </si>
  <si>
    <t>SHIREEN</t>
  </si>
  <si>
    <t>LIZA</t>
  </si>
  <si>
    <t xml:space="preserve">NATIONAL BRAND LIMITED             </t>
  </si>
  <si>
    <t xml:space="preserve">YOGAN MOODLEY                      </t>
  </si>
  <si>
    <t>NAZLIYAH</t>
  </si>
  <si>
    <t>PAM</t>
  </si>
  <si>
    <t xml:space="preserve">WINSTON VEERASAMY                  </t>
  </si>
  <si>
    <t>EUGEN</t>
  </si>
  <si>
    <t xml:space="preserve">JENAL DEVAR                        </t>
  </si>
  <si>
    <t xml:space="preserve">PRANASHAN MOODLEY                  </t>
  </si>
  <si>
    <t>SHERYL</t>
  </si>
  <si>
    <t>CHARLENE</t>
  </si>
  <si>
    <t>mbongeni</t>
  </si>
  <si>
    <t>Appointment required</t>
  </si>
  <si>
    <t>mst</t>
  </si>
  <si>
    <t>POD received from cell 0731123851 M</t>
  </si>
  <si>
    <t xml:space="preserve">LIFE MOUNT EDGECOMBE HOSPITAL      </t>
  </si>
  <si>
    <t xml:space="preserve">SHIROON BASTERMAN                  </t>
  </si>
  <si>
    <t>SHIRLY</t>
  </si>
  <si>
    <t>NICOLYNN</t>
  </si>
  <si>
    <t>RD1</t>
  </si>
  <si>
    <t>PINET</t>
  </si>
  <si>
    <t>PINETOWN</t>
  </si>
  <si>
    <t>NARESHINI</t>
  </si>
  <si>
    <t>DINEO</t>
  </si>
  <si>
    <t xml:space="preserve">PETER HAMMOND                      </t>
  </si>
  <si>
    <t xml:space="preserve">PRIONTEX P.E.                      </t>
  </si>
  <si>
    <t xml:space="preserve">EURO LAB ASU                       </t>
  </si>
  <si>
    <t>PAOLA  JO MARI</t>
  </si>
  <si>
    <t>JACQUES</t>
  </si>
  <si>
    <t>Gilbert</t>
  </si>
  <si>
    <t>POD received from cell 0761285291 M</t>
  </si>
  <si>
    <t xml:space="preserve">FAGRON SOUTH AFRICA                </t>
  </si>
  <si>
    <t>TERTIUS UEBEL</t>
  </si>
  <si>
    <t>A Burg</t>
  </si>
  <si>
    <t>POD received from cell 0763378994 M</t>
  </si>
  <si>
    <t xml:space="preserve">SURGICAL SYSTEMS                   </t>
  </si>
  <si>
    <t>AIDAN</t>
  </si>
  <si>
    <t>Aidan</t>
  </si>
  <si>
    <t xml:space="preserve">FRESENIUS KABI MAN.SA              </t>
  </si>
  <si>
    <t>YOLANDE V GREUNEN</t>
  </si>
  <si>
    <t>Merlin</t>
  </si>
  <si>
    <t xml:space="preserve">PRIONTEX SA-GAUTENG                </t>
  </si>
  <si>
    <t>CARLA SCHEEPERS</t>
  </si>
  <si>
    <t>SYLVIA</t>
  </si>
  <si>
    <t>FACE MASK</t>
  </si>
  <si>
    <t xml:space="preserve">ROYAL HOSP.HEARTH CENTRE-LENME     </t>
  </si>
  <si>
    <t>MR HECTOR MCKAY</t>
  </si>
  <si>
    <t>ANTOINETTE</t>
  </si>
  <si>
    <t>BUS</t>
  </si>
  <si>
    <t>POD received from cell 0782552431 M</t>
  </si>
  <si>
    <t xml:space="preserve">INTERCARE MEDICAL CENTRE           </t>
  </si>
  <si>
    <t>DR DWAN CASTELYN</t>
  </si>
  <si>
    <t>Natasha</t>
  </si>
  <si>
    <t>POD received from cell 0738228265 M</t>
  </si>
  <si>
    <t xml:space="preserve">AFFMED-BLOCK @ NATURE              </t>
  </si>
  <si>
    <t xml:space="preserve">PELONOMI HOSPITAL                  </t>
  </si>
  <si>
    <t>DR.Z BESELAAR</t>
  </si>
  <si>
    <t xml:space="preserve">INTERNATIONAL TRADING AGENCY       </t>
  </si>
  <si>
    <t xml:space="preserve">PRIONTEX SA (PTY)LTD               </t>
  </si>
  <si>
    <t>Sassman</t>
  </si>
  <si>
    <t xml:space="preserve">PRIOMTEX                           </t>
  </si>
  <si>
    <t>DR BASELAAR</t>
  </si>
  <si>
    <t>MAGS</t>
  </si>
  <si>
    <t>Beselaar</t>
  </si>
  <si>
    <t>POD received from cell 0815464056 M</t>
  </si>
  <si>
    <t xml:space="preserve">SNACHWORKS AVI                     </t>
  </si>
  <si>
    <t>MARIE</t>
  </si>
  <si>
    <t>STEVE TAYLOR</t>
  </si>
  <si>
    <t xml:space="preserve">ELDIARIO TRADERS                   </t>
  </si>
  <si>
    <t>Chaunre</t>
  </si>
  <si>
    <t>MASK</t>
  </si>
  <si>
    <t xml:space="preserve">COVENTRY CLOTHING                  </t>
  </si>
  <si>
    <t>ANDREA</t>
  </si>
  <si>
    <t xml:space="preserve">PRIONTER MICRONCLEAN               </t>
  </si>
  <si>
    <t xml:space="preserve">LIFE ENTABENI HOSPITAL             </t>
  </si>
  <si>
    <t>VINNIE MORRIS</t>
  </si>
  <si>
    <t xml:space="preserve">TYGERBERG HOSPITAL                 </t>
  </si>
  <si>
    <t>NAOHIR BOODHOO</t>
  </si>
  <si>
    <t xml:space="preserve">BLUETECH                           </t>
  </si>
  <si>
    <t>JULIE</t>
  </si>
  <si>
    <t>ZOLA</t>
  </si>
  <si>
    <t>PALLET</t>
  </si>
  <si>
    <t>Account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</si>
</sst>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N130"/>
  <sheetViews>
    <sheetView tabSelected="1" workbookViewId="0">
      <selection activeCell="F139" sqref="F139"/>
    </sheetView>
  </sheetViews>
  <sheetFormatPr defaultRowHeight="15"/>
  <cols>
    <col min="6" max="6" width="15.28515625" customWidth="1"/>
    <col min="64" max="67" width="9.140625" style="4"/>
  </cols>
  <sheetData>
    <row r="1" spans="1:92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2" t="s">
        <v>43</v>
      </c>
      <c r="BM1" s="2" t="s">
        <v>44</v>
      </c>
      <c r="BN1" s="2" t="s">
        <v>45</v>
      </c>
      <c r="BO1" s="2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1" t="s">
        <v>71</v>
      </c>
    </row>
    <row r="2" spans="1:92">
      <c r="A2" t="s">
        <v>72</v>
      </c>
      <c r="B2" t="s">
        <v>73</v>
      </c>
      <c r="C2" t="s">
        <v>74</v>
      </c>
      <c r="E2" t="str">
        <f>"009938740893"</f>
        <v>009938740893</v>
      </c>
      <c r="F2" s="3">
        <v>43894</v>
      </c>
      <c r="G2">
        <v>202009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77</v>
      </c>
      <c r="O2" t="s">
        <v>81</v>
      </c>
      <c r="P2" t="str">
        <f>"NA                            "</f>
        <v xml:space="preserve">NA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7.54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0.8</v>
      </c>
      <c r="BJ2">
        <v>1.8</v>
      </c>
      <c r="BK2">
        <v>2</v>
      </c>
      <c r="BL2" s="4">
        <v>49.41</v>
      </c>
      <c r="BM2" s="4">
        <v>7.41</v>
      </c>
      <c r="BN2" s="4">
        <v>56.82</v>
      </c>
      <c r="BO2" s="4">
        <v>56.82</v>
      </c>
      <c r="BQ2" t="s">
        <v>82</v>
      </c>
      <c r="BR2" t="s">
        <v>83</v>
      </c>
      <c r="BS2" s="3">
        <v>43895</v>
      </c>
      <c r="BT2" s="5">
        <v>0.36736111111111108</v>
      </c>
      <c r="BU2" t="s">
        <v>84</v>
      </c>
      <c r="BV2" t="s">
        <v>85</v>
      </c>
      <c r="BY2">
        <v>8792.68</v>
      </c>
      <c r="BZ2" t="s">
        <v>27</v>
      </c>
      <c r="CA2" t="s">
        <v>86</v>
      </c>
      <c r="CC2" t="s">
        <v>80</v>
      </c>
      <c r="CD2">
        <v>1600</v>
      </c>
      <c r="CE2" t="s">
        <v>87</v>
      </c>
      <c r="CF2" s="3">
        <v>43897</v>
      </c>
      <c r="CI2">
        <v>1</v>
      </c>
      <c r="CJ2">
        <v>1</v>
      </c>
      <c r="CK2">
        <v>21</v>
      </c>
      <c r="CL2" t="s">
        <v>88</v>
      </c>
    </row>
    <row r="3" spans="1:92">
      <c r="A3" t="s">
        <v>72</v>
      </c>
      <c r="B3" t="s">
        <v>73</v>
      </c>
      <c r="C3" t="s">
        <v>74</v>
      </c>
      <c r="E3" t="str">
        <f>"039902791464"</f>
        <v>039902791464</v>
      </c>
      <c r="F3" s="3">
        <v>43895</v>
      </c>
      <c r="G3">
        <v>202009</v>
      </c>
      <c r="H3" t="s">
        <v>89</v>
      </c>
      <c r="I3" t="s">
        <v>90</v>
      </c>
      <c r="J3" t="s">
        <v>91</v>
      </c>
      <c r="K3" t="s">
        <v>78</v>
      </c>
      <c r="L3" t="s">
        <v>92</v>
      </c>
      <c r="M3" t="s">
        <v>93</v>
      </c>
      <c r="N3" t="s">
        <v>94</v>
      </c>
      <c r="O3" t="s">
        <v>81</v>
      </c>
      <c r="P3" t="str">
        <f>"                              "</f>
        <v xml:space="preserve"> 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14.6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0.3</v>
      </c>
      <c r="BK3">
        <v>1</v>
      </c>
      <c r="BL3" s="4">
        <v>95.72</v>
      </c>
      <c r="BM3" s="4">
        <v>14.36</v>
      </c>
      <c r="BN3" s="4">
        <v>110.08</v>
      </c>
      <c r="BO3" s="4">
        <v>110.08</v>
      </c>
      <c r="BQ3" t="s">
        <v>95</v>
      </c>
      <c r="BR3" t="s">
        <v>96</v>
      </c>
      <c r="BS3" s="3">
        <v>43896</v>
      </c>
      <c r="BT3" s="5">
        <v>0.38819444444444445</v>
      </c>
      <c r="BU3" t="s">
        <v>97</v>
      </c>
      <c r="BV3" t="s">
        <v>85</v>
      </c>
      <c r="BY3">
        <v>1665</v>
      </c>
      <c r="BZ3" t="s">
        <v>27</v>
      </c>
      <c r="CA3" t="s">
        <v>98</v>
      </c>
      <c r="CC3" t="s">
        <v>93</v>
      </c>
      <c r="CD3">
        <v>6045</v>
      </c>
      <c r="CE3" t="s">
        <v>87</v>
      </c>
      <c r="CF3" s="3">
        <v>43901</v>
      </c>
      <c r="CI3">
        <v>1</v>
      </c>
      <c r="CJ3">
        <v>1</v>
      </c>
      <c r="CK3">
        <v>23</v>
      </c>
      <c r="CL3" t="s">
        <v>88</v>
      </c>
    </row>
    <row r="4" spans="1:92">
      <c r="A4" t="s">
        <v>72</v>
      </c>
      <c r="B4" t="s">
        <v>73</v>
      </c>
      <c r="C4" t="s">
        <v>74</v>
      </c>
      <c r="E4" t="str">
        <f>"009939638559"</f>
        <v>009939638559</v>
      </c>
      <c r="F4" s="3">
        <v>43896</v>
      </c>
      <c r="G4">
        <v>202009</v>
      </c>
      <c r="H4" t="s">
        <v>92</v>
      </c>
      <c r="I4" t="s">
        <v>93</v>
      </c>
      <c r="J4" t="s">
        <v>99</v>
      </c>
      <c r="K4" t="s">
        <v>78</v>
      </c>
      <c r="L4" t="s">
        <v>100</v>
      </c>
      <c r="M4" t="s">
        <v>101</v>
      </c>
      <c r="N4" t="s">
        <v>102</v>
      </c>
      <c r="O4" t="s">
        <v>81</v>
      </c>
      <c r="P4" t="str">
        <f>"11912270 FM                   "</f>
        <v xml:space="preserve">11912270 FM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7.54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0.2</v>
      </c>
      <c r="BK4">
        <v>1</v>
      </c>
      <c r="BL4" s="4">
        <v>49.41</v>
      </c>
      <c r="BM4" s="4">
        <v>7.41</v>
      </c>
      <c r="BN4" s="4">
        <v>56.82</v>
      </c>
      <c r="BO4" s="4">
        <v>56.82</v>
      </c>
      <c r="BR4" t="s">
        <v>103</v>
      </c>
      <c r="BS4" s="3">
        <v>43899</v>
      </c>
      <c r="BT4" s="5">
        <v>0.39374999999999999</v>
      </c>
      <c r="BU4" t="s">
        <v>104</v>
      </c>
      <c r="BV4" t="s">
        <v>85</v>
      </c>
      <c r="BY4">
        <v>1200</v>
      </c>
      <c r="BZ4" t="s">
        <v>27</v>
      </c>
      <c r="CA4" t="s">
        <v>105</v>
      </c>
      <c r="CC4" t="s">
        <v>101</v>
      </c>
      <c r="CD4">
        <v>1453</v>
      </c>
      <c r="CE4" t="s">
        <v>87</v>
      </c>
      <c r="CF4" s="3">
        <v>43900</v>
      </c>
      <c r="CI4">
        <v>1</v>
      </c>
      <c r="CJ4">
        <v>1</v>
      </c>
      <c r="CK4">
        <v>21</v>
      </c>
      <c r="CL4" t="s">
        <v>88</v>
      </c>
    </row>
    <row r="5" spans="1:92">
      <c r="A5" t="s">
        <v>72</v>
      </c>
      <c r="B5" t="s">
        <v>73</v>
      </c>
      <c r="C5" t="s">
        <v>74</v>
      </c>
      <c r="E5" t="str">
        <f>"019911488710"</f>
        <v>019911488710</v>
      </c>
      <c r="F5" s="3">
        <v>43895</v>
      </c>
      <c r="G5">
        <v>202009</v>
      </c>
      <c r="H5" t="s">
        <v>106</v>
      </c>
      <c r="I5" t="s">
        <v>107</v>
      </c>
      <c r="J5" t="s">
        <v>108</v>
      </c>
      <c r="K5" t="s">
        <v>78</v>
      </c>
      <c r="L5" t="s">
        <v>109</v>
      </c>
      <c r="M5" t="s">
        <v>110</v>
      </c>
      <c r="N5" t="s">
        <v>111</v>
      </c>
      <c r="O5" t="s">
        <v>81</v>
      </c>
      <c r="P5" t="str">
        <f>"NA                            "</f>
        <v xml:space="preserve">NA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7.54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0.8</v>
      </c>
      <c r="BJ5">
        <v>1.5</v>
      </c>
      <c r="BK5">
        <v>1.5</v>
      </c>
      <c r="BL5" s="4">
        <v>49.41</v>
      </c>
      <c r="BM5" s="4">
        <v>7.41</v>
      </c>
      <c r="BN5" s="4">
        <v>56.82</v>
      </c>
      <c r="BO5" s="4">
        <v>56.82</v>
      </c>
      <c r="BQ5" t="s">
        <v>112</v>
      </c>
      <c r="BR5" t="s">
        <v>113</v>
      </c>
      <c r="BS5" s="3">
        <v>43896</v>
      </c>
      <c r="BT5" s="5">
        <v>0.35416666666666669</v>
      </c>
      <c r="BU5" t="s">
        <v>114</v>
      </c>
      <c r="BV5" t="s">
        <v>85</v>
      </c>
      <c r="BY5">
        <v>7511</v>
      </c>
      <c r="BZ5" t="s">
        <v>27</v>
      </c>
      <c r="CA5" t="s">
        <v>115</v>
      </c>
      <c r="CC5" t="s">
        <v>110</v>
      </c>
      <c r="CD5">
        <v>83</v>
      </c>
      <c r="CE5" t="s">
        <v>116</v>
      </c>
      <c r="CF5" s="3">
        <v>43896</v>
      </c>
      <c r="CI5">
        <v>1</v>
      </c>
      <c r="CJ5">
        <v>1</v>
      </c>
      <c r="CK5">
        <v>21</v>
      </c>
      <c r="CL5" t="s">
        <v>88</v>
      </c>
    </row>
    <row r="6" spans="1:92">
      <c r="A6" t="s">
        <v>72</v>
      </c>
      <c r="B6" t="s">
        <v>73</v>
      </c>
      <c r="C6" t="s">
        <v>74</v>
      </c>
      <c r="E6" t="str">
        <f>"019911488708"</f>
        <v>019911488708</v>
      </c>
      <c r="F6" s="3">
        <v>43893</v>
      </c>
      <c r="G6">
        <v>202009</v>
      </c>
      <c r="H6" t="s">
        <v>106</v>
      </c>
      <c r="I6" t="s">
        <v>107</v>
      </c>
      <c r="J6" t="s">
        <v>108</v>
      </c>
      <c r="K6" t="s">
        <v>78</v>
      </c>
      <c r="L6" t="s">
        <v>117</v>
      </c>
      <c r="M6" t="s">
        <v>118</v>
      </c>
      <c r="N6" t="s">
        <v>119</v>
      </c>
      <c r="O6" t="s">
        <v>81</v>
      </c>
      <c r="P6" t="str">
        <f>"NA                            "</f>
        <v xml:space="preserve">NA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110.88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22.7</v>
      </c>
      <c r="BJ6">
        <v>26.3</v>
      </c>
      <c r="BK6">
        <v>26.5</v>
      </c>
      <c r="BL6" s="4">
        <v>665.29</v>
      </c>
      <c r="BM6" s="4">
        <v>99.79</v>
      </c>
      <c r="BN6" s="4">
        <v>765.08</v>
      </c>
      <c r="BO6" s="4">
        <v>765.08</v>
      </c>
      <c r="BQ6" t="s">
        <v>120</v>
      </c>
      <c r="BR6" t="s">
        <v>113</v>
      </c>
      <c r="BS6" s="3">
        <v>43894</v>
      </c>
      <c r="BT6" s="5">
        <v>0.38541666666666669</v>
      </c>
      <c r="BU6" t="s">
        <v>121</v>
      </c>
      <c r="BV6" t="s">
        <v>85</v>
      </c>
      <c r="BY6">
        <v>131539.20000000001</v>
      </c>
      <c r="BZ6" t="s">
        <v>27</v>
      </c>
      <c r="CC6" t="s">
        <v>118</v>
      </c>
      <c r="CD6">
        <v>1683</v>
      </c>
      <c r="CE6" t="s">
        <v>87</v>
      </c>
      <c r="CF6" s="3">
        <v>43895</v>
      </c>
      <c r="CI6">
        <v>1</v>
      </c>
      <c r="CJ6">
        <v>1</v>
      </c>
      <c r="CK6">
        <v>21</v>
      </c>
      <c r="CL6" t="s">
        <v>88</v>
      </c>
    </row>
    <row r="7" spans="1:92">
      <c r="A7" t="s">
        <v>72</v>
      </c>
      <c r="B7" t="s">
        <v>73</v>
      </c>
      <c r="C7" t="s">
        <v>74</v>
      </c>
      <c r="E7" t="str">
        <f>"019911488709"</f>
        <v>019911488709</v>
      </c>
      <c r="F7" s="3">
        <v>43893</v>
      </c>
      <c r="G7">
        <v>202009</v>
      </c>
      <c r="H7" t="s">
        <v>106</v>
      </c>
      <c r="I7" t="s">
        <v>107</v>
      </c>
      <c r="J7" t="s">
        <v>108</v>
      </c>
      <c r="K7" t="s">
        <v>78</v>
      </c>
      <c r="L7" t="s">
        <v>122</v>
      </c>
      <c r="M7" t="s">
        <v>123</v>
      </c>
      <c r="N7" t="s">
        <v>124</v>
      </c>
      <c r="O7" t="s">
        <v>81</v>
      </c>
      <c r="P7" t="str">
        <f>"NA                            "</f>
        <v xml:space="preserve">NA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8.3699999999999992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0.8</v>
      </c>
      <c r="BJ7">
        <v>1.3</v>
      </c>
      <c r="BK7">
        <v>1.5</v>
      </c>
      <c r="BL7" s="4">
        <v>50.24</v>
      </c>
      <c r="BM7" s="4">
        <v>7.54</v>
      </c>
      <c r="BN7" s="4">
        <v>57.78</v>
      </c>
      <c r="BO7" s="4">
        <v>57.78</v>
      </c>
      <c r="BQ7" t="s">
        <v>125</v>
      </c>
      <c r="BR7" t="s">
        <v>113</v>
      </c>
      <c r="BS7" s="3">
        <v>43894</v>
      </c>
      <c r="BT7" s="5">
        <v>0.41666666666666669</v>
      </c>
      <c r="BU7" t="s">
        <v>126</v>
      </c>
      <c r="BV7" t="s">
        <v>85</v>
      </c>
      <c r="BY7">
        <v>6670.8</v>
      </c>
      <c r="BZ7" t="s">
        <v>27</v>
      </c>
      <c r="CA7" t="s">
        <v>127</v>
      </c>
      <c r="CC7" t="s">
        <v>123</v>
      </c>
      <c r="CD7">
        <v>2115</v>
      </c>
      <c r="CE7" t="s">
        <v>87</v>
      </c>
      <c r="CF7" s="3">
        <v>43895</v>
      </c>
      <c r="CI7">
        <v>1</v>
      </c>
      <c r="CJ7">
        <v>1</v>
      </c>
      <c r="CK7">
        <v>21</v>
      </c>
      <c r="CL7" t="s">
        <v>88</v>
      </c>
    </row>
    <row r="8" spans="1:92">
      <c r="A8" t="s">
        <v>72</v>
      </c>
      <c r="B8" t="s">
        <v>73</v>
      </c>
      <c r="C8" t="s">
        <v>74</v>
      </c>
      <c r="E8" t="str">
        <f>"019911488711"</f>
        <v>019911488711</v>
      </c>
      <c r="F8" s="3">
        <v>43895</v>
      </c>
      <c r="G8">
        <v>202009</v>
      </c>
      <c r="H8" t="s">
        <v>106</v>
      </c>
      <c r="I8" t="s">
        <v>107</v>
      </c>
      <c r="J8" t="s">
        <v>108</v>
      </c>
      <c r="K8" t="s">
        <v>78</v>
      </c>
      <c r="L8" t="s">
        <v>92</v>
      </c>
      <c r="M8" t="s">
        <v>93</v>
      </c>
      <c r="N8" t="s">
        <v>128</v>
      </c>
      <c r="O8" t="s">
        <v>81</v>
      </c>
      <c r="P8" t="str">
        <f>"NA                            "</f>
        <v xml:space="preserve">NA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7.54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0.5</v>
      </c>
      <c r="BJ8">
        <v>0.4</v>
      </c>
      <c r="BK8">
        <v>0.5</v>
      </c>
      <c r="BL8" s="4">
        <v>49.41</v>
      </c>
      <c r="BM8" s="4">
        <v>7.41</v>
      </c>
      <c r="BN8" s="4">
        <v>56.82</v>
      </c>
      <c r="BO8" s="4">
        <v>56.82</v>
      </c>
      <c r="BQ8" t="s">
        <v>129</v>
      </c>
      <c r="BR8" t="s">
        <v>113</v>
      </c>
      <c r="BS8" s="3">
        <v>43896</v>
      </c>
      <c r="BT8" s="5">
        <v>0.3923611111111111</v>
      </c>
      <c r="BU8" t="s">
        <v>130</v>
      </c>
      <c r="BV8" t="s">
        <v>85</v>
      </c>
      <c r="BY8">
        <v>1799.28</v>
      </c>
      <c r="BZ8" t="s">
        <v>27</v>
      </c>
      <c r="CA8" t="s">
        <v>131</v>
      </c>
      <c r="CC8" t="s">
        <v>93</v>
      </c>
      <c r="CD8">
        <v>6001</v>
      </c>
      <c r="CE8" t="s">
        <v>132</v>
      </c>
      <c r="CF8" s="3">
        <v>43901</v>
      </c>
      <c r="CI8">
        <v>1</v>
      </c>
      <c r="CJ8">
        <v>1</v>
      </c>
      <c r="CK8">
        <v>21</v>
      </c>
      <c r="CL8" t="s">
        <v>88</v>
      </c>
    </row>
    <row r="9" spans="1:92">
      <c r="A9" t="s">
        <v>72</v>
      </c>
      <c r="B9" t="s">
        <v>73</v>
      </c>
      <c r="C9" t="s">
        <v>74</v>
      </c>
      <c r="E9" t="str">
        <f>"009939638562"</f>
        <v>009939638562</v>
      </c>
      <c r="F9" s="3">
        <v>43892</v>
      </c>
      <c r="G9">
        <v>202009</v>
      </c>
      <c r="H9" t="s">
        <v>92</v>
      </c>
      <c r="I9" t="s">
        <v>93</v>
      </c>
      <c r="J9" t="s">
        <v>99</v>
      </c>
      <c r="K9" t="s">
        <v>78</v>
      </c>
      <c r="L9" t="s">
        <v>133</v>
      </c>
      <c r="M9" t="s">
        <v>134</v>
      </c>
      <c r="N9" t="s">
        <v>135</v>
      </c>
      <c r="O9" t="s">
        <v>81</v>
      </c>
      <c r="P9" t="str">
        <f>"11912270 FM                   "</f>
        <v xml:space="preserve">11912270 FM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10.47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2.4</v>
      </c>
      <c r="BK9">
        <v>2.5</v>
      </c>
      <c r="BL9" s="4">
        <v>62.8</v>
      </c>
      <c r="BM9" s="4">
        <v>9.42</v>
      </c>
      <c r="BN9" s="4">
        <v>72.22</v>
      </c>
      <c r="BO9" s="4">
        <v>72.22</v>
      </c>
      <c r="BQ9" t="s">
        <v>136</v>
      </c>
      <c r="BR9" t="s">
        <v>103</v>
      </c>
      <c r="BS9" s="3">
        <v>43895</v>
      </c>
      <c r="BT9" s="5">
        <v>0.45833333333333331</v>
      </c>
      <c r="BU9" t="s">
        <v>137</v>
      </c>
      <c r="BV9" t="s">
        <v>88</v>
      </c>
      <c r="BW9" t="s">
        <v>138</v>
      </c>
      <c r="BX9" t="s">
        <v>139</v>
      </c>
      <c r="BY9">
        <v>12000</v>
      </c>
      <c r="BZ9" t="s">
        <v>27</v>
      </c>
      <c r="CC9" t="s">
        <v>134</v>
      </c>
      <c r="CD9">
        <v>6530</v>
      </c>
      <c r="CE9" t="s">
        <v>87</v>
      </c>
      <c r="CF9" s="3">
        <v>43901</v>
      </c>
      <c r="CI9">
        <v>1</v>
      </c>
      <c r="CJ9">
        <v>3</v>
      </c>
      <c r="CK9">
        <v>21</v>
      </c>
      <c r="CL9" t="s">
        <v>88</v>
      </c>
    </row>
    <row r="10" spans="1:92">
      <c r="A10" t="s">
        <v>72</v>
      </c>
      <c r="B10" t="s">
        <v>73</v>
      </c>
      <c r="C10" t="s">
        <v>74</v>
      </c>
      <c r="E10" t="str">
        <f>"009938740894"</f>
        <v>009938740894</v>
      </c>
      <c r="F10" s="3">
        <v>43894</v>
      </c>
      <c r="G10">
        <v>202009</v>
      </c>
      <c r="H10" t="s">
        <v>75</v>
      </c>
      <c r="I10" t="s">
        <v>76</v>
      </c>
      <c r="J10" t="s">
        <v>99</v>
      </c>
      <c r="K10" t="s">
        <v>78</v>
      </c>
      <c r="L10" t="s">
        <v>79</v>
      </c>
      <c r="M10" t="s">
        <v>80</v>
      </c>
      <c r="N10" t="s">
        <v>77</v>
      </c>
      <c r="O10" t="s">
        <v>81</v>
      </c>
      <c r="P10" t="str">
        <f>"NA                            "</f>
        <v xml:space="preserve">NA 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7.54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0.2</v>
      </c>
      <c r="BJ10">
        <v>1</v>
      </c>
      <c r="BK10">
        <v>1</v>
      </c>
      <c r="BL10" s="4">
        <v>49.41</v>
      </c>
      <c r="BM10" s="4">
        <v>7.41</v>
      </c>
      <c r="BN10" s="4">
        <v>56.82</v>
      </c>
      <c r="BO10" s="4">
        <v>56.82</v>
      </c>
      <c r="BQ10" t="s">
        <v>82</v>
      </c>
      <c r="BR10" t="s">
        <v>83</v>
      </c>
      <c r="BS10" s="3">
        <v>43895</v>
      </c>
      <c r="BT10" s="5">
        <v>0.36736111111111108</v>
      </c>
      <c r="BU10" t="s">
        <v>84</v>
      </c>
      <c r="BV10" t="s">
        <v>85</v>
      </c>
      <c r="BY10">
        <v>5138.03</v>
      </c>
      <c r="BZ10" t="s">
        <v>27</v>
      </c>
      <c r="CA10" t="s">
        <v>86</v>
      </c>
      <c r="CC10" t="s">
        <v>80</v>
      </c>
      <c r="CD10">
        <v>1600</v>
      </c>
      <c r="CE10" t="s">
        <v>87</v>
      </c>
      <c r="CF10" s="3">
        <v>43897</v>
      </c>
      <c r="CI10">
        <v>1</v>
      </c>
      <c r="CJ10">
        <v>1</v>
      </c>
      <c r="CK10">
        <v>21</v>
      </c>
      <c r="CL10" t="s">
        <v>88</v>
      </c>
    </row>
    <row r="11" spans="1:92">
      <c r="A11" t="s">
        <v>140</v>
      </c>
      <c r="B11" t="s">
        <v>73</v>
      </c>
      <c r="C11" t="s">
        <v>74</v>
      </c>
      <c r="E11" t="str">
        <f>"039902303582"</f>
        <v>039902303582</v>
      </c>
      <c r="F11" s="3">
        <v>43896</v>
      </c>
      <c r="G11">
        <v>202009</v>
      </c>
      <c r="H11" t="s">
        <v>133</v>
      </c>
      <c r="I11" t="s">
        <v>134</v>
      </c>
      <c r="J11" t="s">
        <v>141</v>
      </c>
      <c r="K11" t="s">
        <v>78</v>
      </c>
      <c r="L11" t="s">
        <v>92</v>
      </c>
      <c r="M11" t="s">
        <v>93</v>
      </c>
      <c r="N11" t="s">
        <v>141</v>
      </c>
      <c r="O11" t="s">
        <v>81</v>
      </c>
      <c r="P11" t="str">
        <f>"                              "</f>
        <v xml:space="preserve">  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7.54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 s="4">
        <v>49.41</v>
      </c>
      <c r="BM11" s="4">
        <v>7.41</v>
      </c>
      <c r="BN11" s="4">
        <v>56.82</v>
      </c>
      <c r="BO11" s="4">
        <v>56.82</v>
      </c>
      <c r="BR11" t="s">
        <v>142</v>
      </c>
      <c r="BS11" s="3">
        <v>43900</v>
      </c>
      <c r="BT11" s="5">
        <v>0.3979166666666667</v>
      </c>
      <c r="BU11" t="s">
        <v>143</v>
      </c>
      <c r="BV11" t="s">
        <v>88</v>
      </c>
      <c r="BW11" t="s">
        <v>138</v>
      </c>
      <c r="BX11" t="s">
        <v>144</v>
      </c>
      <c r="BY11">
        <v>1200</v>
      </c>
      <c r="BZ11" t="s">
        <v>27</v>
      </c>
      <c r="CC11" t="s">
        <v>93</v>
      </c>
      <c r="CD11">
        <v>6000</v>
      </c>
      <c r="CE11" t="s">
        <v>87</v>
      </c>
      <c r="CF11" s="3">
        <v>43901</v>
      </c>
      <c r="CI11">
        <v>1</v>
      </c>
      <c r="CJ11">
        <v>2</v>
      </c>
      <c r="CK11">
        <v>21</v>
      </c>
      <c r="CL11" t="s">
        <v>88</v>
      </c>
    </row>
    <row r="12" spans="1:92">
      <c r="A12" t="s">
        <v>72</v>
      </c>
      <c r="B12" t="s">
        <v>73</v>
      </c>
      <c r="C12" t="s">
        <v>74</v>
      </c>
      <c r="E12" t="str">
        <f>"029908447411"</f>
        <v>029908447411</v>
      </c>
      <c r="F12" s="3">
        <v>43893</v>
      </c>
      <c r="G12">
        <v>202009</v>
      </c>
      <c r="H12" t="s">
        <v>145</v>
      </c>
      <c r="I12" t="s">
        <v>146</v>
      </c>
      <c r="J12" t="s">
        <v>147</v>
      </c>
      <c r="K12" t="s">
        <v>78</v>
      </c>
      <c r="L12" t="s">
        <v>122</v>
      </c>
      <c r="M12" t="s">
        <v>123</v>
      </c>
      <c r="N12" t="s">
        <v>148</v>
      </c>
      <c r="O12" t="s">
        <v>81</v>
      </c>
      <c r="P12" t="str">
        <f>"                              "</f>
        <v xml:space="preserve">  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10.47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2.4</v>
      </c>
      <c r="BK12">
        <v>2.5</v>
      </c>
      <c r="BL12" s="4">
        <v>62.8</v>
      </c>
      <c r="BM12" s="4">
        <v>9.42</v>
      </c>
      <c r="BN12" s="4">
        <v>72.22</v>
      </c>
      <c r="BO12" s="4">
        <v>72.22</v>
      </c>
      <c r="BQ12" t="s">
        <v>149</v>
      </c>
      <c r="BR12" t="s">
        <v>150</v>
      </c>
      <c r="BS12" s="3">
        <v>43894</v>
      </c>
      <c r="BT12" s="5">
        <v>0.3298611111111111</v>
      </c>
      <c r="BU12" t="s">
        <v>151</v>
      </c>
      <c r="BV12" t="s">
        <v>85</v>
      </c>
      <c r="BY12">
        <v>12000</v>
      </c>
      <c r="BZ12" t="s">
        <v>27</v>
      </c>
      <c r="CC12" t="s">
        <v>123</v>
      </c>
      <c r="CD12">
        <v>2021</v>
      </c>
      <c r="CE12" t="s">
        <v>87</v>
      </c>
      <c r="CF12" s="3">
        <v>43895</v>
      </c>
      <c r="CI12">
        <v>1</v>
      </c>
      <c r="CJ12">
        <v>1</v>
      </c>
      <c r="CK12">
        <v>21</v>
      </c>
      <c r="CL12" t="s">
        <v>88</v>
      </c>
    </row>
    <row r="13" spans="1:92">
      <c r="A13" t="s">
        <v>140</v>
      </c>
      <c r="B13" t="s">
        <v>73</v>
      </c>
      <c r="C13" t="s">
        <v>74</v>
      </c>
      <c r="E13" t="str">
        <f>"039902303593"</f>
        <v>039902303593</v>
      </c>
      <c r="F13" s="3">
        <v>43894</v>
      </c>
      <c r="G13">
        <v>202009</v>
      </c>
      <c r="H13" t="s">
        <v>133</v>
      </c>
      <c r="I13" t="s">
        <v>134</v>
      </c>
      <c r="J13" t="s">
        <v>135</v>
      </c>
      <c r="K13" t="s">
        <v>78</v>
      </c>
      <c r="L13" t="s">
        <v>92</v>
      </c>
      <c r="M13" t="s">
        <v>93</v>
      </c>
      <c r="N13" t="s">
        <v>135</v>
      </c>
      <c r="O13" t="s">
        <v>81</v>
      </c>
      <c r="P13" t="str">
        <f>"                              "</f>
        <v xml:space="preserve">  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7.54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0.2</v>
      </c>
      <c r="BK13">
        <v>1</v>
      </c>
      <c r="BL13" s="4">
        <v>49.41</v>
      </c>
      <c r="BM13" s="4">
        <v>7.41</v>
      </c>
      <c r="BN13" s="4">
        <v>56.82</v>
      </c>
      <c r="BO13" s="4">
        <v>56.82</v>
      </c>
      <c r="BP13">
        <v>9939480672</v>
      </c>
      <c r="BS13" s="3">
        <v>43895</v>
      </c>
      <c r="BT13" s="5">
        <v>0.41666666666666669</v>
      </c>
      <c r="BU13" t="s">
        <v>95</v>
      </c>
      <c r="BV13" t="s">
        <v>85</v>
      </c>
      <c r="BY13">
        <v>1200</v>
      </c>
      <c r="BZ13" t="s">
        <v>27</v>
      </c>
      <c r="CA13" t="s">
        <v>98</v>
      </c>
      <c r="CC13" t="s">
        <v>93</v>
      </c>
      <c r="CD13">
        <v>6045</v>
      </c>
      <c r="CE13" t="s">
        <v>87</v>
      </c>
      <c r="CF13" s="3">
        <v>43896</v>
      </c>
      <c r="CI13">
        <v>1</v>
      </c>
      <c r="CJ13">
        <v>1</v>
      </c>
      <c r="CK13">
        <v>21</v>
      </c>
      <c r="CL13" t="s">
        <v>88</v>
      </c>
    </row>
    <row r="14" spans="1:92">
      <c r="A14" t="s">
        <v>72</v>
      </c>
      <c r="B14" t="s">
        <v>73</v>
      </c>
      <c r="C14" t="s">
        <v>74</v>
      </c>
      <c r="E14" t="str">
        <f>"009939209591"</f>
        <v>009939209591</v>
      </c>
      <c r="F14" s="3">
        <v>43892</v>
      </c>
      <c r="G14">
        <v>202009</v>
      </c>
      <c r="H14" t="s">
        <v>122</v>
      </c>
      <c r="I14" t="s">
        <v>123</v>
      </c>
      <c r="J14" t="s">
        <v>152</v>
      </c>
      <c r="K14" t="s">
        <v>78</v>
      </c>
      <c r="L14" t="s">
        <v>145</v>
      </c>
      <c r="M14" t="s">
        <v>146</v>
      </c>
      <c r="N14" t="s">
        <v>153</v>
      </c>
      <c r="O14" t="s">
        <v>81</v>
      </c>
      <c r="P14" t="str">
        <f>"11004530FN 460040             "</f>
        <v xml:space="preserve">11004530FN 460040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8.3699999999999992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0.6</v>
      </c>
      <c r="BJ14">
        <v>1.4</v>
      </c>
      <c r="BK14">
        <v>1.5</v>
      </c>
      <c r="BL14" s="4">
        <v>50.24</v>
      </c>
      <c r="BM14" s="4">
        <v>7.54</v>
      </c>
      <c r="BN14" s="4">
        <v>57.78</v>
      </c>
      <c r="BO14" s="4">
        <v>57.78</v>
      </c>
      <c r="BQ14" t="s">
        <v>150</v>
      </c>
      <c r="BR14" t="s">
        <v>154</v>
      </c>
      <c r="BS14" s="3">
        <v>43893</v>
      </c>
      <c r="BT14" s="5">
        <v>0.42569444444444443</v>
      </c>
      <c r="BU14" t="s">
        <v>155</v>
      </c>
      <c r="BV14" t="s">
        <v>85</v>
      </c>
      <c r="BY14">
        <v>6858.29</v>
      </c>
      <c r="BZ14" t="s">
        <v>27</v>
      </c>
      <c r="CA14" t="s">
        <v>156</v>
      </c>
      <c r="CC14" t="s">
        <v>146</v>
      </c>
      <c r="CD14">
        <v>3201</v>
      </c>
      <c r="CE14" t="s">
        <v>87</v>
      </c>
      <c r="CF14" s="3">
        <v>43895</v>
      </c>
      <c r="CI14">
        <v>1</v>
      </c>
      <c r="CJ14">
        <v>1</v>
      </c>
      <c r="CK14">
        <v>21</v>
      </c>
      <c r="CL14" t="s">
        <v>88</v>
      </c>
    </row>
    <row r="15" spans="1:92">
      <c r="A15" t="s">
        <v>72</v>
      </c>
      <c r="B15" t="s">
        <v>73</v>
      </c>
      <c r="C15" t="s">
        <v>74</v>
      </c>
      <c r="E15" t="str">
        <f>"009939638560"</f>
        <v>009939638560</v>
      </c>
      <c r="F15" s="3">
        <v>43894</v>
      </c>
      <c r="G15">
        <v>202009</v>
      </c>
      <c r="H15" t="s">
        <v>92</v>
      </c>
      <c r="I15" t="s">
        <v>93</v>
      </c>
      <c r="J15" t="s">
        <v>99</v>
      </c>
      <c r="K15" t="s">
        <v>78</v>
      </c>
      <c r="L15" t="s">
        <v>157</v>
      </c>
      <c r="M15" t="s">
        <v>158</v>
      </c>
      <c r="N15" t="s">
        <v>135</v>
      </c>
      <c r="O15" t="s">
        <v>81</v>
      </c>
      <c r="P15" t="str">
        <f>"11912270 FM                   "</f>
        <v xml:space="preserve">11912270 FM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14.6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0.2</v>
      </c>
      <c r="BK15">
        <v>1</v>
      </c>
      <c r="BL15" s="4">
        <v>95.72</v>
      </c>
      <c r="BM15" s="4">
        <v>14.36</v>
      </c>
      <c r="BN15" s="4">
        <v>110.08</v>
      </c>
      <c r="BO15" s="4">
        <v>110.08</v>
      </c>
      <c r="BQ15" t="s">
        <v>159</v>
      </c>
      <c r="BR15" t="s">
        <v>103</v>
      </c>
      <c r="BS15" s="3">
        <v>43895</v>
      </c>
      <c r="BT15" s="5">
        <v>0.68125000000000002</v>
      </c>
      <c r="BU15" t="s">
        <v>160</v>
      </c>
      <c r="BV15" t="s">
        <v>85</v>
      </c>
      <c r="BY15">
        <v>1200</v>
      </c>
      <c r="BZ15" t="s">
        <v>27</v>
      </c>
      <c r="CC15" t="s">
        <v>158</v>
      </c>
      <c r="CD15">
        <v>5099</v>
      </c>
      <c r="CE15" t="s">
        <v>87</v>
      </c>
      <c r="CF15" s="3">
        <v>43900</v>
      </c>
      <c r="CI15">
        <v>3</v>
      </c>
      <c r="CJ15">
        <v>1</v>
      </c>
      <c r="CK15">
        <v>23</v>
      </c>
      <c r="CL15" t="s">
        <v>88</v>
      </c>
    </row>
    <row r="16" spans="1:92">
      <c r="A16" t="s">
        <v>72</v>
      </c>
      <c r="B16" t="s">
        <v>73</v>
      </c>
      <c r="C16" t="s">
        <v>74</v>
      </c>
      <c r="E16" t="str">
        <f>"009935227681"</f>
        <v>009935227681</v>
      </c>
      <c r="F16" s="3">
        <v>43896</v>
      </c>
      <c r="G16">
        <v>202009</v>
      </c>
      <c r="H16" t="s">
        <v>79</v>
      </c>
      <c r="I16" t="s">
        <v>80</v>
      </c>
      <c r="J16" t="s">
        <v>161</v>
      </c>
      <c r="K16" t="s">
        <v>78</v>
      </c>
      <c r="L16" t="s">
        <v>106</v>
      </c>
      <c r="M16" t="s">
        <v>107</v>
      </c>
      <c r="N16" t="s">
        <v>162</v>
      </c>
      <c r="O16" t="s">
        <v>81</v>
      </c>
      <c r="P16" t="str">
        <f>"...                           "</f>
        <v xml:space="preserve">...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7.54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0.6</v>
      </c>
      <c r="BJ16">
        <v>1</v>
      </c>
      <c r="BK16">
        <v>1</v>
      </c>
      <c r="BL16" s="4">
        <v>49.41</v>
      </c>
      <c r="BM16" s="4">
        <v>7.41</v>
      </c>
      <c r="BN16" s="4">
        <v>56.82</v>
      </c>
      <c r="BO16" s="4">
        <v>56.82</v>
      </c>
      <c r="BQ16" t="s">
        <v>163</v>
      </c>
      <c r="BR16" t="s">
        <v>164</v>
      </c>
      <c r="BS16" s="3">
        <v>43899</v>
      </c>
      <c r="BT16" s="5">
        <v>0.43541666666666662</v>
      </c>
      <c r="BU16" t="s">
        <v>165</v>
      </c>
      <c r="BV16" t="s">
        <v>85</v>
      </c>
      <c r="BY16">
        <v>5028.79</v>
      </c>
      <c r="BZ16" t="s">
        <v>27</v>
      </c>
      <c r="CA16" t="s">
        <v>166</v>
      </c>
      <c r="CC16" t="s">
        <v>107</v>
      </c>
      <c r="CD16">
        <v>8000</v>
      </c>
      <c r="CE16" t="s">
        <v>87</v>
      </c>
      <c r="CF16" s="3">
        <v>43900</v>
      </c>
      <c r="CI16">
        <v>1</v>
      </c>
      <c r="CJ16">
        <v>1</v>
      </c>
      <c r="CK16">
        <v>21</v>
      </c>
      <c r="CL16" t="s">
        <v>88</v>
      </c>
    </row>
    <row r="17" spans="1:90">
      <c r="A17" t="s">
        <v>72</v>
      </c>
      <c r="B17" t="s">
        <v>73</v>
      </c>
      <c r="C17" t="s">
        <v>74</v>
      </c>
      <c r="E17" t="str">
        <f>"080002554140"</f>
        <v>080002554140</v>
      </c>
      <c r="F17" s="3">
        <v>43894</v>
      </c>
      <c r="G17">
        <v>202009</v>
      </c>
      <c r="H17" t="s">
        <v>109</v>
      </c>
      <c r="I17" t="s">
        <v>110</v>
      </c>
      <c r="J17" t="s">
        <v>167</v>
      </c>
      <c r="K17" t="s">
        <v>78</v>
      </c>
      <c r="L17" t="s">
        <v>106</v>
      </c>
      <c r="M17" t="s">
        <v>107</v>
      </c>
      <c r="N17" t="s">
        <v>168</v>
      </c>
      <c r="O17" t="s">
        <v>81</v>
      </c>
      <c r="P17" t="str">
        <f>"                              "</f>
        <v xml:space="preserve">  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7.54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0.5</v>
      </c>
      <c r="BK17">
        <v>1</v>
      </c>
      <c r="BL17" s="4">
        <v>49.41</v>
      </c>
      <c r="BM17" s="4">
        <v>7.41</v>
      </c>
      <c r="BN17" s="4">
        <v>56.82</v>
      </c>
      <c r="BO17" s="4">
        <v>56.82</v>
      </c>
      <c r="BQ17" t="s">
        <v>169</v>
      </c>
      <c r="BR17" t="s">
        <v>170</v>
      </c>
      <c r="BS17" s="3">
        <v>43895</v>
      </c>
      <c r="BT17" s="5">
        <v>0.38055555555555554</v>
      </c>
      <c r="BU17" t="s">
        <v>171</v>
      </c>
      <c r="BV17" t="s">
        <v>85</v>
      </c>
      <c r="BY17">
        <v>2400</v>
      </c>
      <c r="BZ17" t="s">
        <v>27</v>
      </c>
      <c r="CA17" t="s">
        <v>172</v>
      </c>
      <c r="CC17" t="s">
        <v>107</v>
      </c>
      <c r="CD17">
        <v>7824</v>
      </c>
      <c r="CE17" t="s">
        <v>173</v>
      </c>
      <c r="CF17" s="3">
        <v>43896</v>
      </c>
      <c r="CI17">
        <v>1</v>
      </c>
      <c r="CJ17">
        <v>1</v>
      </c>
      <c r="CK17">
        <v>21</v>
      </c>
      <c r="CL17" t="s">
        <v>88</v>
      </c>
    </row>
    <row r="18" spans="1:90">
      <c r="A18" t="s">
        <v>72</v>
      </c>
      <c r="B18" t="s">
        <v>73</v>
      </c>
      <c r="C18" t="s">
        <v>74</v>
      </c>
      <c r="E18" t="str">
        <f>"009939638561"</f>
        <v>009939638561</v>
      </c>
      <c r="F18" s="3">
        <v>43894</v>
      </c>
      <c r="G18">
        <v>202009</v>
      </c>
      <c r="H18" t="s">
        <v>92</v>
      </c>
      <c r="I18" t="s">
        <v>93</v>
      </c>
      <c r="J18" t="s">
        <v>99</v>
      </c>
      <c r="K18" t="s">
        <v>78</v>
      </c>
      <c r="L18" t="s">
        <v>174</v>
      </c>
      <c r="M18" t="s">
        <v>175</v>
      </c>
      <c r="N18" t="s">
        <v>99</v>
      </c>
      <c r="O18" t="s">
        <v>81</v>
      </c>
      <c r="P18" t="str">
        <f>"11912270 FM                   "</f>
        <v xml:space="preserve">11912270 FM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7.54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0.5</v>
      </c>
      <c r="BK18">
        <v>1</v>
      </c>
      <c r="BL18" s="4">
        <v>49.41</v>
      </c>
      <c r="BM18" s="4">
        <v>7.41</v>
      </c>
      <c r="BN18" s="4">
        <v>56.82</v>
      </c>
      <c r="BO18" s="4">
        <v>56.82</v>
      </c>
      <c r="BQ18" t="s">
        <v>176</v>
      </c>
      <c r="BR18" t="s">
        <v>103</v>
      </c>
      <c r="BS18" s="3">
        <v>43895</v>
      </c>
      <c r="BT18" s="5">
        <v>0.40277777777777773</v>
      </c>
      <c r="BU18" t="s">
        <v>177</v>
      </c>
      <c r="BV18" t="s">
        <v>85</v>
      </c>
      <c r="BY18">
        <v>2400</v>
      </c>
      <c r="BZ18" t="s">
        <v>27</v>
      </c>
      <c r="CA18" t="s">
        <v>178</v>
      </c>
      <c r="CC18" t="s">
        <v>175</v>
      </c>
      <c r="CD18">
        <v>5247</v>
      </c>
      <c r="CE18" t="s">
        <v>87</v>
      </c>
      <c r="CF18" s="3">
        <v>43900</v>
      </c>
      <c r="CI18">
        <v>1</v>
      </c>
      <c r="CJ18">
        <v>1</v>
      </c>
      <c r="CK18">
        <v>21</v>
      </c>
      <c r="CL18" t="s">
        <v>88</v>
      </c>
    </row>
    <row r="19" spans="1:90">
      <c r="A19" t="s">
        <v>72</v>
      </c>
      <c r="B19" t="s">
        <v>73</v>
      </c>
      <c r="C19" t="s">
        <v>74</v>
      </c>
      <c r="E19" t="str">
        <f>"009938822285"</f>
        <v>009938822285</v>
      </c>
      <c r="F19" s="3">
        <v>43896</v>
      </c>
      <c r="G19">
        <v>202009</v>
      </c>
      <c r="H19" t="s">
        <v>79</v>
      </c>
      <c r="I19" t="s">
        <v>80</v>
      </c>
      <c r="J19" t="s">
        <v>161</v>
      </c>
      <c r="K19" t="s">
        <v>78</v>
      </c>
      <c r="L19" t="s">
        <v>106</v>
      </c>
      <c r="M19" t="s">
        <v>107</v>
      </c>
      <c r="N19" t="s">
        <v>162</v>
      </c>
      <c r="O19" t="s">
        <v>81</v>
      </c>
      <c r="P19" t="str">
        <f>"...                           "</f>
        <v xml:space="preserve">...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7.54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0.2</v>
      </c>
      <c r="BK19">
        <v>1</v>
      </c>
      <c r="BL19" s="4">
        <v>49.41</v>
      </c>
      <c r="BM19" s="4">
        <v>7.41</v>
      </c>
      <c r="BN19" s="4">
        <v>56.82</v>
      </c>
      <c r="BO19" s="4">
        <v>56.82</v>
      </c>
      <c r="BQ19" t="s">
        <v>179</v>
      </c>
      <c r="BR19" t="s">
        <v>180</v>
      </c>
      <c r="BS19" s="3">
        <v>43899</v>
      </c>
      <c r="BT19" s="5">
        <v>0.43402777777777773</v>
      </c>
      <c r="BU19" t="s">
        <v>165</v>
      </c>
      <c r="BV19" t="s">
        <v>85</v>
      </c>
      <c r="BY19">
        <v>1200</v>
      </c>
      <c r="BZ19" t="s">
        <v>27</v>
      </c>
      <c r="CA19" t="s">
        <v>166</v>
      </c>
      <c r="CC19" t="s">
        <v>107</v>
      </c>
      <c r="CD19">
        <v>8000</v>
      </c>
      <c r="CE19" t="s">
        <v>87</v>
      </c>
      <c r="CF19" s="3">
        <v>43900</v>
      </c>
      <c r="CI19">
        <v>1</v>
      </c>
      <c r="CJ19">
        <v>1</v>
      </c>
      <c r="CK19">
        <v>21</v>
      </c>
      <c r="CL19" t="s">
        <v>88</v>
      </c>
    </row>
    <row r="20" spans="1:90">
      <c r="A20" t="s">
        <v>72</v>
      </c>
      <c r="B20" t="s">
        <v>73</v>
      </c>
      <c r="C20" t="s">
        <v>74</v>
      </c>
      <c r="E20" t="str">
        <f>"009939921420"</f>
        <v>009939921420</v>
      </c>
      <c r="F20" s="3">
        <v>43899</v>
      </c>
      <c r="G20">
        <v>202009</v>
      </c>
      <c r="H20" t="s">
        <v>181</v>
      </c>
      <c r="I20" t="s">
        <v>182</v>
      </c>
      <c r="J20" t="s">
        <v>183</v>
      </c>
      <c r="K20" t="s">
        <v>78</v>
      </c>
      <c r="L20" t="s">
        <v>122</v>
      </c>
      <c r="M20" t="s">
        <v>123</v>
      </c>
      <c r="N20" t="s">
        <v>99</v>
      </c>
      <c r="O20" t="s">
        <v>81</v>
      </c>
      <c r="P20" t="str">
        <f>"                              "</f>
        <v xml:space="preserve">  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7.54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 s="4">
        <v>49.41</v>
      </c>
      <c r="BM20" s="4">
        <v>7.41</v>
      </c>
      <c r="BN20" s="4">
        <v>56.82</v>
      </c>
      <c r="BO20" s="4">
        <v>56.82</v>
      </c>
      <c r="BQ20" t="s">
        <v>184</v>
      </c>
      <c r="BR20" t="s">
        <v>185</v>
      </c>
      <c r="BS20" s="3">
        <v>43900</v>
      </c>
      <c r="BT20" s="5">
        <v>0.33819444444444446</v>
      </c>
      <c r="BU20" t="s">
        <v>151</v>
      </c>
      <c r="BV20" t="s">
        <v>85</v>
      </c>
      <c r="BY20">
        <v>1200</v>
      </c>
      <c r="BZ20" t="s">
        <v>27</v>
      </c>
      <c r="CC20" t="s">
        <v>123</v>
      </c>
      <c r="CD20">
        <v>2000</v>
      </c>
      <c r="CE20" t="s">
        <v>87</v>
      </c>
      <c r="CF20" s="3">
        <v>43901</v>
      </c>
      <c r="CI20">
        <v>1</v>
      </c>
      <c r="CJ20">
        <v>1</v>
      </c>
      <c r="CK20">
        <v>21</v>
      </c>
      <c r="CL20" t="s">
        <v>88</v>
      </c>
    </row>
    <row r="21" spans="1:90">
      <c r="A21" t="s">
        <v>140</v>
      </c>
      <c r="B21" t="s">
        <v>73</v>
      </c>
      <c r="C21" t="s">
        <v>74</v>
      </c>
      <c r="E21" t="str">
        <f>"039902303583"</f>
        <v>039902303583</v>
      </c>
      <c r="F21" s="3">
        <v>43899</v>
      </c>
      <c r="G21">
        <v>202009</v>
      </c>
      <c r="H21" t="s">
        <v>133</v>
      </c>
      <c r="I21" t="s">
        <v>134</v>
      </c>
      <c r="J21" t="s">
        <v>141</v>
      </c>
      <c r="K21" t="s">
        <v>78</v>
      </c>
      <c r="L21" t="s">
        <v>92</v>
      </c>
      <c r="M21" t="s">
        <v>93</v>
      </c>
      <c r="N21" t="s">
        <v>141</v>
      </c>
      <c r="O21" t="s">
        <v>81</v>
      </c>
      <c r="P21" t="str">
        <f>"                              "</f>
        <v xml:space="preserve"> 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7.54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0.2</v>
      </c>
      <c r="BK21">
        <v>1</v>
      </c>
      <c r="BL21" s="4">
        <v>49.41</v>
      </c>
      <c r="BM21" s="4">
        <v>7.41</v>
      </c>
      <c r="BN21" s="4">
        <v>56.82</v>
      </c>
      <c r="BO21" s="4">
        <v>56.82</v>
      </c>
      <c r="BS21" s="3">
        <v>43900</v>
      </c>
      <c r="BT21" s="5">
        <v>0.39861111111111108</v>
      </c>
      <c r="BU21" t="s">
        <v>143</v>
      </c>
      <c r="BV21" t="s">
        <v>85</v>
      </c>
      <c r="BY21">
        <v>1200</v>
      </c>
      <c r="BZ21" t="s">
        <v>27</v>
      </c>
      <c r="CA21" t="s">
        <v>98</v>
      </c>
      <c r="CC21" t="s">
        <v>93</v>
      </c>
      <c r="CD21">
        <v>6000</v>
      </c>
      <c r="CE21" t="s">
        <v>87</v>
      </c>
      <c r="CF21" s="3">
        <v>43901</v>
      </c>
      <c r="CI21">
        <v>1</v>
      </c>
      <c r="CJ21">
        <v>1</v>
      </c>
      <c r="CK21">
        <v>21</v>
      </c>
      <c r="CL21" t="s">
        <v>88</v>
      </c>
    </row>
    <row r="22" spans="1:90">
      <c r="A22" t="s">
        <v>72</v>
      </c>
      <c r="B22" t="s">
        <v>73</v>
      </c>
      <c r="C22" t="s">
        <v>74</v>
      </c>
      <c r="E22" t="str">
        <f>"009940025575"</f>
        <v>009940025575</v>
      </c>
      <c r="F22" s="3">
        <v>43899</v>
      </c>
      <c r="G22">
        <v>202009</v>
      </c>
      <c r="H22" t="s">
        <v>106</v>
      </c>
      <c r="I22" t="s">
        <v>107</v>
      </c>
      <c r="J22" t="s">
        <v>186</v>
      </c>
      <c r="K22" t="s">
        <v>78</v>
      </c>
      <c r="L22" t="s">
        <v>122</v>
      </c>
      <c r="M22" t="s">
        <v>123</v>
      </c>
      <c r="N22" t="s">
        <v>186</v>
      </c>
      <c r="O22" t="s">
        <v>81</v>
      </c>
      <c r="P22" t="str">
        <f>"GL460040  COST CENTRE 11252350"</f>
        <v>GL460040  COST CENTRE 11252350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7.54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0.2</v>
      </c>
      <c r="BK22">
        <v>1</v>
      </c>
      <c r="BL22" s="4">
        <v>49.41</v>
      </c>
      <c r="BM22" s="4">
        <v>7.41</v>
      </c>
      <c r="BN22" s="4">
        <v>56.82</v>
      </c>
      <c r="BO22" s="4">
        <v>56.82</v>
      </c>
      <c r="BQ22" t="s">
        <v>187</v>
      </c>
      <c r="BR22" t="s">
        <v>188</v>
      </c>
      <c r="BS22" s="3">
        <v>43900</v>
      </c>
      <c r="BT22" s="5">
        <v>0.3347222222222222</v>
      </c>
      <c r="BU22" t="s">
        <v>151</v>
      </c>
      <c r="BV22" t="s">
        <v>85</v>
      </c>
      <c r="BY22">
        <v>1200</v>
      </c>
      <c r="BZ22" t="s">
        <v>27</v>
      </c>
      <c r="CC22" t="s">
        <v>123</v>
      </c>
      <c r="CD22">
        <v>2021</v>
      </c>
      <c r="CE22" t="s">
        <v>87</v>
      </c>
      <c r="CF22" s="3">
        <v>43901</v>
      </c>
      <c r="CI22">
        <v>1</v>
      </c>
      <c r="CJ22">
        <v>1</v>
      </c>
      <c r="CK22">
        <v>21</v>
      </c>
      <c r="CL22" t="s">
        <v>88</v>
      </c>
    </row>
    <row r="23" spans="1:90">
      <c r="A23" t="s">
        <v>140</v>
      </c>
      <c r="B23" t="s">
        <v>73</v>
      </c>
      <c r="C23" t="s">
        <v>74</v>
      </c>
      <c r="E23" t="str">
        <f>"029908452219"</f>
        <v>029908452219</v>
      </c>
      <c r="F23" s="3">
        <v>43892</v>
      </c>
      <c r="G23">
        <v>202009</v>
      </c>
      <c r="H23" t="s">
        <v>189</v>
      </c>
      <c r="I23" t="s">
        <v>190</v>
      </c>
      <c r="J23" t="s">
        <v>99</v>
      </c>
      <c r="K23" t="s">
        <v>78</v>
      </c>
      <c r="L23" t="s">
        <v>106</v>
      </c>
      <c r="M23" t="s">
        <v>107</v>
      </c>
      <c r="N23" t="s">
        <v>162</v>
      </c>
      <c r="O23" t="s">
        <v>81</v>
      </c>
      <c r="P23" t="str">
        <f>"11942270FM                    "</f>
        <v xml:space="preserve">11942270FM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8.3699999999999992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1.1000000000000001</v>
      </c>
      <c r="BJ23">
        <v>0.4</v>
      </c>
      <c r="BK23">
        <v>1.5</v>
      </c>
      <c r="BL23" s="4">
        <v>50.24</v>
      </c>
      <c r="BM23" s="4">
        <v>7.54</v>
      </c>
      <c r="BN23" s="4">
        <v>57.78</v>
      </c>
      <c r="BO23" s="4">
        <v>57.78</v>
      </c>
      <c r="BQ23" t="s">
        <v>191</v>
      </c>
      <c r="BR23" t="s">
        <v>192</v>
      </c>
      <c r="BS23" s="3">
        <v>43893</v>
      </c>
      <c r="BT23" s="5">
        <v>0.42083333333333334</v>
      </c>
      <c r="BU23" t="s">
        <v>165</v>
      </c>
      <c r="BV23" t="s">
        <v>85</v>
      </c>
      <c r="BY23">
        <v>1944</v>
      </c>
      <c r="BZ23" t="s">
        <v>27</v>
      </c>
      <c r="CA23" t="s">
        <v>166</v>
      </c>
      <c r="CC23" t="s">
        <v>107</v>
      </c>
      <c r="CD23">
        <v>8000</v>
      </c>
      <c r="CE23" t="s">
        <v>87</v>
      </c>
      <c r="CF23" s="3">
        <v>43894</v>
      </c>
      <c r="CI23">
        <v>1</v>
      </c>
      <c r="CJ23">
        <v>1</v>
      </c>
      <c r="CK23">
        <v>21</v>
      </c>
      <c r="CL23" t="s">
        <v>88</v>
      </c>
    </row>
    <row r="24" spans="1:90">
      <c r="A24" t="s">
        <v>140</v>
      </c>
      <c r="B24" t="s">
        <v>73</v>
      </c>
      <c r="C24" t="s">
        <v>74</v>
      </c>
      <c r="E24" t="str">
        <f>"029908452218"</f>
        <v>029908452218</v>
      </c>
      <c r="F24" s="3">
        <v>43892</v>
      </c>
      <c r="G24">
        <v>202009</v>
      </c>
      <c r="H24" t="s">
        <v>189</v>
      </c>
      <c r="I24" t="s">
        <v>190</v>
      </c>
      <c r="J24" t="s">
        <v>99</v>
      </c>
      <c r="K24" t="s">
        <v>78</v>
      </c>
      <c r="L24" t="s">
        <v>92</v>
      </c>
      <c r="M24" t="s">
        <v>93</v>
      </c>
      <c r="N24" t="s">
        <v>99</v>
      </c>
      <c r="O24" t="s">
        <v>81</v>
      </c>
      <c r="P24" t="str">
        <f>"11912270FM                    "</f>
        <v xml:space="preserve">11912270FM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48.12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11.1</v>
      </c>
      <c r="BJ24">
        <v>2.9</v>
      </c>
      <c r="BK24">
        <v>11.5</v>
      </c>
      <c r="BL24" s="4">
        <v>288.73</v>
      </c>
      <c r="BM24" s="4">
        <v>43.31</v>
      </c>
      <c r="BN24" s="4">
        <v>332.04</v>
      </c>
      <c r="BO24" s="4">
        <v>332.04</v>
      </c>
      <c r="BQ24" t="s">
        <v>193</v>
      </c>
      <c r="BR24" t="s">
        <v>194</v>
      </c>
      <c r="BS24" s="3">
        <v>43893</v>
      </c>
      <c r="BT24" s="5">
        <v>0.4069444444444445</v>
      </c>
      <c r="BU24" t="s">
        <v>195</v>
      </c>
      <c r="BV24" t="s">
        <v>85</v>
      </c>
      <c r="BY24">
        <v>14400</v>
      </c>
      <c r="BZ24" t="s">
        <v>27</v>
      </c>
      <c r="CA24" t="s">
        <v>98</v>
      </c>
      <c r="CC24" t="s">
        <v>93</v>
      </c>
      <c r="CD24">
        <v>6000</v>
      </c>
      <c r="CE24" t="s">
        <v>87</v>
      </c>
      <c r="CF24" s="3">
        <v>43894</v>
      </c>
      <c r="CI24">
        <v>1</v>
      </c>
      <c r="CJ24">
        <v>1</v>
      </c>
      <c r="CK24">
        <v>21</v>
      </c>
      <c r="CL24" t="s">
        <v>88</v>
      </c>
    </row>
    <row r="25" spans="1:90">
      <c r="A25" t="s">
        <v>72</v>
      </c>
      <c r="B25" t="s">
        <v>73</v>
      </c>
      <c r="C25" t="s">
        <v>74</v>
      </c>
      <c r="E25" t="str">
        <f>"009938740892"</f>
        <v>009938740892</v>
      </c>
      <c r="F25" s="3">
        <v>43894</v>
      </c>
      <c r="G25">
        <v>202009</v>
      </c>
      <c r="H25" t="s">
        <v>75</v>
      </c>
      <c r="I25" t="s">
        <v>76</v>
      </c>
      <c r="J25" t="s">
        <v>152</v>
      </c>
      <c r="K25" t="s">
        <v>78</v>
      </c>
      <c r="L25" t="s">
        <v>79</v>
      </c>
      <c r="M25" t="s">
        <v>80</v>
      </c>
      <c r="N25" t="s">
        <v>196</v>
      </c>
      <c r="O25" t="s">
        <v>81</v>
      </c>
      <c r="P25" t="str">
        <f>"NA                            "</f>
        <v xml:space="preserve">NA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7.54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</v>
      </c>
      <c r="BJ25">
        <v>0.2</v>
      </c>
      <c r="BK25">
        <v>1</v>
      </c>
      <c r="BL25" s="4">
        <v>49.41</v>
      </c>
      <c r="BM25" s="4">
        <v>7.41</v>
      </c>
      <c r="BN25" s="4">
        <v>56.82</v>
      </c>
      <c r="BO25" s="4">
        <v>56.82</v>
      </c>
      <c r="BQ25" t="s">
        <v>197</v>
      </c>
      <c r="BR25" t="s">
        <v>198</v>
      </c>
      <c r="BS25" s="3">
        <v>43895</v>
      </c>
      <c r="BT25" s="5">
        <v>0.36736111111111108</v>
      </c>
      <c r="BU25" t="s">
        <v>84</v>
      </c>
      <c r="BV25" t="s">
        <v>85</v>
      </c>
      <c r="BY25">
        <v>1200</v>
      </c>
      <c r="BZ25" t="s">
        <v>27</v>
      </c>
      <c r="CA25" t="s">
        <v>86</v>
      </c>
      <c r="CC25" t="s">
        <v>80</v>
      </c>
      <c r="CD25">
        <v>1600</v>
      </c>
      <c r="CE25" t="s">
        <v>87</v>
      </c>
      <c r="CF25" s="3">
        <v>43897</v>
      </c>
      <c r="CI25">
        <v>1</v>
      </c>
      <c r="CJ25">
        <v>1</v>
      </c>
      <c r="CK25">
        <v>21</v>
      </c>
      <c r="CL25" t="s">
        <v>88</v>
      </c>
    </row>
    <row r="26" spans="1:90">
      <c r="A26" t="s">
        <v>72</v>
      </c>
      <c r="B26" t="s">
        <v>73</v>
      </c>
      <c r="C26" t="s">
        <v>74</v>
      </c>
      <c r="E26" t="str">
        <f>"019911488713"</f>
        <v>019911488713</v>
      </c>
      <c r="F26" s="3">
        <v>43896</v>
      </c>
      <c r="G26">
        <v>202009</v>
      </c>
      <c r="H26" t="s">
        <v>106</v>
      </c>
      <c r="I26" t="s">
        <v>107</v>
      </c>
      <c r="J26" t="s">
        <v>108</v>
      </c>
      <c r="K26" t="s">
        <v>78</v>
      </c>
      <c r="L26" t="s">
        <v>199</v>
      </c>
      <c r="M26" t="s">
        <v>200</v>
      </c>
      <c r="N26" t="s">
        <v>201</v>
      </c>
      <c r="O26" t="s">
        <v>202</v>
      </c>
      <c r="P26" t="str">
        <f>"NA                            "</f>
        <v xml:space="preserve">NA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18.73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16.5</v>
      </c>
      <c r="BJ26">
        <v>20</v>
      </c>
      <c r="BK26">
        <v>20</v>
      </c>
      <c r="BL26" s="4">
        <v>127.79</v>
      </c>
      <c r="BM26" s="4">
        <v>19.170000000000002</v>
      </c>
      <c r="BN26" s="4">
        <v>146.96</v>
      </c>
      <c r="BO26" s="4">
        <v>146.96</v>
      </c>
      <c r="BQ26" t="s">
        <v>203</v>
      </c>
      <c r="BR26" t="s">
        <v>113</v>
      </c>
      <c r="BS26" s="3">
        <v>43899</v>
      </c>
      <c r="BT26" s="5">
        <v>0.33333333333333331</v>
      </c>
      <c r="BU26" t="s">
        <v>204</v>
      </c>
      <c r="BV26" t="s">
        <v>85</v>
      </c>
      <c r="BY26">
        <v>99886.7</v>
      </c>
      <c r="CC26" t="s">
        <v>200</v>
      </c>
      <c r="CD26">
        <v>2158</v>
      </c>
      <c r="CE26" t="s">
        <v>205</v>
      </c>
      <c r="CF26" s="3">
        <v>43899</v>
      </c>
      <c r="CI26">
        <v>2</v>
      </c>
      <c r="CJ26">
        <v>1</v>
      </c>
      <c r="CK26" t="s">
        <v>206</v>
      </c>
      <c r="CL26" t="s">
        <v>88</v>
      </c>
    </row>
    <row r="27" spans="1:90">
      <c r="A27" t="s">
        <v>72</v>
      </c>
      <c r="B27" t="s">
        <v>73</v>
      </c>
      <c r="C27" t="s">
        <v>74</v>
      </c>
      <c r="E27" t="str">
        <f>"039902791463"</f>
        <v>039902791463</v>
      </c>
      <c r="F27" s="3">
        <v>43895</v>
      </c>
      <c r="G27">
        <v>202009</v>
      </c>
      <c r="H27" t="s">
        <v>174</v>
      </c>
      <c r="I27" t="s">
        <v>175</v>
      </c>
      <c r="J27" t="s">
        <v>99</v>
      </c>
      <c r="K27" t="s">
        <v>78</v>
      </c>
      <c r="L27" t="s">
        <v>92</v>
      </c>
      <c r="M27" t="s">
        <v>93</v>
      </c>
      <c r="N27" t="s">
        <v>94</v>
      </c>
      <c r="O27" t="s">
        <v>202</v>
      </c>
      <c r="P27" t="str">
        <f>"                              "</f>
        <v xml:space="preserve"> 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12.95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0.3</v>
      </c>
      <c r="BK27">
        <v>1</v>
      </c>
      <c r="BL27" s="4">
        <v>89.91</v>
      </c>
      <c r="BM27" s="4">
        <v>13.49</v>
      </c>
      <c r="BN27" s="4">
        <v>103.4</v>
      </c>
      <c r="BO27" s="4">
        <v>103.4</v>
      </c>
      <c r="BQ27" t="s">
        <v>95</v>
      </c>
      <c r="BR27" t="s">
        <v>176</v>
      </c>
      <c r="BS27" s="3">
        <v>43896</v>
      </c>
      <c r="BT27" s="5">
        <v>0.48749999999999999</v>
      </c>
      <c r="BU27" t="s">
        <v>97</v>
      </c>
      <c r="BV27" t="s">
        <v>85</v>
      </c>
      <c r="BY27">
        <v>1665</v>
      </c>
      <c r="CA27" t="s">
        <v>131</v>
      </c>
      <c r="CC27" t="s">
        <v>93</v>
      </c>
      <c r="CD27">
        <v>6045</v>
      </c>
      <c r="CE27" t="s">
        <v>87</v>
      </c>
      <c r="CF27" s="3">
        <v>43901</v>
      </c>
      <c r="CI27">
        <v>1</v>
      </c>
      <c r="CJ27">
        <v>1</v>
      </c>
      <c r="CK27" t="s">
        <v>207</v>
      </c>
      <c r="CL27" t="s">
        <v>88</v>
      </c>
    </row>
    <row r="28" spans="1:90">
      <c r="A28" t="s">
        <v>72</v>
      </c>
      <c r="B28" t="s">
        <v>73</v>
      </c>
      <c r="C28" t="s">
        <v>74</v>
      </c>
      <c r="E28" t="str">
        <f>"080002553315"</f>
        <v>080002553315</v>
      </c>
      <c r="F28" s="3">
        <v>43894</v>
      </c>
      <c r="G28">
        <v>202009</v>
      </c>
      <c r="H28" t="s">
        <v>208</v>
      </c>
      <c r="I28" t="s">
        <v>209</v>
      </c>
      <c r="J28" t="s">
        <v>210</v>
      </c>
      <c r="K28" t="s">
        <v>78</v>
      </c>
      <c r="L28" t="s">
        <v>211</v>
      </c>
      <c r="M28" t="s">
        <v>107</v>
      </c>
      <c r="N28" t="s">
        <v>168</v>
      </c>
      <c r="O28" t="s">
        <v>202</v>
      </c>
      <c r="P28" t="str">
        <f>"                              "</f>
        <v xml:space="preserve">  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18.37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2.8</v>
      </c>
      <c r="BJ28">
        <v>3.5</v>
      </c>
      <c r="BK28">
        <v>4</v>
      </c>
      <c r="BL28" s="4">
        <v>125.43</v>
      </c>
      <c r="BM28" s="4">
        <v>18.809999999999999</v>
      </c>
      <c r="BN28" s="4">
        <v>144.24</v>
      </c>
      <c r="BO28" s="4">
        <v>144.24</v>
      </c>
      <c r="BP28" t="s">
        <v>212</v>
      </c>
      <c r="BQ28" t="s">
        <v>169</v>
      </c>
      <c r="BR28" t="s">
        <v>213</v>
      </c>
      <c r="BS28" s="3">
        <v>43896</v>
      </c>
      <c r="BT28" s="5">
        <v>0.68958333333333333</v>
      </c>
      <c r="BU28" t="s">
        <v>214</v>
      </c>
      <c r="BV28" t="s">
        <v>85</v>
      </c>
      <c r="BY28">
        <v>17747.77</v>
      </c>
      <c r="CA28" t="s">
        <v>215</v>
      </c>
      <c r="CC28" t="s">
        <v>107</v>
      </c>
      <c r="CD28">
        <v>7824</v>
      </c>
      <c r="CE28" t="s">
        <v>216</v>
      </c>
      <c r="CF28" s="3">
        <v>43896</v>
      </c>
      <c r="CI28">
        <v>3</v>
      </c>
      <c r="CJ28">
        <v>2</v>
      </c>
      <c r="CK28" t="s">
        <v>217</v>
      </c>
      <c r="CL28" t="s">
        <v>88</v>
      </c>
    </row>
    <row r="29" spans="1:90">
      <c r="A29" t="s">
        <v>72</v>
      </c>
      <c r="B29" t="s">
        <v>73</v>
      </c>
      <c r="C29" t="s">
        <v>74</v>
      </c>
      <c r="E29" t="str">
        <f>"019911488707"</f>
        <v>019911488707</v>
      </c>
      <c r="F29" s="3">
        <v>43892</v>
      </c>
      <c r="G29">
        <v>202009</v>
      </c>
      <c r="H29" t="s">
        <v>106</v>
      </c>
      <c r="I29" t="s">
        <v>107</v>
      </c>
      <c r="J29" t="s">
        <v>108</v>
      </c>
      <c r="K29" t="s">
        <v>78</v>
      </c>
      <c r="L29" t="s">
        <v>117</v>
      </c>
      <c r="M29" t="s">
        <v>118</v>
      </c>
      <c r="N29" t="s">
        <v>218</v>
      </c>
      <c r="O29" t="s">
        <v>202</v>
      </c>
      <c r="P29" t="str">
        <f>"NA                            "</f>
        <v xml:space="preserve">NA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17.14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5.3</v>
      </c>
      <c r="BJ29">
        <v>4.0999999999999996</v>
      </c>
      <c r="BK29">
        <v>6</v>
      </c>
      <c r="BL29" s="4">
        <v>107.85</v>
      </c>
      <c r="BM29" s="4">
        <v>16.18</v>
      </c>
      <c r="BN29" s="4">
        <v>124.03</v>
      </c>
      <c r="BO29" s="4">
        <v>124.03</v>
      </c>
      <c r="BQ29" t="s">
        <v>219</v>
      </c>
      <c r="BR29" t="s">
        <v>113</v>
      </c>
      <c r="BS29" s="3">
        <v>43894</v>
      </c>
      <c r="BT29" s="5">
        <v>0.36180555555555555</v>
      </c>
      <c r="BU29" t="s">
        <v>220</v>
      </c>
      <c r="BV29" t="s">
        <v>85</v>
      </c>
      <c r="BY29">
        <v>20484.8</v>
      </c>
      <c r="CA29" t="s">
        <v>221</v>
      </c>
      <c r="CC29" t="s">
        <v>118</v>
      </c>
      <c r="CD29">
        <v>1682</v>
      </c>
      <c r="CE29" t="s">
        <v>205</v>
      </c>
      <c r="CF29" s="3">
        <v>43895</v>
      </c>
      <c r="CI29">
        <v>2</v>
      </c>
      <c r="CJ29">
        <v>2</v>
      </c>
      <c r="CK29" t="s">
        <v>206</v>
      </c>
      <c r="CL29" t="s">
        <v>88</v>
      </c>
    </row>
    <row r="30" spans="1:90">
      <c r="A30" t="s">
        <v>72</v>
      </c>
      <c r="B30" t="s">
        <v>73</v>
      </c>
      <c r="C30" t="s">
        <v>74</v>
      </c>
      <c r="E30" t="str">
        <f>"009939899856"</f>
        <v>009939899856</v>
      </c>
      <c r="F30" s="3">
        <v>43895</v>
      </c>
      <c r="G30">
        <v>202009</v>
      </c>
      <c r="H30" t="s">
        <v>117</v>
      </c>
      <c r="I30" t="s">
        <v>118</v>
      </c>
      <c r="J30" t="s">
        <v>108</v>
      </c>
      <c r="K30" t="s">
        <v>78</v>
      </c>
      <c r="L30" t="s">
        <v>222</v>
      </c>
      <c r="M30" t="s">
        <v>223</v>
      </c>
      <c r="N30" t="s">
        <v>108</v>
      </c>
      <c r="O30" t="s">
        <v>202</v>
      </c>
      <c r="P30" t="str">
        <f>"                              "</f>
        <v xml:space="preserve">  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51.22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6</v>
      </c>
      <c r="BI30">
        <v>29.5</v>
      </c>
      <c r="BJ30">
        <v>105.6</v>
      </c>
      <c r="BK30">
        <v>106</v>
      </c>
      <c r="BL30" s="4">
        <v>340.78</v>
      </c>
      <c r="BM30" s="4">
        <v>51.12</v>
      </c>
      <c r="BN30" s="4">
        <v>391.9</v>
      </c>
      <c r="BO30" s="4">
        <v>391.9</v>
      </c>
      <c r="BQ30" t="s">
        <v>224</v>
      </c>
      <c r="BR30" t="s">
        <v>225</v>
      </c>
      <c r="BS30" s="3">
        <v>43896</v>
      </c>
      <c r="BT30" s="5">
        <v>0.61805555555555558</v>
      </c>
      <c r="BU30" t="s">
        <v>226</v>
      </c>
      <c r="BV30" t="s">
        <v>85</v>
      </c>
      <c r="BY30">
        <v>528012.9</v>
      </c>
      <c r="CA30" t="s">
        <v>227</v>
      </c>
      <c r="CC30" t="s">
        <v>223</v>
      </c>
      <c r="CD30">
        <v>4300</v>
      </c>
      <c r="CE30" t="s">
        <v>87</v>
      </c>
      <c r="CF30" s="3">
        <v>43899</v>
      </c>
      <c r="CI30">
        <v>1</v>
      </c>
      <c r="CJ30">
        <v>1</v>
      </c>
      <c r="CK30" t="s">
        <v>228</v>
      </c>
      <c r="CL30" t="s">
        <v>88</v>
      </c>
    </row>
    <row r="31" spans="1:90">
      <c r="A31" t="s">
        <v>72</v>
      </c>
      <c r="B31" t="s">
        <v>73</v>
      </c>
      <c r="C31" t="s">
        <v>74</v>
      </c>
      <c r="E31" t="str">
        <f>"069907160853"</f>
        <v>069907160853</v>
      </c>
      <c r="F31" s="3">
        <v>43895</v>
      </c>
      <c r="G31">
        <v>202009</v>
      </c>
      <c r="H31" t="s">
        <v>229</v>
      </c>
      <c r="I31" t="s">
        <v>230</v>
      </c>
      <c r="J31" t="s">
        <v>231</v>
      </c>
      <c r="K31" t="s">
        <v>78</v>
      </c>
      <c r="L31" t="s">
        <v>232</v>
      </c>
      <c r="M31" t="s">
        <v>110</v>
      </c>
      <c r="N31" t="s">
        <v>99</v>
      </c>
      <c r="O31" t="s">
        <v>202</v>
      </c>
      <c r="P31" t="str">
        <f>"                              "</f>
        <v xml:space="preserve">   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14.13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2</v>
      </c>
      <c r="BJ31">
        <v>4.8</v>
      </c>
      <c r="BK31">
        <v>5</v>
      </c>
      <c r="BL31" s="4">
        <v>97.63</v>
      </c>
      <c r="BM31" s="4">
        <v>14.64</v>
      </c>
      <c r="BN31" s="4">
        <v>112.27</v>
      </c>
      <c r="BO31" s="4">
        <v>112.27</v>
      </c>
      <c r="BQ31" t="s">
        <v>233</v>
      </c>
      <c r="BR31" t="s">
        <v>234</v>
      </c>
      <c r="BS31" s="3">
        <v>43896</v>
      </c>
      <c r="BT31" s="5">
        <v>0.61736111111111114</v>
      </c>
      <c r="BU31" t="s">
        <v>235</v>
      </c>
      <c r="BV31" t="s">
        <v>85</v>
      </c>
      <c r="BY31">
        <v>24000</v>
      </c>
      <c r="CA31" t="s">
        <v>236</v>
      </c>
      <c r="CC31" t="s">
        <v>110</v>
      </c>
      <c r="CD31">
        <v>200</v>
      </c>
      <c r="CE31" t="s">
        <v>87</v>
      </c>
      <c r="CF31" s="3">
        <v>43900</v>
      </c>
      <c r="CI31">
        <v>0</v>
      </c>
      <c r="CJ31">
        <v>0</v>
      </c>
      <c r="CK31" t="s">
        <v>237</v>
      </c>
      <c r="CL31" t="s">
        <v>88</v>
      </c>
    </row>
    <row r="32" spans="1:90">
      <c r="A32" t="s">
        <v>72</v>
      </c>
      <c r="B32" t="s">
        <v>73</v>
      </c>
      <c r="C32" t="s">
        <v>74</v>
      </c>
      <c r="E32" t="str">
        <f>"069907160855"</f>
        <v>069907160855</v>
      </c>
      <c r="F32" s="3">
        <v>43896</v>
      </c>
      <c r="G32">
        <v>202009</v>
      </c>
      <c r="H32" t="s">
        <v>229</v>
      </c>
      <c r="I32" t="s">
        <v>230</v>
      </c>
      <c r="J32" t="s">
        <v>231</v>
      </c>
      <c r="K32" t="s">
        <v>78</v>
      </c>
      <c r="L32" t="s">
        <v>232</v>
      </c>
      <c r="M32" t="s">
        <v>110</v>
      </c>
      <c r="N32" t="s">
        <v>99</v>
      </c>
      <c r="O32" t="s">
        <v>202</v>
      </c>
      <c r="P32" t="str">
        <f>"                              "</f>
        <v xml:space="preserve">  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14.13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6</v>
      </c>
      <c r="BJ32">
        <v>3.5</v>
      </c>
      <c r="BK32">
        <v>6</v>
      </c>
      <c r="BL32" s="4">
        <v>97.63</v>
      </c>
      <c r="BM32" s="4">
        <v>14.64</v>
      </c>
      <c r="BN32" s="4">
        <v>112.27</v>
      </c>
      <c r="BO32" s="4">
        <v>112.27</v>
      </c>
      <c r="BQ32" t="s">
        <v>238</v>
      </c>
      <c r="BS32" s="3">
        <v>43899</v>
      </c>
      <c r="BT32" s="5">
        <v>0.4909722222222222</v>
      </c>
      <c r="BU32" t="s">
        <v>239</v>
      </c>
      <c r="BV32" t="s">
        <v>85</v>
      </c>
      <c r="BY32">
        <v>17685.36</v>
      </c>
      <c r="CA32" t="s">
        <v>240</v>
      </c>
      <c r="CC32" t="s">
        <v>110</v>
      </c>
      <c r="CD32">
        <v>200</v>
      </c>
      <c r="CE32" t="s">
        <v>87</v>
      </c>
      <c r="CF32" s="3">
        <v>43901</v>
      </c>
      <c r="CI32">
        <v>0</v>
      </c>
      <c r="CJ32">
        <v>0</v>
      </c>
      <c r="CK32" t="s">
        <v>237</v>
      </c>
      <c r="CL32" t="s">
        <v>88</v>
      </c>
    </row>
    <row r="33" spans="1:90">
      <c r="A33" t="s">
        <v>72</v>
      </c>
      <c r="B33" t="s">
        <v>73</v>
      </c>
      <c r="C33" t="s">
        <v>74</v>
      </c>
      <c r="E33" t="str">
        <f>"009939638558"</f>
        <v>009939638558</v>
      </c>
      <c r="F33" s="3">
        <v>43899</v>
      </c>
      <c r="G33">
        <v>202009</v>
      </c>
      <c r="H33" t="s">
        <v>92</v>
      </c>
      <c r="I33" t="s">
        <v>93</v>
      </c>
      <c r="J33" t="s">
        <v>99</v>
      </c>
      <c r="K33" t="s">
        <v>78</v>
      </c>
      <c r="L33" t="s">
        <v>122</v>
      </c>
      <c r="M33" t="s">
        <v>123</v>
      </c>
      <c r="N33" t="s">
        <v>94</v>
      </c>
      <c r="O33" t="s">
        <v>81</v>
      </c>
      <c r="P33" t="str">
        <f>"11912270 FM                   "</f>
        <v xml:space="preserve">11912270 FM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7.54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</v>
      </c>
      <c r="BJ33">
        <v>0.2</v>
      </c>
      <c r="BK33">
        <v>1</v>
      </c>
      <c r="BL33" s="4">
        <v>49.41</v>
      </c>
      <c r="BM33" s="4">
        <v>7.41</v>
      </c>
      <c r="BN33" s="4">
        <v>56.82</v>
      </c>
      <c r="BO33" s="4">
        <v>56.82</v>
      </c>
      <c r="BQ33" t="s">
        <v>241</v>
      </c>
      <c r="BR33" t="s">
        <v>103</v>
      </c>
      <c r="BS33" s="3">
        <v>43900</v>
      </c>
      <c r="BT33" s="5">
        <v>0.33402777777777781</v>
      </c>
      <c r="BU33" t="s">
        <v>151</v>
      </c>
      <c r="BV33" t="s">
        <v>85</v>
      </c>
      <c r="BY33">
        <v>1200</v>
      </c>
      <c r="BZ33" t="s">
        <v>27</v>
      </c>
      <c r="CC33" t="s">
        <v>123</v>
      </c>
      <c r="CD33">
        <v>2021</v>
      </c>
      <c r="CE33" t="s">
        <v>87</v>
      </c>
      <c r="CF33" s="3">
        <v>43901</v>
      </c>
      <c r="CI33">
        <v>1</v>
      </c>
      <c r="CJ33">
        <v>1</v>
      </c>
      <c r="CK33">
        <v>21</v>
      </c>
      <c r="CL33" t="s">
        <v>88</v>
      </c>
    </row>
    <row r="34" spans="1:90">
      <c r="A34" t="s">
        <v>72</v>
      </c>
      <c r="B34" t="s">
        <v>73</v>
      </c>
      <c r="C34" t="s">
        <v>74</v>
      </c>
      <c r="E34" t="str">
        <f>"039902790011"</f>
        <v>039902790011</v>
      </c>
      <c r="F34" s="3">
        <v>43900</v>
      </c>
      <c r="G34">
        <v>202009</v>
      </c>
      <c r="H34" t="s">
        <v>92</v>
      </c>
      <c r="I34" t="s">
        <v>93</v>
      </c>
      <c r="J34" t="s">
        <v>99</v>
      </c>
      <c r="K34" t="s">
        <v>78</v>
      </c>
      <c r="L34" t="s">
        <v>109</v>
      </c>
      <c r="M34" t="s">
        <v>110</v>
      </c>
      <c r="N34" t="s">
        <v>242</v>
      </c>
      <c r="O34" t="s">
        <v>81</v>
      </c>
      <c r="P34" t="str">
        <f>"11912270 FM                   "</f>
        <v xml:space="preserve">11912270 FM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7.54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0.2</v>
      </c>
      <c r="BK34">
        <v>1</v>
      </c>
      <c r="BL34" s="4">
        <v>49.41</v>
      </c>
      <c r="BM34" s="4">
        <v>7.41</v>
      </c>
      <c r="BN34" s="4">
        <v>56.82</v>
      </c>
      <c r="BO34" s="4">
        <v>56.82</v>
      </c>
      <c r="BQ34" t="s">
        <v>243</v>
      </c>
      <c r="BR34" t="s">
        <v>95</v>
      </c>
      <c r="BS34" s="3">
        <v>43901</v>
      </c>
      <c r="BT34" s="5">
        <v>0.43194444444444446</v>
      </c>
      <c r="BU34" t="s">
        <v>244</v>
      </c>
      <c r="BV34" t="s">
        <v>85</v>
      </c>
      <c r="BY34">
        <v>1200</v>
      </c>
      <c r="BZ34" t="s">
        <v>27</v>
      </c>
      <c r="CA34" t="s">
        <v>245</v>
      </c>
      <c r="CC34" t="s">
        <v>110</v>
      </c>
      <c r="CD34">
        <v>140</v>
      </c>
      <c r="CE34" t="s">
        <v>87</v>
      </c>
      <c r="CF34" s="3">
        <v>43903</v>
      </c>
      <c r="CI34">
        <v>1</v>
      </c>
      <c r="CJ34">
        <v>1</v>
      </c>
      <c r="CK34">
        <v>21</v>
      </c>
      <c r="CL34" t="s">
        <v>88</v>
      </c>
    </row>
    <row r="35" spans="1:90">
      <c r="A35" t="s">
        <v>72</v>
      </c>
      <c r="B35" t="s">
        <v>73</v>
      </c>
      <c r="C35" t="s">
        <v>74</v>
      </c>
      <c r="E35" t="str">
        <f>"080002554965"</f>
        <v>080002554965</v>
      </c>
      <c r="F35" s="3">
        <v>43895</v>
      </c>
      <c r="G35">
        <v>202009</v>
      </c>
      <c r="H35" t="s">
        <v>106</v>
      </c>
      <c r="I35" t="s">
        <v>107</v>
      </c>
      <c r="J35" t="s">
        <v>246</v>
      </c>
      <c r="K35" t="s">
        <v>78</v>
      </c>
      <c r="L35" t="s">
        <v>79</v>
      </c>
      <c r="M35" t="s">
        <v>80</v>
      </c>
      <c r="N35" t="s">
        <v>247</v>
      </c>
      <c r="O35" t="s">
        <v>202</v>
      </c>
      <c r="P35" t="str">
        <f>"TALBIAKBL231001               "</f>
        <v xml:space="preserve">TALBIAKBL231001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104.61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4</v>
      </c>
      <c r="BI35">
        <v>76.3</v>
      </c>
      <c r="BJ35">
        <v>149.9</v>
      </c>
      <c r="BK35">
        <v>150</v>
      </c>
      <c r="BL35" s="4">
        <v>690.77</v>
      </c>
      <c r="BM35" s="4">
        <v>103.62</v>
      </c>
      <c r="BN35" s="4">
        <v>794.39</v>
      </c>
      <c r="BO35" s="4">
        <v>794.39</v>
      </c>
      <c r="BP35" t="s">
        <v>248</v>
      </c>
      <c r="BQ35" t="s">
        <v>249</v>
      </c>
      <c r="BR35" t="s">
        <v>250</v>
      </c>
      <c r="BS35" s="3">
        <v>43900</v>
      </c>
      <c r="BT35" s="5">
        <v>0.41388888888888892</v>
      </c>
      <c r="BU35" t="s">
        <v>121</v>
      </c>
      <c r="BV35" t="s">
        <v>88</v>
      </c>
      <c r="BY35">
        <v>749293.59</v>
      </c>
      <c r="CC35" t="s">
        <v>80</v>
      </c>
      <c r="CD35">
        <v>1619</v>
      </c>
      <c r="CE35" t="s">
        <v>216</v>
      </c>
      <c r="CF35" s="3">
        <v>43901</v>
      </c>
      <c r="CI35">
        <v>2</v>
      </c>
      <c r="CJ35">
        <v>3</v>
      </c>
      <c r="CK35" t="s">
        <v>206</v>
      </c>
      <c r="CL35" t="s">
        <v>88</v>
      </c>
    </row>
    <row r="36" spans="1:90">
      <c r="A36" t="s">
        <v>72</v>
      </c>
      <c r="B36" t="s">
        <v>73</v>
      </c>
      <c r="C36" t="s">
        <v>74</v>
      </c>
      <c r="E36" t="str">
        <f>"009939899859"</f>
        <v>009939899859</v>
      </c>
      <c r="F36" s="3">
        <v>43899</v>
      </c>
      <c r="G36">
        <v>202009</v>
      </c>
      <c r="H36" t="s">
        <v>117</v>
      </c>
      <c r="I36" t="s">
        <v>118</v>
      </c>
      <c r="J36" t="s">
        <v>251</v>
      </c>
      <c r="K36" t="s">
        <v>78</v>
      </c>
      <c r="L36" t="s">
        <v>252</v>
      </c>
      <c r="M36" t="s">
        <v>253</v>
      </c>
      <c r="N36" t="s">
        <v>254</v>
      </c>
      <c r="O36" t="s">
        <v>202</v>
      </c>
      <c r="P36" t="str">
        <f>"                              "</f>
        <v xml:space="preserve"> 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15.43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0.7</v>
      </c>
      <c r="BJ36">
        <v>1.6</v>
      </c>
      <c r="BK36">
        <v>2</v>
      </c>
      <c r="BL36" s="4">
        <v>106.14</v>
      </c>
      <c r="BM36" s="4">
        <v>15.92</v>
      </c>
      <c r="BN36" s="4">
        <v>122.06</v>
      </c>
      <c r="BO36" s="4">
        <v>122.06</v>
      </c>
      <c r="BQ36" t="s">
        <v>255</v>
      </c>
      <c r="BR36" t="s">
        <v>256</v>
      </c>
      <c r="BS36" s="3">
        <v>43900</v>
      </c>
      <c r="BT36" s="5">
        <v>0.62152777777777779</v>
      </c>
      <c r="BU36" t="s">
        <v>257</v>
      </c>
      <c r="BV36" t="s">
        <v>85</v>
      </c>
      <c r="BY36">
        <v>8142.75</v>
      </c>
      <c r="CA36" t="s">
        <v>258</v>
      </c>
      <c r="CC36" t="s">
        <v>253</v>
      </c>
      <c r="CD36">
        <v>4390</v>
      </c>
      <c r="CE36" t="s">
        <v>87</v>
      </c>
      <c r="CF36" s="3">
        <v>43902</v>
      </c>
      <c r="CI36">
        <v>1</v>
      </c>
      <c r="CJ36">
        <v>1</v>
      </c>
      <c r="CK36" t="s">
        <v>259</v>
      </c>
      <c r="CL36" t="s">
        <v>88</v>
      </c>
    </row>
    <row r="37" spans="1:90">
      <c r="A37" t="s">
        <v>72</v>
      </c>
      <c r="B37" t="s">
        <v>73</v>
      </c>
      <c r="C37" t="s">
        <v>74</v>
      </c>
      <c r="E37" t="str">
        <f>"009939899858"</f>
        <v>009939899858</v>
      </c>
      <c r="F37" s="3">
        <v>43899</v>
      </c>
      <c r="G37">
        <v>202009</v>
      </c>
      <c r="H37" t="s">
        <v>117</v>
      </c>
      <c r="I37" t="s">
        <v>118</v>
      </c>
      <c r="J37" t="s">
        <v>108</v>
      </c>
      <c r="K37" t="s">
        <v>78</v>
      </c>
      <c r="L37" t="s">
        <v>232</v>
      </c>
      <c r="M37" t="s">
        <v>110</v>
      </c>
      <c r="N37" t="s">
        <v>260</v>
      </c>
      <c r="O37" t="s">
        <v>202</v>
      </c>
      <c r="P37" t="str">
        <f>"                              "</f>
        <v xml:space="preserve">  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21.38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2</v>
      </c>
      <c r="BI37">
        <v>9</v>
      </c>
      <c r="BJ37">
        <v>35.1</v>
      </c>
      <c r="BK37">
        <v>36</v>
      </c>
      <c r="BL37" s="4">
        <v>145.16999999999999</v>
      </c>
      <c r="BM37" s="4">
        <v>21.78</v>
      </c>
      <c r="BN37" s="4">
        <v>166.95</v>
      </c>
      <c r="BO37" s="4">
        <v>166.95</v>
      </c>
      <c r="BQ37" t="s">
        <v>261</v>
      </c>
      <c r="BR37" t="s">
        <v>262</v>
      </c>
      <c r="BS37" s="3">
        <v>43900</v>
      </c>
      <c r="BT37" s="5">
        <v>0.3979166666666667</v>
      </c>
      <c r="BU37" t="s">
        <v>263</v>
      </c>
      <c r="BV37" t="s">
        <v>85</v>
      </c>
      <c r="BY37">
        <v>175501.44</v>
      </c>
      <c r="CC37" t="s">
        <v>110</v>
      </c>
      <c r="CD37">
        <v>151</v>
      </c>
      <c r="CE37" t="s">
        <v>87</v>
      </c>
      <c r="CF37" s="3">
        <v>43901</v>
      </c>
      <c r="CI37">
        <v>0</v>
      </c>
      <c r="CJ37">
        <v>0</v>
      </c>
      <c r="CK37" t="s">
        <v>207</v>
      </c>
      <c r="CL37" t="s">
        <v>88</v>
      </c>
    </row>
    <row r="38" spans="1:90">
      <c r="A38" t="s">
        <v>72</v>
      </c>
      <c r="B38" t="s">
        <v>73</v>
      </c>
      <c r="C38" t="s">
        <v>74</v>
      </c>
      <c r="E38" t="str">
        <f>"019911488714"</f>
        <v>019911488714</v>
      </c>
      <c r="F38" s="3">
        <v>43900</v>
      </c>
      <c r="G38">
        <v>202009</v>
      </c>
      <c r="H38" t="s">
        <v>106</v>
      </c>
      <c r="I38" t="s">
        <v>107</v>
      </c>
      <c r="J38" t="s">
        <v>108</v>
      </c>
      <c r="K38" t="s">
        <v>78</v>
      </c>
      <c r="L38" t="s">
        <v>264</v>
      </c>
      <c r="M38" t="s">
        <v>265</v>
      </c>
      <c r="N38" t="s">
        <v>266</v>
      </c>
      <c r="O38" t="s">
        <v>81</v>
      </c>
      <c r="P38" t="str">
        <f>"NA                            "</f>
        <v xml:space="preserve">NA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7.54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1.1000000000000001</v>
      </c>
      <c r="BJ38">
        <v>1.5</v>
      </c>
      <c r="BK38">
        <v>1.5</v>
      </c>
      <c r="BL38" s="4">
        <v>49.41</v>
      </c>
      <c r="BM38" s="4">
        <v>7.41</v>
      </c>
      <c r="BN38" s="4">
        <v>56.82</v>
      </c>
      <c r="BO38" s="4">
        <v>56.82</v>
      </c>
      <c r="BQ38" t="s">
        <v>267</v>
      </c>
      <c r="BR38" t="s">
        <v>113</v>
      </c>
      <c r="BS38" s="3">
        <v>43901</v>
      </c>
      <c r="BT38" s="5">
        <v>0.4375</v>
      </c>
      <c r="BU38" t="s">
        <v>268</v>
      </c>
      <c r="BV38" t="s">
        <v>85</v>
      </c>
      <c r="BY38">
        <v>7457.6</v>
      </c>
      <c r="BZ38" t="s">
        <v>27</v>
      </c>
      <c r="CA38" t="s">
        <v>269</v>
      </c>
      <c r="CC38" t="s">
        <v>265</v>
      </c>
      <c r="CD38">
        <v>9459</v>
      </c>
      <c r="CE38" t="s">
        <v>116</v>
      </c>
      <c r="CF38" s="3">
        <v>43904</v>
      </c>
      <c r="CI38">
        <v>1</v>
      </c>
      <c r="CJ38">
        <v>1</v>
      </c>
      <c r="CK38">
        <v>21</v>
      </c>
      <c r="CL38" t="s">
        <v>88</v>
      </c>
    </row>
    <row r="39" spans="1:90">
      <c r="A39" t="s">
        <v>140</v>
      </c>
      <c r="B39" t="s">
        <v>73</v>
      </c>
      <c r="C39" t="s">
        <v>74</v>
      </c>
      <c r="E39" t="str">
        <f>"029908034364"</f>
        <v>029908034364</v>
      </c>
      <c r="F39" s="3">
        <v>43901</v>
      </c>
      <c r="G39">
        <v>202009</v>
      </c>
      <c r="H39" t="s">
        <v>189</v>
      </c>
      <c r="I39" t="s">
        <v>190</v>
      </c>
      <c r="J39" t="s">
        <v>99</v>
      </c>
      <c r="K39" t="s">
        <v>78</v>
      </c>
      <c r="L39" t="s">
        <v>109</v>
      </c>
      <c r="M39" t="s">
        <v>110</v>
      </c>
      <c r="N39" t="s">
        <v>270</v>
      </c>
      <c r="O39" t="s">
        <v>81</v>
      </c>
      <c r="P39" t="str">
        <f>"11942270FM                    "</f>
        <v xml:space="preserve">11942270FM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7.54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0.3</v>
      </c>
      <c r="BJ39">
        <v>0.2</v>
      </c>
      <c r="BK39">
        <v>0.5</v>
      </c>
      <c r="BL39" s="4">
        <v>49.41</v>
      </c>
      <c r="BM39" s="4">
        <v>7.41</v>
      </c>
      <c r="BN39" s="4">
        <v>56.82</v>
      </c>
      <c r="BO39" s="4">
        <v>56.82</v>
      </c>
      <c r="BQ39" t="s">
        <v>243</v>
      </c>
      <c r="BR39" t="s">
        <v>271</v>
      </c>
      <c r="BS39" s="3">
        <v>43902</v>
      </c>
      <c r="BT39" s="5">
        <v>0.40208333333333335</v>
      </c>
      <c r="BU39" t="s">
        <v>272</v>
      </c>
      <c r="BV39" t="s">
        <v>85</v>
      </c>
      <c r="BY39">
        <v>1200</v>
      </c>
      <c r="BZ39" t="s">
        <v>27</v>
      </c>
      <c r="CA39" t="s">
        <v>245</v>
      </c>
      <c r="CC39" t="s">
        <v>110</v>
      </c>
      <c r="CD39">
        <v>157</v>
      </c>
      <c r="CE39" t="s">
        <v>87</v>
      </c>
      <c r="CF39" s="3">
        <v>43903</v>
      </c>
      <c r="CI39">
        <v>1</v>
      </c>
      <c r="CJ39">
        <v>1</v>
      </c>
      <c r="CK39">
        <v>21</v>
      </c>
      <c r="CL39" t="s">
        <v>88</v>
      </c>
    </row>
    <row r="40" spans="1:90">
      <c r="A40" t="s">
        <v>140</v>
      </c>
      <c r="B40" t="s">
        <v>73</v>
      </c>
      <c r="C40" t="s">
        <v>74</v>
      </c>
      <c r="E40" t="str">
        <f>"029908034363"</f>
        <v>029908034363</v>
      </c>
      <c r="F40" s="3">
        <v>43901</v>
      </c>
      <c r="G40">
        <v>202009</v>
      </c>
      <c r="H40" t="s">
        <v>189</v>
      </c>
      <c r="I40" t="s">
        <v>190</v>
      </c>
      <c r="J40" t="s">
        <v>99</v>
      </c>
      <c r="K40" t="s">
        <v>78</v>
      </c>
      <c r="L40" t="s">
        <v>122</v>
      </c>
      <c r="M40" t="s">
        <v>123</v>
      </c>
      <c r="N40" t="s">
        <v>273</v>
      </c>
      <c r="O40" t="s">
        <v>81</v>
      </c>
      <c r="P40" t="str">
        <f>"1194 22 70FM                  "</f>
        <v xml:space="preserve">1194 22 70FM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7.54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0.3</v>
      </c>
      <c r="BJ40">
        <v>0.2</v>
      </c>
      <c r="BK40">
        <v>0.5</v>
      </c>
      <c r="BL40" s="4">
        <v>49.41</v>
      </c>
      <c r="BM40" s="4">
        <v>7.41</v>
      </c>
      <c r="BN40" s="4">
        <v>56.82</v>
      </c>
      <c r="BO40" s="4">
        <v>56.82</v>
      </c>
      <c r="BQ40" t="s">
        <v>274</v>
      </c>
      <c r="BR40" t="s">
        <v>275</v>
      </c>
      <c r="BS40" s="3">
        <v>43902</v>
      </c>
      <c r="BT40" s="5">
        <v>0.3444444444444445</v>
      </c>
      <c r="BU40" t="s">
        <v>276</v>
      </c>
      <c r="BV40" t="s">
        <v>85</v>
      </c>
      <c r="BY40">
        <v>1200</v>
      </c>
      <c r="BZ40" t="s">
        <v>27</v>
      </c>
      <c r="CC40" t="s">
        <v>123</v>
      </c>
      <c r="CD40">
        <v>2000</v>
      </c>
      <c r="CE40" t="s">
        <v>87</v>
      </c>
      <c r="CF40" s="3">
        <v>43904</v>
      </c>
      <c r="CI40">
        <v>1</v>
      </c>
      <c r="CJ40">
        <v>1</v>
      </c>
      <c r="CK40">
        <v>21</v>
      </c>
      <c r="CL40" t="s">
        <v>88</v>
      </c>
    </row>
    <row r="41" spans="1:90">
      <c r="A41" t="s">
        <v>140</v>
      </c>
      <c r="B41" t="s">
        <v>73</v>
      </c>
      <c r="C41" t="s">
        <v>74</v>
      </c>
      <c r="E41" t="str">
        <f>"039902791468"</f>
        <v>039902791468</v>
      </c>
      <c r="F41" s="3">
        <v>43902</v>
      </c>
      <c r="G41">
        <v>202009</v>
      </c>
      <c r="H41" t="s">
        <v>157</v>
      </c>
      <c r="I41" t="s">
        <v>158</v>
      </c>
      <c r="J41" t="s">
        <v>99</v>
      </c>
      <c r="K41" t="s">
        <v>78</v>
      </c>
      <c r="L41" t="s">
        <v>92</v>
      </c>
      <c r="M41" t="s">
        <v>93</v>
      </c>
      <c r="N41" t="s">
        <v>99</v>
      </c>
      <c r="O41" t="s">
        <v>81</v>
      </c>
      <c r="P41" t="str">
        <f>"                              "</f>
        <v xml:space="preserve">  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14.6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0.3</v>
      </c>
      <c r="BK41">
        <v>1</v>
      </c>
      <c r="BL41" s="4">
        <v>95.72</v>
      </c>
      <c r="BM41" s="4">
        <v>14.36</v>
      </c>
      <c r="BN41" s="4">
        <v>110.08</v>
      </c>
      <c r="BO41" s="4">
        <v>110.08</v>
      </c>
      <c r="BQ41" t="s">
        <v>277</v>
      </c>
      <c r="BR41" t="s">
        <v>278</v>
      </c>
      <c r="BS41" s="3">
        <v>43903</v>
      </c>
      <c r="BT41" s="5">
        <v>0.3888888888888889</v>
      </c>
      <c r="BU41" t="s">
        <v>279</v>
      </c>
      <c r="BV41" t="s">
        <v>85</v>
      </c>
      <c r="BY41">
        <v>1739</v>
      </c>
      <c r="BZ41" t="s">
        <v>27</v>
      </c>
      <c r="CC41" t="s">
        <v>93</v>
      </c>
      <c r="CD41">
        <v>6000</v>
      </c>
      <c r="CE41" t="s">
        <v>87</v>
      </c>
      <c r="CF41" s="3">
        <v>43906</v>
      </c>
      <c r="CI41">
        <v>1</v>
      </c>
      <c r="CJ41">
        <v>1</v>
      </c>
      <c r="CK41">
        <v>23</v>
      </c>
      <c r="CL41" t="s">
        <v>88</v>
      </c>
    </row>
    <row r="42" spans="1:90">
      <c r="A42" t="s">
        <v>72</v>
      </c>
      <c r="B42" t="s">
        <v>73</v>
      </c>
      <c r="C42" t="s">
        <v>74</v>
      </c>
      <c r="E42" t="str">
        <f>"009939780073"</f>
        <v>009939780073</v>
      </c>
      <c r="F42" s="3">
        <v>43908</v>
      </c>
      <c r="G42">
        <v>202009</v>
      </c>
      <c r="H42" t="s">
        <v>117</v>
      </c>
      <c r="I42" t="s">
        <v>118</v>
      </c>
      <c r="J42" t="s">
        <v>280</v>
      </c>
      <c r="K42" t="s">
        <v>78</v>
      </c>
      <c r="L42" t="s">
        <v>222</v>
      </c>
      <c r="M42" t="s">
        <v>223</v>
      </c>
      <c r="N42" t="s">
        <v>281</v>
      </c>
      <c r="O42" t="s">
        <v>202</v>
      </c>
      <c r="P42" t="str">
        <f>"                              "</f>
        <v xml:space="preserve">  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15.96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6</v>
      </c>
      <c r="BI42">
        <v>26.4</v>
      </c>
      <c r="BJ42">
        <v>24.2</v>
      </c>
      <c r="BK42">
        <v>27</v>
      </c>
      <c r="BL42" s="4">
        <v>109.6</v>
      </c>
      <c r="BM42" s="4">
        <v>16.440000000000001</v>
      </c>
      <c r="BN42" s="4">
        <v>126.04</v>
      </c>
      <c r="BO42" s="4">
        <v>126.04</v>
      </c>
      <c r="BQ42" t="s">
        <v>282</v>
      </c>
      <c r="BR42" t="s">
        <v>283</v>
      </c>
      <c r="BS42" s="3">
        <v>43909</v>
      </c>
      <c r="BT42" s="5">
        <v>0.69513888888888886</v>
      </c>
      <c r="BU42" t="s">
        <v>284</v>
      </c>
      <c r="BV42" t="s">
        <v>85</v>
      </c>
      <c r="BY42">
        <v>120930.11</v>
      </c>
      <c r="CA42" t="s">
        <v>227</v>
      </c>
      <c r="CC42" t="s">
        <v>223</v>
      </c>
      <c r="CD42">
        <v>4300</v>
      </c>
      <c r="CE42" t="s">
        <v>87</v>
      </c>
      <c r="CF42" s="3">
        <v>43909</v>
      </c>
      <c r="CI42">
        <v>1</v>
      </c>
      <c r="CJ42">
        <v>1</v>
      </c>
      <c r="CK42" t="s">
        <v>228</v>
      </c>
      <c r="CL42" t="s">
        <v>88</v>
      </c>
    </row>
    <row r="43" spans="1:90">
      <c r="A43" t="s">
        <v>72</v>
      </c>
      <c r="B43" t="s">
        <v>73</v>
      </c>
      <c r="C43" t="s">
        <v>74</v>
      </c>
      <c r="E43" t="str">
        <f>"009939795504"</f>
        <v>009939795504</v>
      </c>
      <c r="F43" s="3">
        <v>43902</v>
      </c>
      <c r="G43">
        <v>202009</v>
      </c>
      <c r="H43" t="s">
        <v>106</v>
      </c>
      <c r="I43" t="s">
        <v>107</v>
      </c>
      <c r="J43" t="s">
        <v>285</v>
      </c>
      <c r="K43" t="s">
        <v>78</v>
      </c>
      <c r="L43" t="s">
        <v>211</v>
      </c>
      <c r="M43" t="s">
        <v>107</v>
      </c>
      <c r="N43" t="s">
        <v>108</v>
      </c>
      <c r="O43" t="s">
        <v>202</v>
      </c>
      <c r="P43" t="str">
        <f>"JNB2003040145                 "</f>
        <v xml:space="preserve">JNB2003040145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10.6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2.1</v>
      </c>
      <c r="BJ43">
        <v>4.9000000000000004</v>
      </c>
      <c r="BK43">
        <v>5</v>
      </c>
      <c r="BL43" s="4">
        <v>74.48</v>
      </c>
      <c r="BM43" s="4">
        <v>11.17</v>
      </c>
      <c r="BN43" s="4">
        <v>85.65</v>
      </c>
      <c r="BO43" s="4">
        <v>85.65</v>
      </c>
      <c r="BQ43" t="s">
        <v>286</v>
      </c>
      <c r="BR43" t="s">
        <v>287</v>
      </c>
      <c r="BS43" s="3">
        <v>43906</v>
      </c>
      <c r="BT43" s="5">
        <v>0.41666666666666669</v>
      </c>
      <c r="BU43" t="s">
        <v>288</v>
      </c>
      <c r="BV43" t="s">
        <v>88</v>
      </c>
      <c r="BW43" t="s">
        <v>289</v>
      </c>
      <c r="BX43" t="s">
        <v>290</v>
      </c>
      <c r="BY43">
        <v>24316.2</v>
      </c>
      <c r="CC43" t="s">
        <v>107</v>
      </c>
      <c r="CD43">
        <v>7800</v>
      </c>
      <c r="CE43" t="s">
        <v>87</v>
      </c>
      <c r="CF43" s="3">
        <v>43907</v>
      </c>
      <c r="CI43">
        <v>1</v>
      </c>
      <c r="CJ43">
        <v>2</v>
      </c>
      <c r="CK43" t="s">
        <v>291</v>
      </c>
      <c r="CL43" t="s">
        <v>88</v>
      </c>
    </row>
    <row r="44" spans="1:90">
      <c r="A44" t="s">
        <v>72</v>
      </c>
      <c r="B44" t="s">
        <v>73</v>
      </c>
      <c r="C44" t="s">
        <v>74</v>
      </c>
      <c r="E44" t="str">
        <f>"019911488781"</f>
        <v>019911488781</v>
      </c>
      <c r="F44" s="3">
        <v>43906</v>
      </c>
      <c r="G44">
        <v>202009</v>
      </c>
      <c r="H44" t="s">
        <v>106</v>
      </c>
      <c r="I44" t="s">
        <v>107</v>
      </c>
      <c r="J44" t="s">
        <v>108</v>
      </c>
      <c r="K44" t="s">
        <v>78</v>
      </c>
      <c r="L44" t="s">
        <v>106</v>
      </c>
      <c r="M44" t="s">
        <v>107</v>
      </c>
      <c r="N44" t="s">
        <v>292</v>
      </c>
      <c r="O44" t="s">
        <v>81</v>
      </c>
      <c r="P44" t="str">
        <f>"NA                            "</f>
        <v xml:space="preserve">NA 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5.89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 s="4">
        <v>38.6</v>
      </c>
      <c r="BM44" s="4">
        <v>5.79</v>
      </c>
      <c r="BN44" s="4">
        <v>44.39</v>
      </c>
      <c r="BO44" s="4">
        <v>44.39</v>
      </c>
      <c r="BQ44" t="s">
        <v>293</v>
      </c>
      <c r="BR44" t="s">
        <v>294</v>
      </c>
      <c r="BS44" s="3">
        <v>43907</v>
      </c>
      <c r="BT44" s="5">
        <v>0.44722222222222219</v>
      </c>
      <c r="BU44" t="s">
        <v>295</v>
      </c>
      <c r="BV44" t="s">
        <v>88</v>
      </c>
      <c r="BW44" t="s">
        <v>138</v>
      </c>
      <c r="BX44" t="s">
        <v>296</v>
      </c>
      <c r="BY44">
        <v>1200</v>
      </c>
      <c r="BZ44" t="s">
        <v>27</v>
      </c>
      <c r="CC44" t="s">
        <v>107</v>
      </c>
      <c r="CD44">
        <v>8005</v>
      </c>
      <c r="CE44" t="s">
        <v>116</v>
      </c>
      <c r="CF44" s="3">
        <v>43908</v>
      </c>
      <c r="CI44">
        <v>1</v>
      </c>
      <c r="CJ44">
        <v>1</v>
      </c>
      <c r="CK44">
        <v>22</v>
      </c>
      <c r="CL44" t="s">
        <v>88</v>
      </c>
    </row>
    <row r="45" spans="1:90">
      <c r="A45" t="s">
        <v>72</v>
      </c>
      <c r="B45" t="s">
        <v>73</v>
      </c>
      <c r="C45" t="s">
        <v>74</v>
      </c>
      <c r="E45" t="str">
        <f>"009935227680"</f>
        <v>009935227680</v>
      </c>
      <c r="F45" s="3">
        <v>43906</v>
      </c>
      <c r="G45">
        <v>202009</v>
      </c>
      <c r="H45" t="s">
        <v>79</v>
      </c>
      <c r="I45" t="s">
        <v>80</v>
      </c>
      <c r="J45" t="s">
        <v>161</v>
      </c>
      <c r="K45" t="s">
        <v>78</v>
      </c>
      <c r="L45" t="s">
        <v>106</v>
      </c>
      <c r="M45" t="s">
        <v>107</v>
      </c>
      <c r="N45" t="s">
        <v>297</v>
      </c>
      <c r="O45" t="s">
        <v>81</v>
      </c>
      <c r="P45" t="str">
        <f>"...                           "</f>
        <v xml:space="preserve">...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7.54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0.5</v>
      </c>
      <c r="BJ45">
        <v>0.5</v>
      </c>
      <c r="BK45">
        <v>0.5</v>
      </c>
      <c r="BL45" s="4">
        <v>49.41</v>
      </c>
      <c r="BM45" s="4">
        <v>7.41</v>
      </c>
      <c r="BN45" s="4">
        <v>56.82</v>
      </c>
      <c r="BO45" s="4">
        <v>56.82</v>
      </c>
      <c r="BQ45" t="s">
        <v>163</v>
      </c>
      <c r="BR45" t="s">
        <v>164</v>
      </c>
      <c r="BS45" s="3">
        <v>43907</v>
      </c>
      <c r="BT45" s="5">
        <v>0.4375</v>
      </c>
      <c r="BU45" t="s">
        <v>298</v>
      </c>
      <c r="BV45" t="s">
        <v>85</v>
      </c>
      <c r="BY45">
        <v>2722.98</v>
      </c>
      <c r="BZ45" t="s">
        <v>27</v>
      </c>
      <c r="CA45" t="s">
        <v>166</v>
      </c>
      <c r="CC45" t="s">
        <v>107</v>
      </c>
      <c r="CD45">
        <v>8001</v>
      </c>
      <c r="CE45" t="s">
        <v>87</v>
      </c>
      <c r="CF45" s="3">
        <v>43907</v>
      </c>
      <c r="CI45">
        <v>1</v>
      </c>
      <c r="CJ45">
        <v>1</v>
      </c>
      <c r="CK45">
        <v>21</v>
      </c>
      <c r="CL45" t="s">
        <v>88</v>
      </c>
    </row>
    <row r="46" spans="1:90">
      <c r="A46" t="s">
        <v>72</v>
      </c>
      <c r="B46" t="s">
        <v>73</v>
      </c>
      <c r="C46" t="s">
        <v>74</v>
      </c>
      <c r="E46" t="str">
        <f>"009939638557"</f>
        <v>009939638557</v>
      </c>
      <c r="F46" s="3">
        <v>43902</v>
      </c>
      <c r="G46">
        <v>202009</v>
      </c>
      <c r="H46" t="s">
        <v>92</v>
      </c>
      <c r="I46" t="s">
        <v>93</v>
      </c>
      <c r="J46" t="s">
        <v>99</v>
      </c>
      <c r="K46" t="s">
        <v>78</v>
      </c>
      <c r="L46" t="s">
        <v>106</v>
      </c>
      <c r="M46" t="s">
        <v>107</v>
      </c>
      <c r="N46" t="s">
        <v>299</v>
      </c>
      <c r="O46" t="s">
        <v>81</v>
      </c>
      <c r="P46" t="str">
        <f>"11912270 FM                   "</f>
        <v xml:space="preserve">11912270 FM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7.54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0.2</v>
      </c>
      <c r="BK46">
        <v>1</v>
      </c>
      <c r="BL46" s="4">
        <v>49.41</v>
      </c>
      <c r="BM46" s="4">
        <v>7.41</v>
      </c>
      <c r="BN46" s="4">
        <v>56.82</v>
      </c>
      <c r="BO46" s="4">
        <v>56.82</v>
      </c>
      <c r="BQ46" t="s">
        <v>300</v>
      </c>
      <c r="BR46" t="s">
        <v>103</v>
      </c>
      <c r="BS46" s="3">
        <v>43906</v>
      </c>
      <c r="BT46" s="5">
        <v>0.4375</v>
      </c>
      <c r="BU46" t="s">
        <v>165</v>
      </c>
      <c r="BV46" t="s">
        <v>88</v>
      </c>
      <c r="BW46" t="s">
        <v>138</v>
      </c>
      <c r="BX46" t="s">
        <v>301</v>
      </c>
      <c r="BY46">
        <v>1200</v>
      </c>
      <c r="BZ46" t="s">
        <v>27</v>
      </c>
      <c r="CA46" t="s">
        <v>166</v>
      </c>
      <c r="CC46" t="s">
        <v>107</v>
      </c>
      <c r="CD46">
        <v>8000</v>
      </c>
      <c r="CE46" t="s">
        <v>87</v>
      </c>
      <c r="CF46" s="3">
        <v>43907</v>
      </c>
      <c r="CI46">
        <v>1</v>
      </c>
      <c r="CJ46">
        <v>2</v>
      </c>
      <c r="CK46">
        <v>21</v>
      </c>
      <c r="CL46" t="s">
        <v>88</v>
      </c>
    </row>
    <row r="47" spans="1:90">
      <c r="A47" t="s">
        <v>72</v>
      </c>
      <c r="B47" t="s">
        <v>73</v>
      </c>
      <c r="C47" t="s">
        <v>74</v>
      </c>
      <c r="E47" t="str">
        <f>"019911488782"</f>
        <v>019911488782</v>
      </c>
      <c r="F47" s="3">
        <v>43903</v>
      </c>
      <c r="G47">
        <v>202009</v>
      </c>
      <c r="H47" t="s">
        <v>106</v>
      </c>
      <c r="I47" t="s">
        <v>107</v>
      </c>
      <c r="J47" t="s">
        <v>108</v>
      </c>
      <c r="K47" t="s">
        <v>78</v>
      </c>
      <c r="L47" t="s">
        <v>106</v>
      </c>
      <c r="M47" t="s">
        <v>107</v>
      </c>
      <c r="N47" t="s">
        <v>302</v>
      </c>
      <c r="O47" t="s">
        <v>81</v>
      </c>
      <c r="P47" t="str">
        <f>"NA                            "</f>
        <v xml:space="preserve">NA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6.59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1.9</v>
      </c>
      <c r="BJ47">
        <v>2.1</v>
      </c>
      <c r="BK47">
        <v>2.5</v>
      </c>
      <c r="BL47" s="4">
        <v>43.22</v>
      </c>
      <c r="BM47" s="4">
        <v>6.48</v>
      </c>
      <c r="BN47" s="4">
        <v>49.7</v>
      </c>
      <c r="BO47" s="4">
        <v>49.7</v>
      </c>
      <c r="BQ47" t="s">
        <v>303</v>
      </c>
      <c r="BR47" t="s">
        <v>113</v>
      </c>
      <c r="BS47" s="3">
        <v>43906</v>
      </c>
      <c r="BT47" s="5">
        <v>0.45833333333333331</v>
      </c>
      <c r="BU47" t="s">
        <v>304</v>
      </c>
      <c r="BV47" t="s">
        <v>88</v>
      </c>
      <c r="BW47" t="s">
        <v>305</v>
      </c>
      <c r="BX47" t="s">
        <v>306</v>
      </c>
      <c r="BY47">
        <v>10437.120000000001</v>
      </c>
      <c r="BZ47" t="s">
        <v>27</v>
      </c>
      <c r="CA47" t="s">
        <v>307</v>
      </c>
      <c r="CC47" t="s">
        <v>107</v>
      </c>
      <c r="CD47">
        <v>7441</v>
      </c>
      <c r="CE47" t="s">
        <v>116</v>
      </c>
      <c r="CF47" s="3">
        <v>43907</v>
      </c>
      <c r="CI47">
        <v>1</v>
      </c>
      <c r="CJ47">
        <v>1</v>
      </c>
      <c r="CK47">
        <v>22</v>
      </c>
      <c r="CL47" t="s">
        <v>88</v>
      </c>
    </row>
    <row r="48" spans="1:90">
      <c r="A48" t="s">
        <v>72</v>
      </c>
      <c r="B48" t="s">
        <v>73</v>
      </c>
      <c r="C48" t="s">
        <v>74</v>
      </c>
      <c r="E48" t="str">
        <f>"009939638519"</f>
        <v>009939638519</v>
      </c>
      <c r="F48" s="3">
        <v>43903</v>
      </c>
      <c r="G48">
        <v>202009</v>
      </c>
      <c r="H48" t="s">
        <v>92</v>
      </c>
      <c r="I48" t="s">
        <v>93</v>
      </c>
      <c r="J48" t="s">
        <v>99</v>
      </c>
      <c r="K48" t="s">
        <v>78</v>
      </c>
      <c r="L48" t="s">
        <v>308</v>
      </c>
      <c r="M48" t="s">
        <v>309</v>
      </c>
      <c r="N48" t="s">
        <v>310</v>
      </c>
      <c r="O48" t="s">
        <v>81</v>
      </c>
      <c r="P48" t="str">
        <f>"11912270 FM                   "</f>
        <v xml:space="preserve">11912270 FM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7.54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0.2</v>
      </c>
      <c r="BK48">
        <v>1</v>
      </c>
      <c r="BL48" s="4">
        <v>49.41</v>
      </c>
      <c r="BM48" s="4">
        <v>7.41</v>
      </c>
      <c r="BN48" s="4">
        <v>56.82</v>
      </c>
      <c r="BO48" s="4">
        <v>56.82</v>
      </c>
      <c r="BQ48" t="s">
        <v>243</v>
      </c>
      <c r="BR48" t="s">
        <v>103</v>
      </c>
      <c r="BS48" s="3">
        <v>43906</v>
      </c>
      <c r="BT48" s="5">
        <v>0.43472222222222223</v>
      </c>
      <c r="BU48" t="s">
        <v>311</v>
      </c>
      <c r="BV48" t="s">
        <v>85</v>
      </c>
      <c r="BY48">
        <v>1200</v>
      </c>
      <c r="BZ48" t="s">
        <v>27</v>
      </c>
      <c r="CA48" t="s">
        <v>245</v>
      </c>
      <c r="CC48" t="s">
        <v>309</v>
      </c>
      <c r="CD48">
        <v>46</v>
      </c>
      <c r="CE48" t="s">
        <v>87</v>
      </c>
      <c r="CF48" s="3">
        <v>43907</v>
      </c>
      <c r="CI48">
        <v>1</v>
      </c>
      <c r="CJ48">
        <v>1</v>
      </c>
      <c r="CK48">
        <v>21</v>
      </c>
      <c r="CL48" t="s">
        <v>88</v>
      </c>
    </row>
    <row r="49" spans="1:90">
      <c r="A49" t="s">
        <v>72</v>
      </c>
      <c r="B49" t="s">
        <v>73</v>
      </c>
      <c r="C49" t="s">
        <v>74</v>
      </c>
      <c r="E49" t="str">
        <f>"019911488783"</f>
        <v>019911488783</v>
      </c>
      <c r="F49" s="3">
        <v>43903</v>
      </c>
      <c r="G49">
        <v>202009</v>
      </c>
      <c r="H49" t="s">
        <v>106</v>
      </c>
      <c r="I49" t="s">
        <v>107</v>
      </c>
      <c r="J49" t="s">
        <v>108</v>
      </c>
      <c r="K49" t="s">
        <v>78</v>
      </c>
      <c r="L49" t="s">
        <v>312</v>
      </c>
      <c r="M49" t="s">
        <v>313</v>
      </c>
      <c r="N49" t="s">
        <v>314</v>
      </c>
      <c r="O49" t="s">
        <v>202</v>
      </c>
      <c r="P49" t="str">
        <f>"NA                            "</f>
        <v xml:space="preserve">NA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22.61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3.3</v>
      </c>
      <c r="BJ49">
        <v>3.3</v>
      </c>
      <c r="BK49">
        <v>4</v>
      </c>
      <c r="BL49" s="4">
        <v>153.22</v>
      </c>
      <c r="BM49" s="4">
        <v>22.98</v>
      </c>
      <c r="BN49" s="4">
        <v>176.2</v>
      </c>
      <c r="BO49" s="4">
        <v>176.2</v>
      </c>
      <c r="BQ49" t="s">
        <v>315</v>
      </c>
      <c r="BR49" t="s">
        <v>113</v>
      </c>
      <c r="BS49" s="3">
        <v>43908</v>
      </c>
      <c r="BT49" s="5">
        <v>0.59722222222222221</v>
      </c>
      <c r="BU49" t="s">
        <v>316</v>
      </c>
      <c r="BV49" t="s">
        <v>85</v>
      </c>
      <c r="BY49">
        <v>16642.080000000002</v>
      </c>
      <c r="CA49" t="s">
        <v>317</v>
      </c>
      <c r="CC49" t="s">
        <v>313</v>
      </c>
      <c r="CD49">
        <v>982</v>
      </c>
      <c r="CE49" t="s">
        <v>205</v>
      </c>
      <c r="CF49" s="3">
        <v>43911</v>
      </c>
      <c r="CI49">
        <v>4</v>
      </c>
      <c r="CJ49">
        <v>3</v>
      </c>
      <c r="CK49" t="s">
        <v>318</v>
      </c>
      <c r="CL49" t="s">
        <v>88</v>
      </c>
    </row>
    <row r="50" spans="1:90">
      <c r="A50" t="s">
        <v>72</v>
      </c>
      <c r="B50" t="s">
        <v>73</v>
      </c>
      <c r="C50" t="s">
        <v>74</v>
      </c>
      <c r="E50" t="str">
        <f>"019911488784"</f>
        <v>019911488784</v>
      </c>
      <c r="F50" s="3">
        <v>43903</v>
      </c>
      <c r="G50">
        <v>202009</v>
      </c>
      <c r="H50" t="s">
        <v>106</v>
      </c>
      <c r="I50" t="s">
        <v>107</v>
      </c>
      <c r="J50" t="s">
        <v>108</v>
      </c>
      <c r="K50" t="s">
        <v>78</v>
      </c>
      <c r="L50" t="s">
        <v>264</v>
      </c>
      <c r="M50" t="s">
        <v>265</v>
      </c>
      <c r="N50" t="s">
        <v>319</v>
      </c>
      <c r="O50" t="s">
        <v>202</v>
      </c>
      <c r="P50" t="str">
        <f>"NA                            "</f>
        <v xml:space="preserve">NA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24.87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20.9</v>
      </c>
      <c r="BJ50">
        <v>18.3</v>
      </c>
      <c r="BK50">
        <v>21</v>
      </c>
      <c r="BL50" s="4">
        <v>168.05</v>
      </c>
      <c r="BM50" s="4">
        <v>25.21</v>
      </c>
      <c r="BN50" s="4">
        <v>193.26</v>
      </c>
      <c r="BO50" s="4">
        <v>193.26</v>
      </c>
      <c r="BQ50" t="s">
        <v>320</v>
      </c>
      <c r="BR50" t="s">
        <v>113</v>
      </c>
      <c r="BS50" s="3">
        <v>43907</v>
      </c>
      <c r="BT50" s="5">
        <v>0.59722222222222221</v>
      </c>
      <c r="BU50" t="s">
        <v>321</v>
      </c>
      <c r="BV50" t="s">
        <v>85</v>
      </c>
      <c r="BY50">
        <v>91470.15</v>
      </c>
      <c r="CA50" t="s">
        <v>322</v>
      </c>
      <c r="CC50" t="s">
        <v>265</v>
      </c>
      <c r="CD50">
        <v>9459</v>
      </c>
      <c r="CE50" t="s">
        <v>205</v>
      </c>
      <c r="CF50" s="3">
        <v>43909</v>
      </c>
      <c r="CI50">
        <v>3</v>
      </c>
      <c r="CJ50">
        <v>2</v>
      </c>
      <c r="CK50" t="s">
        <v>323</v>
      </c>
      <c r="CL50" t="s">
        <v>88</v>
      </c>
    </row>
    <row r="51" spans="1:90">
      <c r="A51" t="s">
        <v>72</v>
      </c>
      <c r="B51" t="s">
        <v>73</v>
      </c>
      <c r="C51" t="s">
        <v>74</v>
      </c>
      <c r="E51" t="str">
        <f>"069908438921"</f>
        <v>069908438921</v>
      </c>
      <c r="F51" s="3">
        <v>43903</v>
      </c>
      <c r="G51">
        <v>202009</v>
      </c>
      <c r="H51" t="s">
        <v>117</v>
      </c>
      <c r="I51" t="s">
        <v>118</v>
      </c>
      <c r="J51" t="s">
        <v>324</v>
      </c>
      <c r="K51" t="s">
        <v>78</v>
      </c>
      <c r="L51" t="s">
        <v>211</v>
      </c>
      <c r="M51" t="s">
        <v>107</v>
      </c>
      <c r="N51" t="s">
        <v>108</v>
      </c>
      <c r="O51" t="s">
        <v>202</v>
      </c>
      <c r="P51" t="str">
        <f>"NA                            "</f>
        <v xml:space="preserve">NA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42.51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2</v>
      </c>
      <c r="BI51">
        <v>56</v>
      </c>
      <c r="BJ51">
        <v>46.9</v>
      </c>
      <c r="BK51">
        <v>56</v>
      </c>
      <c r="BL51" s="4">
        <v>283.69</v>
      </c>
      <c r="BM51" s="4">
        <v>42.55</v>
      </c>
      <c r="BN51" s="4">
        <v>326.24</v>
      </c>
      <c r="BO51" s="4">
        <v>326.24</v>
      </c>
      <c r="BQ51" t="s">
        <v>325</v>
      </c>
      <c r="BR51" t="s">
        <v>326</v>
      </c>
      <c r="BS51" s="3">
        <v>43906</v>
      </c>
      <c r="BT51" s="5">
        <v>0.41666666666666669</v>
      </c>
      <c r="BU51" t="s">
        <v>288</v>
      </c>
      <c r="BV51" t="s">
        <v>85</v>
      </c>
      <c r="BY51">
        <v>117312</v>
      </c>
      <c r="CC51" t="s">
        <v>107</v>
      </c>
      <c r="CD51">
        <v>7800</v>
      </c>
      <c r="CE51" t="s">
        <v>87</v>
      </c>
      <c r="CF51" s="3">
        <v>43907</v>
      </c>
      <c r="CI51">
        <v>2</v>
      </c>
      <c r="CJ51">
        <v>1</v>
      </c>
      <c r="CK51" t="s">
        <v>206</v>
      </c>
      <c r="CL51" t="s">
        <v>88</v>
      </c>
    </row>
    <row r="52" spans="1:90">
      <c r="A52" t="s">
        <v>72</v>
      </c>
      <c r="B52" t="s">
        <v>73</v>
      </c>
      <c r="C52" t="s">
        <v>74</v>
      </c>
      <c r="E52" t="str">
        <f>"009939780065"</f>
        <v>009939780065</v>
      </c>
      <c r="F52" s="3">
        <v>43903</v>
      </c>
      <c r="G52">
        <v>202009</v>
      </c>
      <c r="H52" t="s">
        <v>117</v>
      </c>
      <c r="I52" t="s">
        <v>118</v>
      </c>
      <c r="J52" t="s">
        <v>327</v>
      </c>
      <c r="K52" t="s">
        <v>78</v>
      </c>
      <c r="L52" t="s">
        <v>222</v>
      </c>
      <c r="M52" t="s">
        <v>223</v>
      </c>
      <c r="N52" t="s">
        <v>328</v>
      </c>
      <c r="O52" t="s">
        <v>202</v>
      </c>
      <c r="P52" t="str">
        <f>"                              "</f>
        <v xml:space="preserve">  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10.6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0.5</v>
      </c>
      <c r="BJ52">
        <v>1.5</v>
      </c>
      <c r="BK52">
        <v>2</v>
      </c>
      <c r="BL52" s="4">
        <v>74.48</v>
      </c>
      <c r="BM52" s="4">
        <v>11.17</v>
      </c>
      <c r="BN52" s="4">
        <v>85.65</v>
      </c>
      <c r="BO52" s="4">
        <v>85.65</v>
      </c>
      <c r="BQ52" t="s">
        <v>329</v>
      </c>
      <c r="BR52" t="s">
        <v>283</v>
      </c>
      <c r="BS52" s="3">
        <v>43906</v>
      </c>
      <c r="BT52" s="5">
        <v>0.3527777777777778</v>
      </c>
      <c r="BU52" t="s">
        <v>330</v>
      </c>
      <c r="BV52" t="s">
        <v>85</v>
      </c>
      <c r="BY52">
        <v>7577.61</v>
      </c>
      <c r="CA52" t="s">
        <v>331</v>
      </c>
      <c r="CC52" t="s">
        <v>223</v>
      </c>
      <c r="CD52">
        <v>4300</v>
      </c>
      <c r="CE52" t="s">
        <v>87</v>
      </c>
      <c r="CF52" s="3">
        <v>43907</v>
      </c>
      <c r="CI52">
        <v>1</v>
      </c>
      <c r="CJ52">
        <v>1</v>
      </c>
      <c r="CK52" t="s">
        <v>228</v>
      </c>
      <c r="CL52" t="s">
        <v>88</v>
      </c>
    </row>
    <row r="53" spans="1:90">
      <c r="A53" t="s">
        <v>72</v>
      </c>
      <c r="B53" t="s">
        <v>73</v>
      </c>
      <c r="C53" t="s">
        <v>74</v>
      </c>
      <c r="E53" t="str">
        <f>"009940025574"</f>
        <v>009940025574</v>
      </c>
      <c r="F53" s="3">
        <v>43907</v>
      </c>
      <c r="G53">
        <v>202009</v>
      </c>
      <c r="H53" t="s">
        <v>106</v>
      </c>
      <c r="I53" t="s">
        <v>107</v>
      </c>
      <c r="J53" t="s">
        <v>186</v>
      </c>
      <c r="K53" t="s">
        <v>78</v>
      </c>
      <c r="L53" t="s">
        <v>122</v>
      </c>
      <c r="M53" t="s">
        <v>123</v>
      </c>
      <c r="N53" t="s">
        <v>186</v>
      </c>
      <c r="O53" t="s">
        <v>81</v>
      </c>
      <c r="P53" t="str">
        <f>"11252350FS                    "</f>
        <v xml:space="preserve">11252350FS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7.54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0.4</v>
      </c>
      <c r="BJ53">
        <v>2</v>
      </c>
      <c r="BK53">
        <v>2</v>
      </c>
      <c r="BL53" s="4">
        <v>49.41</v>
      </c>
      <c r="BM53" s="4">
        <v>7.41</v>
      </c>
      <c r="BN53" s="4">
        <v>56.82</v>
      </c>
      <c r="BO53" s="4">
        <v>56.82</v>
      </c>
      <c r="BQ53" t="s">
        <v>187</v>
      </c>
      <c r="BR53" t="s">
        <v>188</v>
      </c>
      <c r="BS53" s="3">
        <v>43908</v>
      </c>
      <c r="BT53" s="5">
        <v>0.32916666666666666</v>
      </c>
      <c r="BU53" t="s">
        <v>151</v>
      </c>
      <c r="BV53" t="s">
        <v>85</v>
      </c>
      <c r="BY53">
        <v>9853.2000000000007</v>
      </c>
      <c r="BZ53" t="s">
        <v>27</v>
      </c>
      <c r="CC53" t="s">
        <v>123</v>
      </c>
      <c r="CD53">
        <v>2021</v>
      </c>
      <c r="CE53" t="s">
        <v>87</v>
      </c>
      <c r="CF53" s="3">
        <v>43909</v>
      </c>
      <c r="CI53">
        <v>1</v>
      </c>
      <c r="CJ53">
        <v>1</v>
      </c>
      <c r="CK53">
        <v>21</v>
      </c>
      <c r="CL53" t="s">
        <v>88</v>
      </c>
    </row>
    <row r="54" spans="1:90">
      <c r="A54" t="s">
        <v>72</v>
      </c>
      <c r="B54" t="s">
        <v>73</v>
      </c>
      <c r="C54" t="s">
        <v>74</v>
      </c>
      <c r="E54" t="str">
        <f>"019911488780"</f>
        <v>019911488780</v>
      </c>
      <c r="F54" s="3">
        <v>43907</v>
      </c>
      <c r="G54">
        <v>202009</v>
      </c>
      <c r="H54" t="s">
        <v>106</v>
      </c>
      <c r="I54" t="s">
        <v>107</v>
      </c>
      <c r="J54" t="s">
        <v>108</v>
      </c>
      <c r="K54" t="s">
        <v>78</v>
      </c>
      <c r="L54" t="s">
        <v>109</v>
      </c>
      <c r="M54" t="s">
        <v>110</v>
      </c>
      <c r="N54" t="s">
        <v>332</v>
      </c>
      <c r="O54" t="s">
        <v>81</v>
      </c>
      <c r="P54" t="str">
        <f>"NA                            "</f>
        <v xml:space="preserve">NA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9.42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2.1</v>
      </c>
      <c r="BJ54">
        <v>2.2999999999999998</v>
      </c>
      <c r="BK54">
        <v>2.5</v>
      </c>
      <c r="BL54" s="4">
        <v>61.75</v>
      </c>
      <c r="BM54" s="4">
        <v>9.26</v>
      </c>
      <c r="BN54" s="4">
        <v>71.010000000000005</v>
      </c>
      <c r="BO54" s="4">
        <v>71.010000000000005</v>
      </c>
      <c r="BQ54" t="s">
        <v>333</v>
      </c>
      <c r="BR54" t="s">
        <v>113</v>
      </c>
      <c r="BS54" s="3">
        <v>43908</v>
      </c>
      <c r="BT54" s="5">
        <v>0.3923611111111111</v>
      </c>
      <c r="BU54" t="s">
        <v>334</v>
      </c>
      <c r="BV54" t="s">
        <v>85</v>
      </c>
      <c r="BY54">
        <v>11515.27</v>
      </c>
      <c r="BZ54" t="s">
        <v>27</v>
      </c>
      <c r="CC54" t="s">
        <v>110</v>
      </c>
      <c r="CD54">
        <v>1</v>
      </c>
      <c r="CE54" t="s">
        <v>87</v>
      </c>
      <c r="CF54" s="3">
        <v>43909</v>
      </c>
      <c r="CI54">
        <v>1</v>
      </c>
      <c r="CJ54">
        <v>1</v>
      </c>
      <c r="CK54">
        <v>21</v>
      </c>
      <c r="CL54" t="s">
        <v>88</v>
      </c>
    </row>
    <row r="55" spans="1:90">
      <c r="A55" t="s">
        <v>140</v>
      </c>
      <c r="B55" t="s">
        <v>73</v>
      </c>
      <c r="C55" t="s">
        <v>74</v>
      </c>
      <c r="E55" t="str">
        <f>"029908452249"</f>
        <v>029908452249</v>
      </c>
      <c r="F55" s="3">
        <v>43907</v>
      </c>
      <c r="G55">
        <v>202009</v>
      </c>
      <c r="H55" t="s">
        <v>189</v>
      </c>
      <c r="I55" t="s">
        <v>190</v>
      </c>
      <c r="J55" t="s">
        <v>99</v>
      </c>
      <c r="K55" t="s">
        <v>78</v>
      </c>
      <c r="L55" t="s">
        <v>106</v>
      </c>
      <c r="M55" t="s">
        <v>107</v>
      </c>
      <c r="N55" t="s">
        <v>297</v>
      </c>
      <c r="O55" t="s">
        <v>81</v>
      </c>
      <c r="P55" t="str">
        <f>"11942270FM                    "</f>
        <v xml:space="preserve">11942270FM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7.54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2</v>
      </c>
      <c r="BJ55">
        <v>0.6</v>
      </c>
      <c r="BK55">
        <v>2</v>
      </c>
      <c r="BL55" s="4">
        <v>49.41</v>
      </c>
      <c r="BM55" s="4">
        <v>7.41</v>
      </c>
      <c r="BN55" s="4">
        <v>56.82</v>
      </c>
      <c r="BO55" s="4">
        <v>56.82</v>
      </c>
      <c r="BQ55" t="s">
        <v>335</v>
      </c>
      <c r="BR55" t="s">
        <v>192</v>
      </c>
      <c r="BS55" s="3">
        <v>43908</v>
      </c>
      <c r="BT55" s="5">
        <v>0.43402777777777773</v>
      </c>
      <c r="BU55" t="s">
        <v>165</v>
      </c>
      <c r="BV55" t="s">
        <v>85</v>
      </c>
      <c r="BY55">
        <v>2886</v>
      </c>
      <c r="BZ55" t="s">
        <v>27</v>
      </c>
      <c r="CA55" t="s">
        <v>166</v>
      </c>
      <c r="CC55" t="s">
        <v>107</v>
      </c>
      <c r="CD55">
        <v>8000</v>
      </c>
      <c r="CE55" t="s">
        <v>87</v>
      </c>
      <c r="CF55" s="3">
        <v>43909</v>
      </c>
      <c r="CI55">
        <v>1</v>
      </c>
      <c r="CJ55">
        <v>1</v>
      </c>
      <c r="CK55">
        <v>21</v>
      </c>
      <c r="CL55" t="s">
        <v>88</v>
      </c>
    </row>
    <row r="56" spans="1:90">
      <c r="A56" t="s">
        <v>72</v>
      </c>
      <c r="B56" t="s">
        <v>73</v>
      </c>
      <c r="C56" t="s">
        <v>74</v>
      </c>
      <c r="E56" t="str">
        <f>"009939780066"</f>
        <v>009939780066</v>
      </c>
      <c r="F56" s="3">
        <v>43908</v>
      </c>
      <c r="G56">
        <v>202009</v>
      </c>
      <c r="H56" t="s">
        <v>117</v>
      </c>
      <c r="I56" t="s">
        <v>118</v>
      </c>
      <c r="J56" t="s">
        <v>336</v>
      </c>
      <c r="K56" t="s">
        <v>78</v>
      </c>
      <c r="L56" t="s">
        <v>189</v>
      </c>
      <c r="M56" t="s">
        <v>190</v>
      </c>
      <c r="N56" t="s">
        <v>337</v>
      </c>
      <c r="O56" t="s">
        <v>338</v>
      </c>
      <c r="P56" t="str">
        <f>"jnx046562                     "</f>
        <v xml:space="preserve">jnx046562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437.5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135.24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15</v>
      </c>
      <c r="BJ56">
        <v>6.3</v>
      </c>
      <c r="BK56">
        <v>15</v>
      </c>
      <c r="BL56" s="4">
        <v>886.57</v>
      </c>
      <c r="BM56" s="4">
        <v>132.99</v>
      </c>
      <c r="BN56" s="4">
        <v>1019.56</v>
      </c>
      <c r="BO56" s="4">
        <v>1019.56</v>
      </c>
      <c r="BP56" t="s">
        <v>338</v>
      </c>
      <c r="BQ56" t="s">
        <v>339</v>
      </c>
      <c r="BR56" t="s">
        <v>340</v>
      </c>
      <c r="BS56" s="3">
        <v>43908</v>
      </c>
      <c r="BT56" s="5">
        <v>0.64583333333333337</v>
      </c>
      <c r="BU56" t="s">
        <v>341</v>
      </c>
      <c r="BV56" t="s">
        <v>85</v>
      </c>
      <c r="BY56">
        <v>31746</v>
      </c>
      <c r="BZ56" t="s">
        <v>342</v>
      </c>
      <c r="CC56" t="s">
        <v>190</v>
      </c>
      <c r="CD56">
        <v>4000</v>
      </c>
      <c r="CE56" t="s">
        <v>87</v>
      </c>
      <c r="CF56" s="3">
        <v>43909</v>
      </c>
      <c r="CI56">
        <v>0</v>
      </c>
      <c r="CJ56">
        <v>0</v>
      </c>
      <c r="CK56">
        <v>21</v>
      </c>
      <c r="CL56" t="s">
        <v>88</v>
      </c>
    </row>
    <row r="57" spans="1:90">
      <c r="A57" t="s">
        <v>72</v>
      </c>
      <c r="B57" t="s">
        <v>73</v>
      </c>
      <c r="C57" t="s">
        <v>74</v>
      </c>
      <c r="E57" t="str">
        <f>"019911488779"</f>
        <v>019911488779</v>
      </c>
      <c r="F57" s="3">
        <v>43909</v>
      </c>
      <c r="G57">
        <v>202009</v>
      </c>
      <c r="H57" t="s">
        <v>106</v>
      </c>
      <c r="I57" t="s">
        <v>107</v>
      </c>
      <c r="J57" t="s">
        <v>108</v>
      </c>
      <c r="K57" t="s">
        <v>78</v>
      </c>
      <c r="L57" t="s">
        <v>211</v>
      </c>
      <c r="M57" t="s">
        <v>107</v>
      </c>
      <c r="N57" t="s">
        <v>343</v>
      </c>
      <c r="O57" t="s">
        <v>202</v>
      </c>
      <c r="P57" t="str">
        <f>"NA                            "</f>
        <v xml:space="preserve">NA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10.6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4.4000000000000004</v>
      </c>
      <c r="BJ57">
        <v>4.2</v>
      </c>
      <c r="BK57">
        <v>5</v>
      </c>
      <c r="BL57" s="4">
        <v>74.48</v>
      </c>
      <c r="BM57" s="4">
        <v>11.17</v>
      </c>
      <c r="BN57" s="4">
        <v>85.65</v>
      </c>
      <c r="BO57" s="4">
        <v>85.65</v>
      </c>
      <c r="BQ57" t="s">
        <v>344</v>
      </c>
      <c r="BR57" t="s">
        <v>113</v>
      </c>
      <c r="BS57" s="3">
        <v>43910</v>
      </c>
      <c r="BT57" s="5">
        <v>0.53680555555555554</v>
      </c>
      <c r="BU57" t="s">
        <v>345</v>
      </c>
      <c r="BV57" t="s">
        <v>85</v>
      </c>
      <c r="BY57">
        <v>20871.25</v>
      </c>
      <c r="CA57" t="s">
        <v>346</v>
      </c>
      <c r="CC57" t="s">
        <v>107</v>
      </c>
      <c r="CD57">
        <v>7785</v>
      </c>
      <c r="CE57" t="s">
        <v>87</v>
      </c>
      <c r="CF57" s="3">
        <v>43913</v>
      </c>
      <c r="CI57">
        <v>1</v>
      </c>
      <c r="CJ57">
        <v>1</v>
      </c>
      <c r="CK57" t="s">
        <v>291</v>
      </c>
      <c r="CL57" t="s">
        <v>88</v>
      </c>
    </row>
    <row r="58" spans="1:90">
      <c r="A58" t="s">
        <v>72</v>
      </c>
      <c r="B58" t="s">
        <v>73</v>
      </c>
      <c r="C58" t="s">
        <v>74</v>
      </c>
      <c r="E58" t="str">
        <f>"009938634366"</f>
        <v>009938634366</v>
      </c>
      <c r="F58" s="3">
        <v>43909</v>
      </c>
      <c r="G58">
        <v>202009</v>
      </c>
      <c r="H58" t="s">
        <v>109</v>
      </c>
      <c r="I58" t="s">
        <v>110</v>
      </c>
      <c r="J58" t="s">
        <v>91</v>
      </c>
      <c r="K58" t="s">
        <v>78</v>
      </c>
      <c r="L58" t="s">
        <v>106</v>
      </c>
      <c r="M58" t="s">
        <v>107</v>
      </c>
      <c r="N58" t="s">
        <v>347</v>
      </c>
      <c r="O58" t="s">
        <v>81</v>
      </c>
      <c r="P58" t="str">
        <f>"NA                            "</f>
        <v xml:space="preserve">NA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7.54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2</v>
      </c>
      <c r="BJ58">
        <v>0.2</v>
      </c>
      <c r="BK58">
        <v>2</v>
      </c>
      <c r="BL58" s="4">
        <v>49.41</v>
      </c>
      <c r="BM58" s="4">
        <v>7.41</v>
      </c>
      <c r="BN58" s="4">
        <v>56.82</v>
      </c>
      <c r="BO58" s="4">
        <v>56.82</v>
      </c>
      <c r="BQ58" t="s">
        <v>348</v>
      </c>
      <c r="BR58" t="s">
        <v>349</v>
      </c>
      <c r="BS58" s="3">
        <v>43910</v>
      </c>
      <c r="BT58" s="5">
        <v>0.43402777777777773</v>
      </c>
      <c r="BU58" t="s">
        <v>165</v>
      </c>
      <c r="BV58" t="s">
        <v>85</v>
      </c>
      <c r="BY58">
        <v>1200</v>
      </c>
      <c r="BZ58" t="s">
        <v>27</v>
      </c>
      <c r="CA58" t="s">
        <v>166</v>
      </c>
      <c r="CC58" t="s">
        <v>107</v>
      </c>
      <c r="CD58">
        <v>8000</v>
      </c>
      <c r="CE58" t="s">
        <v>87</v>
      </c>
      <c r="CF58" s="3">
        <v>43913</v>
      </c>
      <c r="CI58">
        <v>1</v>
      </c>
      <c r="CJ58">
        <v>1</v>
      </c>
      <c r="CK58">
        <v>21</v>
      </c>
      <c r="CL58" t="s">
        <v>88</v>
      </c>
    </row>
    <row r="59" spans="1:90">
      <c r="A59" t="s">
        <v>72</v>
      </c>
      <c r="B59" t="s">
        <v>73</v>
      </c>
      <c r="C59" t="s">
        <v>74</v>
      </c>
      <c r="E59" t="str">
        <f>"019911488763"</f>
        <v>019911488763</v>
      </c>
      <c r="F59" s="3">
        <v>43909</v>
      </c>
      <c r="G59">
        <v>202009</v>
      </c>
      <c r="H59" t="s">
        <v>106</v>
      </c>
      <c r="I59" t="s">
        <v>107</v>
      </c>
      <c r="J59" t="s">
        <v>108</v>
      </c>
      <c r="K59" t="s">
        <v>78</v>
      </c>
      <c r="L59" t="s">
        <v>106</v>
      </c>
      <c r="M59" t="s">
        <v>107</v>
      </c>
      <c r="N59" t="s">
        <v>350</v>
      </c>
      <c r="O59" t="s">
        <v>81</v>
      </c>
      <c r="P59" t="str">
        <f>"NA                            "</f>
        <v xml:space="preserve">NA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5.89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1.2</v>
      </c>
      <c r="BJ59">
        <v>2</v>
      </c>
      <c r="BK59">
        <v>2</v>
      </c>
      <c r="BL59" s="4">
        <v>38.6</v>
      </c>
      <c r="BM59" s="4">
        <v>5.79</v>
      </c>
      <c r="BN59" s="4">
        <v>44.39</v>
      </c>
      <c r="BO59" s="4">
        <v>44.39</v>
      </c>
      <c r="BQ59" t="s">
        <v>351</v>
      </c>
      <c r="BR59" t="s">
        <v>113</v>
      </c>
      <c r="BS59" s="3">
        <v>43910</v>
      </c>
      <c r="BT59" s="5">
        <v>0.38472222222222219</v>
      </c>
      <c r="BU59" t="s">
        <v>352</v>
      </c>
      <c r="BV59" t="s">
        <v>85</v>
      </c>
      <c r="BY59">
        <v>10053.290000000001</v>
      </c>
      <c r="BZ59" t="s">
        <v>27</v>
      </c>
      <c r="CA59" t="s">
        <v>353</v>
      </c>
      <c r="CC59" t="s">
        <v>107</v>
      </c>
      <c r="CD59">
        <v>7530</v>
      </c>
      <c r="CE59" t="s">
        <v>116</v>
      </c>
      <c r="CF59" s="3">
        <v>43913</v>
      </c>
      <c r="CI59">
        <v>1</v>
      </c>
      <c r="CJ59">
        <v>1</v>
      </c>
      <c r="CK59">
        <v>22</v>
      </c>
      <c r="CL59" t="s">
        <v>88</v>
      </c>
    </row>
    <row r="60" spans="1:90">
      <c r="A60" t="s">
        <v>140</v>
      </c>
      <c r="B60" t="s">
        <v>73</v>
      </c>
      <c r="C60" t="s">
        <v>74</v>
      </c>
      <c r="E60" t="str">
        <f>"009939633822"</f>
        <v>009939633822</v>
      </c>
      <c r="F60" s="3">
        <v>43909</v>
      </c>
      <c r="G60">
        <v>202009</v>
      </c>
      <c r="H60" t="s">
        <v>145</v>
      </c>
      <c r="I60" t="s">
        <v>146</v>
      </c>
      <c r="J60" t="s">
        <v>354</v>
      </c>
      <c r="K60" t="s">
        <v>78</v>
      </c>
      <c r="L60" t="s">
        <v>211</v>
      </c>
      <c r="M60" t="s">
        <v>107</v>
      </c>
      <c r="N60" t="s">
        <v>354</v>
      </c>
      <c r="O60" t="s">
        <v>202</v>
      </c>
      <c r="P60" t="str">
        <f>"BRYONY CLARK                  "</f>
        <v xml:space="preserve">BRYONY CLARK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18.37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7.4</v>
      </c>
      <c r="BJ60">
        <v>4.5</v>
      </c>
      <c r="BK60">
        <v>8</v>
      </c>
      <c r="BL60" s="4">
        <v>125.43</v>
      </c>
      <c r="BM60" s="4">
        <v>18.809999999999999</v>
      </c>
      <c r="BN60" s="4">
        <v>144.24</v>
      </c>
      <c r="BO60" s="4">
        <v>144.24</v>
      </c>
      <c r="BQ60" t="s">
        <v>355</v>
      </c>
      <c r="BR60" t="s">
        <v>356</v>
      </c>
      <c r="BS60" s="3">
        <v>43914</v>
      </c>
      <c r="BT60" s="5">
        <v>0.60347222222222219</v>
      </c>
      <c r="BU60" t="s">
        <v>357</v>
      </c>
      <c r="BV60" t="s">
        <v>85</v>
      </c>
      <c r="BY60">
        <v>22500</v>
      </c>
      <c r="CA60" t="s">
        <v>358</v>
      </c>
      <c r="CC60" t="s">
        <v>107</v>
      </c>
      <c r="CD60">
        <v>8001</v>
      </c>
      <c r="CE60" t="s">
        <v>87</v>
      </c>
      <c r="CF60" s="3">
        <v>43915</v>
      </c>
      <c r="CI60">
        <v>3</v>
      </c>
      <c r="CJ60">
        <v>3</v>
      </c>
      <c r="CK60" t="s">
        <v>217</v>
      </c>
      <c r="CL60" t="s">
        <v>88</v>
      </c>
    </row>
    <row r="61" spans="1:90">
      <c r="A61" t="s">
        <v>72</v>
      </c>
      <c r="B61" t="s">
        <v>73</v>
      </c>
      <c r="C61" t="s">
        <v>74</v>
      </c>
      <c r="E61" t="str">
        <f>"009938634367"</f>
        <v>009938634367</v>
      </c>
      <c r="F61" s="3">
        <v>43909</v>
      </c>
      <c r="G61">
        <v>202009</v>
      </c>
      <c r="H61" t="s">
        <v>109</v>
      </c>
      <c r="I61" t="s">
        <v>110</v>
      </c>
      <c r="J61" t="s">
        <v>91</v>
      </c>
      <c r="K61" t="s">
        <v>78</v>
      </c>
      <c r="L61" t="s">
        <v>229</v>
      </c>
      <c r="M61" t="s">
        <v>230</v>
      </c>
      <c r="N61" t="s">
        <v>94</v>
      </c>
      <c r="O61" t="s">
        <v>81</v>
      </c>
      <c r="P61" t="str">
        <f>"NAS                           "</f>
        <v xml:space="preserve">NAS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101.68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10</v>
      </c>
      <c r="BJ61">
        <v>27</v>
      </c>
      <c r="BK61">
        <v>27</v>
      </c>
      <c r="BL61" s="4">
        <v>666.55</v>
      </c>
      <c r="BM61" s="4">
        <v>99.98</v>
      </c>
      <c r="BN61" s="4">
        <v>766.53</v>
      </c>
      <c r="BO61" s="4">
        <v>766.53</v>
      </c>
      <c r="BQ61" t="s">
        <v>359</v>
      </c>
      <c r="BR61" t="s">
        <v>349</v>
      </c>
      <c r="BS61" t="s">
        <v>360</v>
      </c>
      <c r="BY61">
        <v>135000</v>
      </c>
      <c r="BZ61" t="s">
        <v>27</v>
      </c>
      <c r="CC61" t="s">
        <v>230</v>
      </c>
      <c r="CD61">
        <v>699</v>
      </c>
      <c r="CI61">
        <v>1</v>
      </c>
      <c r="CJ61" t="s">
        <v>360</v>
      </c>
      <c r="CK61">
        <v>21</v>
      </c>
      <c r="CL61" t="s">
        <v>88</v>
      </c>
    </row>
    <row r="62" spans="1:90">
      <c r="A62" t="s">
        <v>72</v>
      </c>
      <c r="B62" t="s">
        <v>73</v>
      </c>
      <c r="C62" t="s">
        <v>74</v>
      </c>
      <c r="E62" t="str">
        <f>"039902826637"</f>
        <v>039902826637</v>
      </c>
      <c r="F62" s="3">
        <v>43910</v>
      </c>
      <c r="G62">
        <v>202009</v>
      </c>
      <c r="H62" t="s">
        <v>92</v>
      </c>
      <c r="I62" t="s">
        <v>93</v>
      </c>
      <c r="J62" t="s">
        <v>99</v>
      </c>
      <c r="K62" t="s">
        <v>78</v>
      </c>
      <c r="L62" t="s">
        <v>106</v>
      </c>
      <c r="M62" t="s">
        <v>107</v>
      </c>
      <c r="N62" t="s">
        <v>299</v>
      </c>
      <c r="O62" t="s">
        <v>81</v>
      </c>
      <c r="P62" t="str">
        <f>"11912270 FM                   "</f>
        <v xml:space="preserve">11912270 FM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7.54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 s="4">
        <v>49.41</v>
      </c>
      <c r="BM62" s="4">
        <v>7.41</v>
      </c>
      <c r="BN62" s="4">
        <v>56.82</v>
      </c>
      <c r="BO62" s="4">
        <v>56.82</v>
      </c>
      <c r="BQ62" t="s">
        <v>361</v>
      </c>
      <c r="BR62" t="s">
        <v>95</v>
      </c>
      <c r="BS62" s="3">
        <v>43913</v>
      </c>
      <c r="BT62" s="5">
        <v>0.41736111111111113</v>
      </c>
      <c r="BU62" t="s">
        <v>165</v>
      </c>
      <c r="BV62" t="s">
        <v>85</v>
      </c>
      <c r="BY62">
        <v>1200</v>
      </c>
      <c r="BZ62" t="s">
        <v>27</v>
      </c>
      <c r="CA62" t="s">
        <v>166</v>
      </c>
      <c r="CC62" t="s">
        <v>107</v>
      </c>
      <c r="CD62">
        <v>8000</v>
      </c>
      <c r="CE62" t="s">
        <v>87</v>
      </c>
      <c r="CF62" s="3">
        <v>43913</v>
      </c>
      <c r="CI62">
        <v>1</v>
      </c>
      <c r="CJ62">
        <v>1</v>
      </c>
      <c r="CK62">
        <v>21</v>
      </c>
      <c r="CL62" t="s">
        <v>88</v>
      </c>
    </row>
    <row r="63" spans="1:90">
      <c r="A63" t="s">
        <v>72</v>
      </c>
      <c r="B63" t="s">
        <v>73</v>
      </c>
      <c r="C63" t="s">
        <v>74</v>
      </c>
      <c r="E63" t="str">
        <f>"019911488762"</f>
        <v>019911488762</v>
      </c>
      <c r="F63" s="3">
        <v>43910</v>
      </c>
      <c r="G63">
        <v>202009</v>
      </c>
      <c r="H63" t="s">
        <v>106</v>
      </c>
      <c r="I63" t="s">
        <v>107</v>
      </c>
      <c r="J63" t="s">
        <v>108</v>
      </c>
      <c r="K63" t="s">
        <v>78</v>
      </c>
      <c r="L63" t="s">
        <v>109</v>
      </c>
      <c r="M63" t="s">
        <v>110</v>
      </c>
      <c r="N63" t="s">
        <v>362</v>
      </c>
      <c r="O63" t="s">
        <v>81</v>
      </c>
      <c r="P63" t="str">
        <f>"NA                            "</f>
        <v xml:space="preserve">NA 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7.54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 s="4">
        <v>49.41</v>
      </c>
      <c r="BM63" s="4">
        <v>7.41</v>
      </c>
      <c r="BN63" s="4">
        <v>56.82</v>
      </c>
      <c r="BO63" s="4">
        <v>56.82</v>
      </c>
      <c r="BQ63" t="s">
        <v>363</v>
      </c>
      <c r="BR63" t="s">
        <v>113</v>
      </c>
      <c r="BS63" s="3">
        <v>43913</v>
      </c>
      <c r="BT63" s="5">
        <v>0.43333333333333335</v>
      </c>
      <c r="BU63" t="s">
        <v>364</v>
      </c>
      <c r="BV63" t="s">
        <v>85</v>
      </c>
      <c r="BY63">
        <v>1200</v>
      </c>
      <c r="BZ63" t="s">
        <v>27</v>
      </c>
      <c r="CC63" t="s">
        <v>110</v>
      </c>
      <c r="CD63">
        <v>1</v>
      </c>
      <c r="CE63" t="s">
        <v>116</v>
      </c>
      <c r="CF63" s="3">
        <v>43914</v>
      </c>
      <c r="CI63">
        <v>1</v>
      </c>
      <c r="CJ63">
        <v>1</v>
      </c>
      <c r="CK63">
        <v>21</v>
      </c>
      <c r="CL63" t="s">
        <v>88</v>
      </c>
    </row>
    <row r="64" spans="1:90">
      <c r="A64" t="s">
        <v>72</v>
      </c>
      <c r="B64" t="s">
        <v>73</v>
      </c>
      <c r="C64" t="s">
        <v>74</v>
      </c>
      <c r="E64" t="str">
        <f>"009935227679"</f>
        <v>009935227679</v>
      </c>
      <c r="F64" s="3">
        <v>43910</v>
      </c>
      <c r="G64">
        <v>202009</v>
      </c>
      <c r="H64" t="s">
        <v>79</v>
      </c>
      <c r="I64" t="s">
        <v>80</v>
      </c>
      <c r="J64" t="s">
        <v>161</v>
      </c>
      <c r="K64" t="s">
        <v>78</v>
      </c>
      <c r="L64" t="s">
        <v>106</v>
      </c>
      <c r="M64" t="s">
        <v>107</v>
      </c>
      <c r="N64" t="s">
        <v>162</v>
      </c>
      <c r="O64" t="s">
        <v>81</v>
      </c>
      <c r="P64" t="str">
        <f>"...                           "</f>
        <v xml:space="preserve">...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7.54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0.2</v>
      </c>
      <c r="BK64">
        <v>1</v>
      </c>
      <c r="BL64" s="4">
        <v>49.41</v>
      </c>
      <c r="BM64" s="4">
        <v>7.41</v>
      </c>
      <c r="BN64" s="4">
        <v>56.82</v>
      </c>
      <c r="BO64" s="4">
        <v>56.82</v>
      </c>
      <c r="BQ64" t="s">
        <v>163</v>
      </c>
      <c r="BR64" t="s">
        <v>365</v>
      </c>
      <c r="BS64" s="3">
        <v>43913</v>
      </c>
      <c r="BT64" s="5">
        <v>0.41805555555555557</v>
      </c>
      <c r="BU64" t="s">
        <v>165</v>
      </c>
      <c r="BV64" t="s">
        <v>85</v>
      </c>
      <c r="BY64">
        <v>1200</v>
      </c>
      <c r="BZ64" t="s">
        <v>27</v>
      </c>
      <c r="CA64" t="s">
        <v>166</v>
      </c>
      <c r="CC64" t="s">
        <v>107</v>
      </c>
      <c r="CD64">
        <v>8000</v>
      </c>
      <c r="CE64" t="s">
        <v>87</v>
      </c>
      <c r="CF64" s="3">
        <v>43913</v>
      </c>
      <c r="CI64">
        <v>1</v>
      </c>
      <c r="CJ64">
        <v>1</v>
      </c>
      <c r="CK64">
        <v>21</v>
      </c>
      <c r="CL64" t="s">
        <v>88</v>
      </c>
    </row>
    <row r="65" spans="1:90">
      <c r="A65" t="s">
        <v>72</v>
      </c>
      <c r="B65" t="s">
        <v>73</v>
      </c>
      <c r="C65" t="s">
        <v>74</v>
      </c>
      <c r="E65" t="str">
        <f>"009939209590"</f>
        <v>009939209590</v>
      </c>
      <c r="F65" s="3">
        <v>43910</v>
      </c>
      <c r="G65">
        <v>202009</v>
      </c>
      <c r="H65" t="s">
        <v>122</v>
      </c>
      <c r="I65" t="s">
        <v>123</v>
      </c>
      <c r="J65" t="s">
        <v>148</v>
      </c>
      <c r="K65" t="s">
        <v>78</v>
      </c>
      <c r="L65" t="s">
        <v>366</v>
      </c>
      <c r="M65" t="s">
        <v>367</v>
      </c>
      <c r="N65" t="s">
        <v>368</v>
      </c>
      <c r="O65" t="s">
        <v>202</v>
      </c>
      <c r="P65" t="str">
        <f>"11005506 HR 460040            "</f>
        <v xml:space="preserve">11005506 HR 460040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18.37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1.1000000000000001</v>
      </c>
      <c r="BJ65">
        <v>1.2</v>
      </c>
      <c r="BK65">
        <v>2</v>
      </c>
      <c r="BL65" s="4">
        <v>125.43</v>
      </c>
      <c r="BM65" s="4">
        <v>18.809999999999999</v>
      </c>
      <c r="BN65" s="4">
        <v>144.24</v>
      </c>
      <c r="BO65" s="4">
        <v>144.24</v>
      </c>
      <c r="BQ65" t="s">
        <v>369</v>
      </c>
      <c r="BR65" t="s">
        <v>154</v>
      </c>
      <c r="BS65" s="3">
        <v>43914</v>
      </c>
      <c r="BT65" s="5">
        <v>0.51736111111111105</v>
      </c>
      <c r="BU65" t="s">
        <v>370</v>
      </c>
      <c r="BV65" t="s">
        <v>85</v>
      </c>
      <c r="BY65">
        <v>5853.33</v>
      </c>
      <c r="CA65" t="s">
        <v>371</v>
      </c>
      <c r="CC65" t="s">
        <v>367</v>
      </c>
      <c r="CD65">
        <v>7220</v>
      </c>
      <c r="CE65" t="s">
        <v>87</v>
      </c>
      <c r="CF65" s="3">
        <v>43915</v>
      </c>
      <c r="CI65">
        <v>3</v>
      </c>
      <c r="CJ65">
        <v>2</v>
      </c>
      <c r="CK65" t="s">
        <v>323</v>
      </c>
      <c r="CL65" t="s">
        <v>88</v>
      </c>
    </row>
    <row r="66" spans="1:90">
      <c r="A66" t="s">
        <v>72</v>
      </c>
      <c r="B66" t="s">
        <v>73</v>
      </c>
      <c r="C66" t="s">
        <v>74</v>
      </c>
      <c r="E66" t="str">
        <f>"019911488761"</f>
        <v>019911488761</v>
      </c>
      <c r="F66" s="3">
        <v>43910</v>
      </c>
      <c r="G66">
        <v>202009</v>
      </c>
      <c r="H66" t="s">
        <v>106</v>
      </c>
      <c r="I66" t="s">
        <v>107</v>
      </c>
      <c r="J66" t="s">
        <v>108</v>
      </c>
      <c r="K66" t="s">
        <v>78</v>
      </c>
      <c r="L66" t="s">
        <v>211</v>
      </c>
      <c r="M66" t="s">
        <v>107</v>
      </c>
      <c r="N66" t="s">
        <v>372</v>
      </c>
      <c r="O66" t="s">
        <v>202</v>
      </c>
      <c r="P66" t="str">
        <f>"NA                            "</f>
        <v xml:space="preserve">NA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10.6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0.5</v>
      </c>
      <c r="BJ66">
        <v>0.6</v>
      </c>
      <c r="BK66">
        <v>1</v>
      </c>
      <c r="BL66" s="4">
        <v>74.48</v>
      </c>
      <c r="BM66" s="4">
        <v>11.17</v>
      </c>
      <c r="BN66" s="4">
        <v>85.65</v>
      </c>
      <c r="BO66" s="4">
        <v>85.65</v>
      </c>
      <c r="BQ66" t="s">
        <v>373</v>
      </c>
      <c r="BR66" t="s">
        <v>113</v>
      </c>
      <c r="BS66" s="3">
        <v>43913</v>
      </c>
      <c r="BT66" s="5">
        <v>0.4375</v>
      </c>
      <c r="BU66" t="s">
        <v>374</v>
      </c>
      <c r="BV66" t="s">
        <v>85</v>
      </c>
      <c r="BY66">
        <v>2763.5</v>
      </c>
      <c r="CA66" t="s">
        <v>375</v>
      </c>
      <c r="CC66" t="s">
        <v>107</v>
      </c>
      <c r="CD66">
        <v>8005</v>
      </c>
      <c r="CE66" t="s">
        <v>116</v>
      </c>
      <c r="CF66" s="3">
        <v>43916</v>
      </c>
      <c r="CI66">
        <v>1</v>
      </c>
      <c r="CJ66">
        <v>1</v>
      </c>
      <c r="CK66" t="s">
        <v>291</v>
      </c>
      <c r="CL66" t="s">
        <v>88</v>
      </c>
    </row>
    <row r="67" spans="1:90">
      <c r="A67" t="s">
        <v>72</v>
      </c>
      <c r="B67" t="s">
        <v>73</v>
      </c>
      <c r="C67" t="s">
        <v>74</v>
      </c>
      <c r="E67" t="str">
        <f>"009940006737"</f>
        <v>009940006737</v>
      </c>
      <c r="F67" s="3">
        <v>43910</v>
      </c>
      <c r="G67">
        <v>202009</v>
      </c>
      <c r="H67" t="s">
        <v>75</v>
      </c>
      <c r="I67" t="s">
        <v>76</v>
      </c>
      <c r="J67" t="s">
        <v>94</v>
      </c>
      <c r="K67" t="s">
        <v>78</v>
      </c>
      <c r="L67" t="s">
        <v>79</v>
      </c>
      <c r="M67" t="s">
        <v>80</v>
      </c>
      <c r="N67" t="s">
        <v>376</v>
      </c>
      <c r="O67" t="s">
        <v>202</v>
      </c>
      <c r="P67" t="str">
        <f>"...                           "</f>
        <v xml:space="preserve">...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14.13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0.2</v>
      </c>
      <c r="BK67">
        <v>1</v>
      </c>
      <c r="BL67" s="4">
        <v>97.63</v>
      </c>
      <c r="BM67" s="4">
        <v>14.64</v>
      </c>
      <c r="BN67" s="4">
        <v>112.27</v>
      </c>
      <c r="BO67" s="4">
        <v>112.27</v>
      </c>
      <c r="BQ67" t="s">
        <v>377</v>
      </c>
      <c r="BR67" t="s">
        <v>378</v>
      </c>
      <c r="BS67" s="3">
        <v>43913</v>
      </c>
      <c r="BT67" s="5">
        <v>0.37152777777777773</v>
      </c>
      <c r="BU67" t="s">
        <v>84</v>
      </c>
      <c r="BV67" t="s">
        <v>85</v>
      </c>
      <c r="BY67">
        <v>1200</v>
      </c>
      <c r="CA67" t="s">
        <v>86</v>
      </c>
      <c r="CC67" t="s">
        <v>80</v>
      </c>
      <c r="CD67">
        <v>1600</v>
      </c>
      <c r="CE67" t="s">
        <v>87</v>
      </c>
      <c r="CF67" s="3">
        <v>43914</v>
      </c>
      <c r="CI67">
        <v>1</v>
      </c>
      <c r="CJ67">
        <v>1</v>
      </c>
      <c r="CK67" t="s">
        <v>237</v>
      </c>
      <c r="CL67" t="s">
        <v>88</v>
      </c>
    </row>
    <row r="68" spans="1:90">
      <c r="A68" t="s">
        <v>72</v>
      </c>
      <c r="B68" t="s">
        <v>73</v>
      </c>
      <c r="C68" t="s">
        <v>74</v>
      </c>
      <c r="E68" t="str">
        <f>"019911488777"</f>
        <v>019911488777</v>
      </c>
      <c r="F68" s="3">
        <v>43914</v>
      </c>
      <c r="G68">
        <v>202009</v>
      </c>
      <c r="H68" t="s">
        <v>106</v>
      </c>
      <c r="I68" t="s">
        <v>107</v>
      </c>
      <c r="J68" t="s">
        <v>108</v>
      </c>
      <c r="K68" t="s">
        <v>78</v>
      </c>
      <c r="L68" t="s">
        <v>379</v>
      </c>
      <c r="M68" t="s">
        <v>380</v>
      </c>
      <c r="N68" t="s">
        <v>381</v>
      </c>
      <c r="O68" t="s">
        <v>202</v>
      </c>
      <c r="P68" t="str">
        <f>"NA                            "</f>
        <v xml:space="preserve">NA 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20.54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17</v>
      </c>
      <c r="BJ68">
        <v>15.8</v>
      </c>
      <c r="BK68">
        <v>17</v>
      </c>
      <c r="BL68" s="4">
        <v>139.63999999999999</v>
      </c>
      <c r="BM68" s="4">
        <v>20.95</v>
      </c>
      <c r="BN68" s="4">
        <v>160.59</v>
      </c>
      <c r="BO68" s="4">
        <v>160.59</v>
      </c>
      <c r="BQ68" t="s">
        <v>382</v>
      </c>
      <c r="BR68" t="s">
        <v>113</v>
      </c>
      <c r="BS68" t="s">
        <v>360</v>
      </c>
      <c r="BY68">
        <v>78780</v>
      </c>
      <c r="CC68" t="s">
        <v>380</v>
      </c>
      <c r="CD68">
        <v>4240</v>
      </c>
      <c r="CE68" t="s">
        <v>87</v>
      </c>
      <c r="CI68">
        <v>4</v>
      </c>
      <c r="CJ68" t="s">
        <v>360</v>
      </c>
      <c r="CK68" t="s">
        <v>383</v>
      </c>
      <c r="CL68" t="s">
        <v>88</v>
      </c>
    </row>
    <row r="69" spans="1:90">
      <c r="A69" t="s">
        <v>72</v>
      </c>
      <c r="B69" t="s">
        <v>73</v>
      </c>
      <c r="C69" t="s">
        <v>74</v>
      </c>
      <c r="E69" t="str">
        <f>"009939947036"</f>
        <v>009939947036</v>
      </c>
      <c r="F69" s="3">
        <v>43914</v>
      </c>
      <c r="G69">
        <v>202009</v>
      </c>
      <c r="H69" t="s">
        <v>222</v>
      </c>
      <c r="I69" t="s">
        <v>223</v>
      </c>
      <c r="J69" t="s">
        <v>384</v>
      </c>
      <c r="K69" t="s">
        <v>78</v>
      </c>
      <c r="L69" t="s">
        <v>122</v>
      </c>
      <c r="M69" t="s">
        <v>123</v>
      </c>
      <c r="N69" t="s">
        <v>108</v>
      </c>
      <c r="O69" t="s">
        <v>81</v>
      </c>
      <c r="P69" t="str">
        <f>"                              "</f>
        <v xml:space="preserve">   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7.54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1</v>
      </c>
      <c r="BJ69">
        <v>0.4</v>
      </c>
      <c r="BK69">
        <v>1</v>
      </c>
      <c r="BL69" s="4">
        <v>49.41</v>
      </c>
      <c r="BM69" s="4">
        <v>7.41</v>
      </c>
      <c r="BN69" s="4">
        <v>56.82</v>
      </c>
      <c r="BO69" s="4">
        <v>56.82</v>
      </c>
      <c r="BQ69" t="s">
        <v>385</v>
      </c>
      <c r="BS69" t="s">
        <v>360</v>
      </c>
      <c r="BY69">
        <v>1755</v>
      </c>
      <c r="BZ69" t="s">
        <v>27</v>
      </c>
      <c r="CC69" t="s">
        <v>123</v>
      </c>
      <c r="CD69">
        <v>2090</v>
      </c>
      <c r="CE69" t="s">
        <v>87</v>
      </c>
      <c r="CI69">
        <v>1</v>
      </c>
      <c r="CJ69" t="s">
        <v>360</v>
      </c>
      <c r="CK69">
        <v>21</v>
      </c>
      <c r="CL69" t="s">
        <v>88</v>
      </c>
    </row>
    <row r="70" spans="1:90">
      <c r="A70" t="s">
        <v>72</v>
      </c>
      <c r="B70" t="s">
        <v>73</v>
      </c>
      <c r="C70" t="s">
        <v>74</v>
      </c>
      <c r="E70" t="str">
        <f>"019911488716"</f>
        <v>019911488716</v>
      </c>
      <c r="F70" s="3">
        <v>43914</v>
      </c>
      <c r="G70">
        <v>202009</v>
      </c>
      <c r="H70" t="s">
        <v>106</v>
      </c>
      <c r="I70" t="s">
        <v>107</v>
      </c>
      <c r="J70" t="s">
        <v>108</v>
      </c>
      <c r="K70" t="s">
        <v>78</v>
      </c>
      <c r="L70" t="s">
        <v>232</v>
      </c>
      <c r="M70" t="s">
        <v>110</v>
      </c>
      <c r="N70" t="s">
        <v>386</v>
      </c>
      <c r="O70" t="s">
        <v>202</v>
      </c>
      <c r="P70" t="str">
        <f>"NA                            "</f>
        <v xml:space="preserve">NA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15.43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9.6999999999999993</v>
      </c>
      <c r="BJ70">
        <v>9.9</v>
      </c>
      <c r="BK70">
        <v>10</v>
      </c>
      <c r="BL70" s="4">
        <v>106.14</v>
      </c>
      <c r="BM70" s="4">
        <v>15.92</v>
      </c>
      <c r="BN70" s="4">
        <v>122.06</v>
      </c>
      <c r="BO70" s="4">
        <v>122.06</v>
      </c>
      <c r="BQ70" t="s">
        <v>387</v>
      </c>
      <c r="BR70" t="s">
        <v>113</v>
      </c>
      <c r="BS70" s="3">
        <v>43916</v>
      </c>
      <c r="BT70" s="5">
        <v>0.35416666666666669</v>
      </c>
      <c r="BU70" t="s">
        <v>114</v>
      </c>
      <c r="BV70" t="s">
        <v>85</v>
      </c>
      <c r="BY70">
        <v>49332.84</v>
      </c>
      <c r="CA70" t="s">
        <v>115</v>
      </c>
      <c r="CC70" t="s">
        <v>110</v>
      </c>
      <c r="CD70">
        <v>28</v>
      </c>
      <c r="CE70" t="s">
        <v>87</v>
      </c>
      <c r="CF70" s="3">
        <v>43916</v>
      </c>
      <c r="CI70">
        <v>0</v>
      </c>
      <c r="CJ70">
        <v>0</v>
      </c>
      <c r="CK70" t="s">
        <v>206</v>
      </c>
      <c r="CL70" t="s">
        <v>88</v>
      </c>
    </row>
    <row r="71" spans="1:90">
      <c r="A71" t="s">
        <v>140</v>
      </c>
      <c r="B71" t="s">
        <v>73</v>
      </c>
      <c r="C71" t="s">
        <v>74</v>
      </c>
      <c r="E71" t="str">
        <f>"009939921422"</f>
        <v>009939921422</v>
      </c>
      <c r="F71" s="3">
        <v>43914</v>
      </c>
      <c r="G71">
        <v>202009</v>
      </c>
      <c r="H71" t="s">
        <v>181</v>
      </c>
      <c r="I71" t="s">
        <v>182</v>
      </c>
      <c r="J71" t="s">
        <v>183</v>
      </c>
      <c r="K71" t="s">
        <v>78</v>
      </c>
      <c r="L71" t="s">
        <v>122</v>
      </c>
      <c r="M71" t="s">
        <v>123</v>
      </c>
      <c r="N71" t="s">
        <v>388</v>
      </c>
      <c r="O71" t="s">
        <v>81</v>
      </c>
      <c r="P71" t="str">
        <f>"                              "</f>
        <v xml:space="preserve">  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7.54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</v>
      </c>
      <c r="BJ71">
        <v>0.2</v>
      </c>
      <c r="BK71">
        <v>1</v>
      </c>
      <c r="BL71" s="4">
        <v>49.41</v>
      </c>
      <c r="BM71" s="4">
        <v>7.41</v>
      </c>
      <c r="BN71" s="4">
        <v>56.82</v>
      </c>
      <c r="BO71" s="4">
        <v>56.82</v>
      </c>
      <c r="BQ71" t="s">
        <v>389</v>
      </c>
      <c r="BR71" t="s">
        <v>390</v>
      </c>
      <c r="BS71" s="3">
        <v>43915</v>
      </c>
      <c r="BT71" s="5">
        <v>0.3298611111111111</v>
      </c>
      <c r="BU71" t="s">
        <v>391</v>
      </c>
      <c r="BV71" t="s">
        <v>85</v>
      </c>
      <c r="BY71">
        <v>1200</v>
      </c>
      <c r="BZ71" t="s">
        <v>27</v>
      </c>
      <c r="CA71" t="s">
        <v>375</v>
      </c>
      <c r="CC71" t="s">
        <v>123</v>
      </c>
      <c r="CD71">
        <v>2000</v>
      </c>
      <c r="CE71" t="s">
        <v>87</v>
      </c>
      <c r="CF71" s="3">
        <v>43916</v>
      </c>
      <c r="CI71">
        <v>1</v>
      </c>
      <c r="CJ71">
        <v>1</v>
      </c>
      <c r="CK71">
        <v>21</v>
      </c>
      <c r="CL71" t="s">
        <v>88</v>
      </c>
    </row>
    <row r="72" spans="1:90">
      <c r="A72" t="s">
        <v>72</v>
      </c>
      <c r="B72" t="s">
        <v>73</v>
      </c>
      <c r="C72" t="s">
        <v>74</v>
      </c>
      <c r="E72" t="str">
        <f>"019911488715"</f>
        <v>019911488715</v>
      </c>
      <c r="F72" s="3">
        <v>43913</v>
      </c>
      <c r="G72">
        <v>202009</v>
      </c>
      <c r="H72" t="s">
        <v>106</v>
      </c>
      <c r="I72" t="s">
        <v>107</v>
      </c>
      <c r="J72" t="s">
        <v>108</v>
      </c>
      <c r="K72" t="s">
        <v>78</v>
      </c>
      <c r="L72" t="s">
        <v>232</v>
      </c>
      <c r="M72" t="s">
        <v>110</v>
      </c>
      <c r="N72" t="s">
        <v>392</v>
      </c>
      <c r="O72" t="s">
        <v>202</v>
      </c>
      <c r="P72" t="str">
        <f>"NA                            "</f>
        <v xml:space="preserve">NA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15.43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0.8</v>
      </c>
      <c r="BJ72">
        <v>1.5</v>
      </c>
      <c r="BK72">
        <v>2</v>
      </c>
      <c r="BL72" s="4">
        <v>106.14</v>
      </c>
      <c r="BM72" s="4">
        <v>15.92</v>
      </c>
      <c r="BN72" s="4">
        <v>122.06</v>
      </c>
      <c r="BO72" s="4">
        <v>122.06</v>
      </c>
      <c r="BQ72" t="s">
        <v>393</v>
      </c>
      <c r="BR72" t="s">
        <v>113</v>
      </c>
      <c r="BS72" s="3">
        <v>43915</v>
      </c>
      <c r="BT72" s="5">
        <v>0.41666666666666669</v>
      </c>
      <c r="BU72" t="s">
        <v>394</v>
      </c>
      <c r="BV72" t="s">
        <v>85</v>
      </c>
      <c r="BY72">
        <v>7415.24</v>
      </c>
      <c r="CA72" t="s">
        <v>395</v>
      </c>
      <c r="CC72" t="s">
        <v>110</v>
      </c>
      <c r="CD72">
        <v>81</v>
      </c>
      <c r="CE72" t="s">
        <v>87</v>
      </c>
      <c r="CF72" s="3">
        <v>43916</v>
      </c>
      <c r="CI72">
        <v>0</v>
      </c>
      <c r="CJ72">
        <v>0</v>
      </c>
      <c r="CK72" t="s">
        <v>206</v>
      </c>
      <c r="CL72" t="s">
        <v>88</v>
      </c>
    </row>
    <row r="73" spans="1:90">
      <c r="A73" t="s">
        <v>140</v>
      </c>
      <c r="B73" t="s">
        <v>73</v>
      </c>
      <c r="C73" t="s">
        <v>74</v>
      </c>
      <c r="E73" t="str">
        <f>"009939921421"</f>
        <v>009939921421</v>
      </c>
      <c r="F73" s="3">
        <v>43914</v>
      </c>
      <c r="G73">
        <v>202009</v>
      </c>
      <c r="H73" t="s">
        <v>181</v>
      </c>
      <c r="I73" t="s">
        <v>182</v>
      </c>
      <c r="J73" t="s">
        <v>183</v>
      </c>
      <c r="K73" t="s">
        <v>78</v>
      </c>
      <c r="L73" t="s">
        <v>189</v>
      </c>
      <c r="M73" t="s">
        <v>190</v>
      </c>
      <c r="N73" t="s">
        <v>99</v>
      </c>
      <c r="O73" t="s">
        <v>202</v>
      </c>
      <c r="P73" t="str">
        <f>"                              "</f>
        <v xml:space="preserve"> 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15.31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2.5</v>
      </c>
      <c r="BJ73">
        <v>4.8</v>
      </c>
      <c r="BK73">
        <v>5</v>
      </c>
      <c r="BL73" s="4">
        <v>105.35</v>
      </c>
      <c r="BM73" s="4">
        <v>15.8</v>
      </c>
      <c r="BN73" s="4">
        <v>121.15</v>
      </c>
      <c r="BO73" s="4">
        <v>121.15</v>
      </c>
      <c r="BQ73" t="s">
        <v>396</v>
      </c>
      <c r="BR73" t="s">
        <v>397</v>
      </c>
      <c r="BS73" s="3">
        <v>43916</v>
      </c>
      <c r="BT73" s="5">
        <v>0.50347222222222221</v>
      </c>
      <c r="BU73" t="s">
        <v>398</v>
      </c>
      <c r="BV73" t="s">
        <v>85</v>
      </c>
      <c r="BY73">
        <v>13046.12</v>
      </c>
      <c r="CC73" t="s">
        <v>190</v>
      </c>
      <c r="CD73">
        <v>4000</v>
      </c>
      <c r="CE73" t="s">
        <v>87</v>
      </c>
      <c r="CI73">
        <v>2</v>
      </c>
      <c r="CJ73">
        <v>2</v>
      </c>
      <c r="CK73" t="s">
        <v>399</v>
      </c>
      <c r="CL73" t="s">
        <v>88</v>
      </c>
    </row>
    <row r="74" spans="1:90">
      <c r="A74" t="s">
        <v>72</v>
      </c>
      <c r="B74" t="s">
        <v>73</v>
      </c>
      <c r="C74" t="s">
        <v>74</v>
      </c>
      <c r="E74" t="str">
        <f>"009940025567"</f>
        <v>009940025567</v>
      </c>
      <c r="F74" s="3">
        <v>43914</v>
      </c>
      <c r="G74">
        <v>202009</v>
      </c>
      <c r="H74" t="s">
        <v>106</v>
      </c>
      <c r="I74" t="s">
        <v>107</v>
      </c>
      <c r="J74" t="s">
        <v>186</v>
      </c>
      <c r="K74" t="s">
        <v>78</v>
      </c>
      <c r="L74" t="s">
        <v>122</v>
      </c>
      <c r="M74" t="s">
        <v>123</v>
      </c>
      <c r="N74" t="s">
        <v>186</v>
      </c>
      <c r="O74" t="s">
        <v>81</v>
      </c>
      <c r="P74" t="str">
        <f>"COST CENTRE 11252350FS  GL4600"</f>
        <v>COST CENTRE 11252350FS  GL4600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7.54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0.6</v>
      </c>
      <c r="BJ74">
        <v>0.9</v>
      </c>
      <c r="BK74">
        <v>1</v>
      </c>
      <c r="BL74" s="4">
        <v>49.41</v>
      </c>
      <c r="BM74" s="4">
        <v>7.41</v>
      </c>
      <c r="BN74" s="4">
        <v>56.82</v>
      </c>
      <c r="BO74" s="4">
        <v>56.82</v>
      </c>
      <c r="BQ74" t="s">
        <v>187</v>
      </c>
      <c r="BR74" t="s">
        <v>188</v>
      </c>
      <c r="BS74" s="3">
        <v>43915</v>
      </c>
      <c r="BT74" s="5">
        <v>0.3298611111111111</v>
      </c>
      <c r="BU74" t="s">
        <v>400</v>
      </c>
      <c r="BV74" t="s">
        <v>85</v>
      </c>
      <c r="BY74">
        <v>4656.24</v>
      </c>
      <c r="BZ74" t="s">
        <v>27</v>
      </c>
      <c r="CA74" t="s">
        <v>375</v>
      </c>
      <c r="CC74" t="s">
        <v>123</v>
      </c>
      <c r="CD74">
        <v>2021</v>
      </c>
      <c r="CE74" t="s">
        <v>87</v>
      </c>
      <c r="CF74" s="3">
        <v>43916</v>
      </c>
      <c r="CI74">
        <v>1</v>
      </c>
      <c r="CJ74">
        <v>1</v>
      </c>
      <c r="CK74">
        <v>21</v>
      </c>
      <c r="CL74" t="s">
        <v>88</v>
      </c>
    </row>
    <row r="75" spans="1:90">
      <c r="A75" t="s">
        <v>72</v>
      </c>
      <c r="B75" t="s">
        <v>73</v>
      </c>
      <c r="C75" t="s">
        <v>74</v>
      </c>
      <c r="E75" t="str">
        <f>"009940025568"</f>
        <v>009940025568</v>
      </c>
      <c r="F75" s="3">
        <v>43915</v>
      </c>
      <c r="G75">
        <v>202009</v>
      </c>
      <c r="H75" t="s">
        <v>106</v>
      </c>
      <c r="I75" t="s">
        <v>107</v>
      </c>
      <c r="J75" t="s">
        <v>401</v>
      </c>
      <c r="K75" t="s">
        <v>78</v>
      </c>
      <c r="L75" t="s">
        <v>79</v>
      </c>
      <c r="M75" t="s">
        <v>80</v>
      </c>
      <c r="N75" t="s">
        <v>402</v>
      </c>
      <c r="O75" t="s">
        <v>81</v>
      </c>
      <c r="P75" t="str">
        <f>"119324470FM                   "</f>
        <v xml:space="preserve">119324470FM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20.72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3.9</v>
      </c>
      <c r="BJ75">
        <v>5.2</v>
      </c>
      <c r="BK75">
        <v>5.5</v>
      </c>
      <c r="BL75" s="4">
        <v>135.81</v>
      </c>
      <c r="BM75" s="4">
        <v>20.37</v>
      </c>
      <c r="BN75" s="4">
        <v>156.18</v>
      </c>
      <c r="BO75" s="4">
        <v>156.18</v>
      </c>
      <c r="BQ75" t="s">
        <v>403</v>
      </c>
      <c r="BR75" t="s">
        <v>404</v>
      </c>
      <c r="BS75" s="3">
        <v>43916</v>
      </c>
      <c r="BT75" s="5">
        <v>0.33402777777777781</v>
      </c>
      <c r="BU75" t="s">
        <v>405</v>
      </c>
      <c r="BV75" t="s">
        <v>85</v>
      </c>
      <c r="BY75">
        <v>26068</v>
      </c>
      <c r="BZ75" t="s">
        <v>27</v>
      </c>
      <c r="CA75" t="s">
        <v>86</v>
      </c>
      <c r="CC75" t="s">
        <v>80</v>
      </c>
      <c r="CD75">
        <v>1600</v>
      </c>
      <c r="CE75" t="s">
        <v>87</v>
      </c>
      <c r="CF75" s="3">
        <v>43916</v>
      </c>
      <c r="CI75">
        <v>1</v>
      </c>
      <c r="CJ75">
        <v>1</v>
      </c>
      <c r="CK75">
        <v>21</v>
      </c>
      <c r="CL75" t="s">
        <v>88</v>
      </c>
    </row>
    <row r="76" spans="1:90">
      <c r="A76" t="s">
        <v>72</v>
      </c>
      <c r="B76" t="s">
        <v>73</v>
      </c>
      <c r="C76" t="s">
        <v>74</v>
      </c>
      <c r="E76" t="str">
        <f>"009940025571"</f>
        <v>009940025571</v>
      </c>
      <c r="F76" s="3">
        <v>43915</v>
      </c>
      <c r="G76">
        <v>202009</v>
      </c>
      <c r="H76" t="s">
        <v>106</v>
      </c>
      <c r="I76" t="s">
        <v>107</v>
      </c>
      <c r="J76" t="s">
        <v>406</v>
      </c>
      <c r="K76" t="s">
        <v>78</v>
      </c>
      <c r="L76" t="s">
        <v>189</v>
      </c>
      <c r="M76" t="s">
        <v>190</v>
      </c>
      <c r="N76" t="s">
        <v>407</v>
      </c>
      <c r="O76" t="s">
        <v>81</v>
      </c>
      <c r="P76" t="str">
        <f>"11942270FM                    "</f>
        <v xml:space="preserve">11942270FM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22.6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5</v>
      </c>
      <c r="BJ76">
        <v>5.7</v>
      </c>
      <c r="BK76">
        <v>6</v>
      </c>
      <c r="BL76" s="4">
        <v>148.15</v>
      </c>
      <c r="BM76" s="4">
        <v>22.22</v>
      </c>
      <c r="BN76" s="4">
        <v>170.37</v>
      </c>
      <c r="BO76" s="4">
        <v>170.37</v>
      </c>
      <c r="BQ76" t="s">
        <v>408</v>
      </c>
      <c r="BR76" t="s">
        <v>404</v>
      </c>
      <c r="BS76" s="3">
        <v>43916</v>
      </c>
      <c r="BT76" s="5">
        <v>0.37013888888888885</v>
      </c>
      <c r="BU76" t="s">
        <v>409</v>
      </c>
      <c r="BV76" t="s">
        <v>85</v>
      </c>
      <c r="BY76">
        <v>28683.200000000001</v>
      </c>
      <c r="BZ76" t="s">
        <v>27</v>
      </c>
      <c r="CA76" t="s">
        <v>410</v>
      </c>
      <c r="CC76" t="s">
        <v>190</v>
      </c>
      <c r="CD76">
        <v>4051</v>
      </c>
      <c r="CE76" t="s">
        <v>411</v>
      </c>
      <c r="CF76" s="3">
        <v>43916</v>
      </c>
      <c r="CI76">
        <v>1</v>
      </c>
      <c r="CJ76">
        <v>1</v>
      </c>
      <c r="CK76">
        <v>21</v>
      </c>
      <c r="CL76" t="s">
        <v>88</v>
      </c>
    </row>
    <row r="77" spans="1:90">
      <c r="A77" t="s">
        <v>72</v>
      </c>
      <c r="B77" t="s">
        <v>73</v>
      </c>
      <c r="C77" t="s">
        <v>74</v>
      </c>
      <c r="E77" t="str">
        <f>"009940025573"</f>
        <v>009940025573</v>
      </c>
      <c r="F77" s="3">
        <v>43915</v>
      </c>
      <c r="G77">
        <v>202009</v>
      </c>
      <c r="H77" t="s">
        <v>106</v>
      </c>
      <c r="I77" t="s">
        <v>107</v>
      </c>
      <c r="J77" t="s">
        <v>401</v>
      </c>
      <c r="K77" t="s">
        <v>78</v>
      </c>
      <c r="L77" t="s">
        <v>181</v>
      </c>
      <c r="M77" t="s">
        <v>182</v>
      </c>
      <c r="N77" t="s">
        <v>412</v>
      </c>
      <c r="O77" t="s">
        <v>81</v>
      </c>
      <c r="P77" t="str">
        <f>"11902270FM                    "</f>
        <v xml:space="preserve">11902270FM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16.95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2.9</v>
      </c>
      <c r="BJ77">
        <v>4.5</v>
      </c>
      <c r="BK77">
        <v>4.5</v>
      </c>
      <c r="BL77" s="4">
        <v>111.12</v>
      </c>
      <c r="BM77" s="4">
        <v>16.670000000000002</v>
      </c>
      <c r="BN77" s="4">
        <v>127.79</v>
      </c>
      <c r="BO77" s="4">
        <v>127.79</v>
      </c>
      <c r="BQ77" t="s">
        <v>413</v>
      </c>
      <c r="BR77" t="s">
        <v>404</v>
      </c>
      <c r="BS77" s="3">
        <v>43916</v>
      </c>
      <c r="BT77" s="5">
        <v>0.41666666666666669</v>
      </c>
      <c r="BU77" t="s">
        <v>414</v>
      </c>
      <c r="BV77" t="s">
        <v>85</v>
      </c>
      <c r="BY77">
        <v>22496.04</v>
      </c>
      <c r="BZ77" t="s">
        <v>27</v>
      </c>
      <c r="CA77" t="s">
        <v>415</v>
      </c>
      <c r="CC77" t="s">
        <v>182</v>
      </c>
      <c r="CD77">
        <v>9300</v>
      </c>
      <c r="CE77" t="s">
        <v>411</v>
      </c>
      <c r="CF77" s="3">
        <v>43916</v>
      </c>
      <c r="CI77">
        <v>1</v>
      </c>
      <c r="CJ77">
        <v>1</v>
      </c>
      <c r="CK77">
        <v>21</v>
      </c>
      <c r="CL77" t="s">
        <v>88</v>
      </c>
    </row>
    <row r="78" spans="1:90">
      <c r="A78" t="s">
        <v>72</v>
      </c>
      <c r="B78" t="s">
        <v>73</v>
      </c>
      <c r="C78" t="s">
        <v>74</v>
      </c>
      <c r="E78" t="str">
        <f>"009940025569"</f>
        <v>009940025569</v>
      </c>
      <c r="F78" s="3">
        <v>43915</v>
      </c>
      <c r="G78">
        <v>202009</v>
      </c>
      <c r="H78" t="s">
        <v>106</v>
      </c>
      <c r="I78" t="s">
        <v>107</v>
      </c>
      <c r="J78" t="s">
        <v>401</v>
      </c>
      <c r="K78" t="s">
        <v>78</v>
      </c>
      <c r="L78" t="s">
        <v>79</v>
      </c>
      <c r="M78" t="s">
        <v>80</v>
      </c>
      <c r="N78" t="s">
        <v>416</v>
      </c>
      <c r="O78" t="s">
        <v>81</v>
      </c>
      <c r="P78" t="str">
        <f>"11982270FM                    "</f>
        <v xml:space="preserve">11982270FM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18.829999999999998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3.4</v>
      </c>
      <c r="BJ78">
        <v>4.5999999999999996</v>
      </c>
      <c r="BK78">
        <v>5</v>
      </c>
      <c r="BL78" s="4">
        <v>123.46</v>
      </c>
      <c r="BM78" s="4">
        <v>18.52</v>
      </c>
      <c r="BN78" s="4">
        <v>141.97999999999999</v>
      </c>
      <c r="BO78" s="4">
        <v>141.97999999999999</v>
      </c>
      <c r="BQ78" t="s">
        <v>417</v>
      </c>
      <c r="BR78" t="s">
        <v>404</v>
      </c>
      <c r="BS78" s="3">
        <v>43916</v>
      </c>
      <c r="BT78" s="5">
        <v>0.33402777777777781</v>
      </c>
      <c r="BU78" t="s">
        <v>405</v>
      </c>
      <c r="BV78" t="s">
        <v>85</v>
      </c>
      <c r="BY78">
        <v>22908</v>
      </c>
      <c r="BZ78" t="s">
        <v>27</v>
      </c>
      <c r="CA78" t="s">
        <v>86</v>
      </c>
      <c r="CC78" t="s">
        <v>80</v>
      </c>
      <c r="CD78">
        <v>1600</v>
      </c>
      <c r="CE78" t="s">
        <v>411</v>
      </c>
      <c r="CF78" s="3">
        <v>43916</v>
      </c>
      <c r="CI78">
        <v>1</v>
      </c>
      <c r="CJ78">
        <v>1</v>
      </c>
      <c r="CK78">
        <v>21</v>
      </c>
      <c r="CL78" t="s">
        <v>88</v>
      </c>
    </row>
    <row r="79" spans="1:90">
      <c r="A79" t="s">
        <v>72</v>
      </c>
      <c r="B79" t="s">
        <v>73</v>
      </c>
      <c r="C79" t="s">
        <v>74</v>
      </c>
      <c r="E79" t="str">
        <f>"009940025572"</f>
        <v>009940025572</v>
      </c>
      <c r="F79" s="3">
        <v>43915</v>
      </c>
      <c r="G79">
        <v>202009</v>
      </c>
      <c r="H79" t="s">
        <v>106</v>
      </c>
      <c r="I79" t="s">
        <v>107</v>
      </c>
      <c r="J79" t="s">
        <v>401</v>
      </c>
      <c r="K79" t="s">
        <v>78</v>
      </c>
      <c r="L79" t="s">
        <v>109</v>
      </c>
      <c r="M79" t="s">
        <v>110</v>
      </c>
      <c r="N79" t="s">
        <v>231</v>
      </c>
      <c r="O79" t="s">
        <v>81</v>
      </c>
      <c r="P79" t="str">
        <f>"11952270FM                    "</f>
        <v xml:space="preserve">11952270FM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20.72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4.2</v>
      </c>
      <c r="BJ79">
        <v>5.2</v>
      </c>
      <c r="BK79">
        <v>5.5</v>
      </c>
      <c r="BL79" s="4">
        <v>135.81</v>
      </c>
      <c r="BM79" s="4">
        <v>20.37</v>
      </c>
      <c r="BN79" s="4">
        <v>156.18</v>
      </c>
      <c r="BO79" s="4">
        <v>156.18</v>
      </c>
      <c r="BQ79" t="s">
        <v>418</v>
      </c>
      <c r="BR79" t="s">
        <v>404</v>
      </c>
      <c r="BS79" s="3">
        <v>43916</v>
      </c>
      <c r="BT79" s="5">
        <v>0.375</v>
      </c>
      <c r="BU79" t="s">
        <v>349</v>
      </c>
      <c r="BV79" t="s">
        <v>85</v>
      </c>
      <c r="BY79">
        <v>25884.400000000001</v>
      </c>
      <c r="BZ79" t="s">
        <v>27</v>
      </c>
      <c r="CC79" t="s">
        <v>110</v>
      </c>
      <c r="CD79">
        <v>200</v>
      </c>
      <c r="CE79" t="s">
        <v>411</v>
      </c>
      <c r="CF79" s="3">
        <v>43917</v>
      </c>
      <c r="CI79">
        <v>1</v>
      </c>
      <c r="CJ79">
        <v>1</v>
      </c>
      <c r="CK79">
        <v>21</v>
      </c>
      <c r="CL79" t="s">
        <v>88</v>
      </c>
    </row>
    <row r="80" spans="1:90">
      <c r="A80" t="s">
        <v>72</v>
      </c>
      <c r="B80" t="s">
        <v>73</v>
      </c>
      <c r="C80" t="s">
        <v>74</v>
      </c>
      <c r="E80" t="str">
        <f>"009940025570"</f>
        <v>009940025570</v>
      </c>
      <c r="F80" s="3">
        <v>43915</v>
      </c>
      <c r="G80">
        <v>202009</v>
      </c>
      <c r="H80" t="s">
        <v>106</v>
      </c>
      <c r="I80" t="s">
        <v>107</v>
      </c>
      <c r="J80" t="s">
        <v>401</v>
      </c>
      <c r="K80" t="s">
        <v>78</v>
      </c>
      <c r="L80" t="s">
        <v>92</v>
      </c>
      <c r="M80" t="s">
        <v>93</v>
      </c>
      <c r="N80" t="s">
        <v>419</v>
      </c>
      <c r="O80" t="s">
        <v>81</v>
      </c>
      <c r="P80" t="str">
        <f>"11912270FM                    "</f>
        <v xml:space="preserve">11912270FM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18.829999999999998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3.2</v>
      </c>
      <c r="BJ80">
        <v>4.5999999999999996</v>
      </c>
      <c r="BK80">
        <v>5</v>
      </c>
      <c r="BL80" s="4">
        <v>123.46</v>
      </c>
      <c r="BM80" s="4">
        <v>18.52</v>
      </c>
      <c r="BN80" s="4">
        <v>141.97999999999999</v>
      </c>
      <c r="BO80" s="4">
        <v>141.97999999999999</v>
      </c>
      <c r="BQ80" t="s">
        <v>420</v>
      </c>
      <c r="BR80" t="s">
        <v>404</v>
      </c>
      <c r="BS80" s="3">
        <v>43916</v>
      </c>
      <c r="BT80" s="5">
        <v>0.54305555555555551</v>
      </c>
      <c r="BU80" t="s">
        <v>195</v>
      </c>
      <c r="BV80" t="s">
        <v>88</v>
      </c>
      <c r="BW80" t="s">
        <v>138</v>
      </c>
      <c r="BX80" t="s">
        <v>421</v>
      </c>
      <c r="BY80">
        <v>22782.06</v>
      </c>
      <c r="BZ80" t="s">
        <v>27</v>
      </c>
      <c r="CA80" t="s">
        <v>98</v>
      </c>
      <c r="CC80" t="s">
        <v>93</v>
      </c>
      <c r="CD80">
        <v>6045</v>
      </c>
      <c r="CE80" t="s">
        <v>411</v>
      </c>
      <c r="CF80" s="3">
        <v>43916</v>
      </c>
      <c r="CI80">
        <v>1</v>
      </c>
      <c r="CJ80">
        <v>1</v>
      </c>
      <c r="CK80">
        <v>21</v>
      </c>
      <c r="CL80" t="s">
        <v>88</v>
      </c>
    </row>
    <row r="81" spans="1:90">
      <c r="A81" t="s">
        <v>72</v>
      </c>
      <c r="B81" t="s">
        <v>73</v>
      </c>
      <c r="C81" t="s">
        <v>74</v>
      </c>
      <c r="E81" t="str">
        <f>"009939638518"</f>
        <v>009939638518</v>
      </c>
      <c r="F81" s="3">
        <v>43915</v>
      </c>
      <c r="G81">
        <v>202009</v>
      </c>
      <c r="H81" t="s">
        <v>92</v>
      </c>
      <c r="I81" t="s">
        <v>93</v>
      </c>
      <c r="J81" t="s">
        <v>99</v>
      </c>
      <c r="K81" t="s">
        <v>78</v>
      </c>
      <c r="L81" t="s">
        <v>122</v>
      </c>
      <c r="M81" t="s">
        <v>123</v>
      </c>
      <c r="N81" t="s">
        <v>94</v>
      </c>
      <c r="O81" t="s">
        <v>81</v>
      </c>
      <c r="P81" t="str">
        <f>"11912270 FM                   "</f>
        <v xml:space="preserve">11912270 FM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7.54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0.5</v>
      </c>
      <c r="BK81">
        <v>1</v>
      </c>
      <c r="BL81" s="4">
        <v>49.41</v>
      </c>
      <c r="BM81" s="4">
        <v>7.41</v>
      </c>
      <c r="BN81" s="4">
        <v>56.82</v>
      </c>
      <c r="BO81" s="4">
        <v>56.82</v>
      </c>
      <c r="BQ81" t="s">
        <v>422</v>
      </c>
      <c r="BR81" t="s">
        <v>95</v>
      </c>
      <c r="BS81" s="3">
        <v>43916</v>
      </c>
      <c r="BT81" s="5">
        <v>0.32916666666666666</v>
      </c>
      <c r="BU81" t="s">
        <v>423</v>
      </c>
      <c r="BV81" t="s">
        <v>85</v>
      </c>
      <c r="BY81">
        <v>2400</v>
      </c>
      <c r="BZ81" t="s">
        <v>27</v>
      </c>
      <c r="CC81" t="s">
        <v>123</v>
      </c>
      <c r="CD81">
        <v>2021</v>
      </c>
      <c r="CE81" t="s">
        <v>87</v>
      </c>
      <c r="CF81" s="3">
        <v>43917</v>
      </c>
      <c r="CI81">
        <v>1</v>
      </c>
      <c r="CJ81">
        <v>1</v>
      </c>
      <c r="CK81">
        <v>21</v>
      </c>
      <c r="CL81" t="s">
        <v>88</v>
      </c>
    </row>
    <row r="82" spans="1:90">
      <c r="A82" t="s">
        <v>72</v>
      </c>
      <c r="B82" t="s">
        <v>73</v>
      </c>
      <c r="C82" t="s">
        <v>74</v>
      </c>
      <c r="E82" t="str">
        <f>"019911488717"</f>
        <v>019911488717</v>
      </c>
      <c r="F82" s="3">
        <v>43915</v>
      </c>
      <c r="G82">
        <v>202009</v>
      </c>
      <c r="H82" t="s">
        <v>106</v>
      </c>
      <c r="I82" t="s">
        <v>107</v>
      </c>
      <c r="J82" t="s">
        <v>108</v>
      </c>
      <c r="K82" t="s">
        <v>78</v>
      </c>
      <c r="L82" t="s">
        <v>106</v>
      </c>
      <c r="M82" t="s">
        <v>107</v>
      </c>
      <c r="N82" t="s">
        <v>424</v>
      </c>
      <c r="O82" t="s">
        <v>81</v>
      </c>
      <c r="P82" t="str">
        <f>"NA                            "</f>
        <v xml:space="preserve">NA 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6.59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2.1</v>
      </c>
      <c r="BJ82">
        <v>2.5</v>
      </c>
      <c r="BK82">
        <v>2.5</v>
      </c>
      <c r="BL82" s="4">
        <v>43.22</v>
      </c>
      <c r="BM82" s="4">
        <v>6.48</v>
      </c>
      <c r="BN82" s="4">
        <v>49.7</v>
      </c>
      <c r="BO82" s="4">
        <v>49.7</v>
      </c>
      <c r="BR82" t="s">
        <v>113</v>
      </c>
      <c r="BS82" s="3">
        <v>43920</v>
      </c>
      <c r="BT82" s="5">
        <v>0.33333333333333331</v>
      </c>
      <c r="BU82" t="s">
        <v>425</v>
      </c>
      <c r="BV82" t="s">
        <v>88</v>
      </c>
      <c r="BW82" t="s">
        <v>426</v>
      </c>
      <c r="BX82" t="s">
        <v>290</v>
      </c>
      <c r="BY82">
        <v>12319.32</v>
      </c>
      <c r="BZ82" t="s">
        <v>27</v>
      </c>
      <c r="CA82" t="s">
        <v>427</v>
      </c>
      <c r="CC82" t="s">
        <v>107</v>
      </c>
      <c r="CD82">
        <v>8005</v>
      </c>
      <c r="CE82" t="s">
        <v>87</v>
      </c>
      <c r="CF82" s="3">
        <v>43920</v>
      </c>
      <c r="CI82">
        <v>1</v>
      </c>
      <c r="CJ82">
        <v>3</v>
      </c>
      <c r="CK82">
        <v>22</v>
      </c>
      <c r="CL82" t="s">
        <v>88</v>
      </c>
    </row>
    <row r="83" spans="1:90">
      <c r="A83" t="s">
        <v>72</v>
      </c>
      <c r="B83" t="s">
        <v>73</v>
      </c>
      <c r="C83" t="s">
        <v>74</v>
      </c>
      <c r="E83" t="str">
        <f>"019911488718"</f>
        <v>019911488718</v>
      </c>
      <c r="F83" s="3">
        <v>43915</v>
      </c>
      <c r="G83">
        <v>202009</v>
      </c>
      <c r="H83" t="s">
        <v>106</v>
      </c>
      <c r="I83" t="s">
        <v>107</v>
      </c>
      <c r="J83" t="s">
        <v>108</v>
      </c>
      <c r="K83" t="s">
        <v>78</v>
      </c>
      <c r="L83" t="s">
        <v>189</v>
      </c>
      <c r="M83" t="s">
        <v>190</v>
      </c>
      <c r="N83" t="s">
        <v>428</v>
      </c>
      <c r="O83" t="s">
        <v>81</v>
      </c>
      <c r="P83" t="str">
        <f>"NA                            "</f>
        <v xml:space="preserve">NA 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7.54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1.3</v>
      </c>
      <c r="BJ83">
        <v>1.6</v>
      </c>
      <c r="BK83">
        <v>2</v>
      </c>
      <c r="BL83" s="4">
        <v>49.41</v>
      </c>
      <c r="BM83" s="4">
        <v>7.41</v>
      </c>
      <c r="BN83" s="4">
        <v>56.82</v>
      </c>
      <c r="BO83" s="4">
        <v>56.82</v>
      </c>
      <c r="BQ83" t="s">
        <v>429</v>
      </c>
      <c r="BR83" t="s">
        <v>113</v>
      </c>
      <c r="BS83" s="3">
        <v>43916</v>
      </c>
      <c r="BT83" s="5">
        <v>0.41666666666666669</v>
      </c>
      <c r="BU83" t="s">
        <v>430</v>
      </c>
      <c r="BV83" t="s">
        <v>85</v>
      </c>
      <c r="BY83">
        <v>8094.24</v>
      </c>
      <c r="BZ83" t="s">
        <v>27</v>
      </c>
      <c r="CC83" t="s">
        <v>190</v>
      </c>
      <c r="CD83">
        <v>4068</v>
      </c>
      <c r="CE83" t="s">
        <v>87</v>
      </c>
      <c r="CI83">
        <v>1</v>
      </c>
      <c r="CJ83">
        <v>1</v>
      </c>
      <c r="CK83">
        <v>21</v>
      </c>
      <c r="CL83" t="s">
        <v>88</v>
      </c>
    </row>
    <row r="84" spans="1:90">
      <c r="A84" t="s">
        <v>72</v>
      </c>
      <c r="B84" t="s">
        <v>73</v>
      </c>
      <c r="C84" t="s">
        <v>74</v>
      </c>
      <c r="E84" t="str">
        <f>"019911488719"</f>
        <v>019911488719</v>
      </c>
      <c r="F84" s="3">
        <v>43915</v>
      </c>
      <c r="G84">
        <v>202009</v>
      </c>
      <c r="H84" t="s">
        <v>106</v>
      </c>
      <c r="I84" t="s">
        <v>107</v>
      </c>
      <c r="J84" t="s">
        <v>108</v>
      </c>
      <c r="K84" t="s">
        <v>78</v>
      </c>
      <c r="L84" t="s">
        <v>122</v>
      </c>
      <c r="M84" t="s">
        <v>123</v>
      </c>
      <c r="N84" t="s">
        <v>431</v>
      </c>
      <c r="O84" t="s">
        <v>81</v>
      </c>
      <c r="P84" t="str">
        <f>"NA                            "</f>
        <v xml:space="preserve">NA 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7.54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0.1</v>
      </c>
      <c r="BJ84">
        <v>0.1</v>
      </c>
      <c r="BK84">
        <v>0.5</v>
      </c>
      <c r="BL84" s="4">
        <v>49.41</v>
      </c>
      <c r="BM84" s="4">
        <v>7.41</v>
      </c>
      <c r="BN84" s="4">
        <v>56.82</v>
      </c>
      <c r="BO84" s="4">
        <v>56.82</v>
      </c>
      <c r="BR84" t="s">
        <v>113</v>
      </c>
      <c r="BS84" t="s">
        <v>360</v>
      </c>
      <c r="BY84">
        <v>568.89</v>
      </c>
      <c r="BZ84" t="s">
        <v>27</v>
      </c>
      <c r="CC84" t="s">
        <v>123</v>
      </c>
      <c r="CD84">
        <v>2193</v>
      </c>
      <c r="CE84" t="s">
        <v>87</v>
      </c>
      <c r="CI84">
        <v>1</v>
      </c>
      <c r="CJ84" t="s">
        <v>360</v>
      </c>
      <c r="CK84">
        <v>21</v>
      </c>
      <c r="CL84" t="s">
        <v>88</v>
      </c>
    </row>
    <row r="85" spans="1:90">
      <c r="A85" t="s">
        <v>72</v>
      </c>
      <c r="B85" t="s">
        <v>73</v>
      </c>
      <c r="C85" t="s">
        <v>74</v>
      </c>
      <c r="E85" t="str">
        <f>"009939209589"</f>
        <v>009939209589</v>
      </c>
      <c r="F85" s="3">
        <v>43915</v>
      </c>
      <c r="G85">
        <v>202009</v>
      </c>
      <c r="H85" t="s">
        <v>122</v>
      </c>
      <c r="I85" t="s">
        <v>123</v>
      </c>
      <c r="J85" t="s">
        <v>148</v>
      </c>
      <c r="K85" t="s">
        <v>78</v>
      </c>
      <c r="L85" t="s">
        <v>145</v>
      </c>
      <c r="M85" t="s">
        <v>146</v>
      </c>
      <c r="N85" t="s">
        <v>147</v>
      </c>
      <c r="O85" t="s">
        <v>81</v>
      </c>
      <c r="P85" t="str">
        <f>"11004530FN 460040             "</f>
        <v xml:space="preserve">11004530FN 460040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9.42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2.2999999999999998</v>
      </c>
      <c r="BJ85">
        <v>1.9</v>
      </c>
      <c r="BK85">
        <v>2.5</v>
      </c>
      <c r="BL85" s="4">
        <v>61.75</v>
      </c>
      <c r="BM85" s="4">
        <v>9.26</v>
      </c>
      <c r="BN85" s="4">
        <v>71.010000000000005</v>
      </c>
      <c r="BO85" s="4">
        <v>71.010000000000005</v>
      </c>
      <c r="BQ85" t="s">
        <v>432</v>
      </c>
      <c r="BR85" t="s">
        <v>149</v>
      </c>
      <c r="BS85" s="3">
        <v>43916</v>
      </c>
      <c r="BT85" s="5">
        <v>0.43402777777777773</v>
      </c>
      <c r="BU85" t="s">
        <v>155</v>
      </c>
      <c r="BV85" t="s">
        <v>85</v>
      </c>
      <c r="BY85">
        <v>9508.5</v>
      </c>
      <c r="BZ85" t="s">
        <v>27</v>
      </c>
      <c r="CA85" t="s">
        <v>156</v>
      </c>
      <c r="CC85" t="s">
        <v>146</v>
      </c>
      <c r="CD85">
        <v>3201</v>
      </c>
      <c r="CE85" t="s">
        <v>87</v>
      </c>
      <c r="CF85" s="3">
        <v>43916</v>
      </c>
      <c r="CI85">
        <v>1</v>
      </c>
      <c r="CJ85">
        <v>1</v>
      </c>
      <c r="CK85">
        <v>21</v>
      </c>
      <c r="CL85" t="s">
        <v>88</v>
      </c>
    </row>
    <row r="86" spans="1:90">
      <c r="A86" t="s">
        <v>72</v>
      </c>
      <c r="B86" t="s">
        <v>73</v>
      </c>
      <c r="C86" t="s">
        <v>74</v>
      </c>
      <c r="E86" t="str">
        <f>"019911488776"</f>
        <v>019911488776</v>
      </c>
      <c r="F86" s="3">
        <v>43915</v>
      </c>
      <c r="G86">
        <v>202009</v>
      </c>
      <c r="H86" t="s">
        <v>106</v>
      </c>
      <c r="I86" t="s">
        <v>107</v>
      </c>
      <c r="J86" t="s">
        <v>108</v>
      </c>
      <c r="K86" t="s">
        <v>78</v>
      </c>
      <c r="L86" t="s">
        <v>92</v>
      </c>
      <c r="M86" t="s">
        <v>93</v>
      </c>
      <c r="N86" t="s">
        <v>433</v>
      </c>
      <c r="O86" t="s">
        <v>202</v>
      </c>
      <c r="P86" t="str">
        <f>"NA                            "</f>
        <v xml:space="preserve">NA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66.099999999999994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4</v>
      </c>
      <c r="BI86">
        <v>91.2</v>
      </c>
      <c r="BJ86">
        <v>97.8</v>
      </c>
      <c r="BK86">
        <v>98</v>
      </c>
      <c r="BL86" s="4">
        <v>438.34</v>
      </c>
      <c r="BM86" s="4">
        <v>65.75</v>
      </c>
      <c r="BN86" s="4">
        <v>504.09</v>
      </c>
      <c r="BO86" s="4">
        <v>504.09</v>
      </c>
      <c r="BQ86" t="s">
        <v>434</v>
      </c>
      <c r="BR86" t="s">
        <v>113</v>
      </c>
      <c r="BS86" s="3">
        <v>43917</v>
      </c>
      <c r="BT86" s="5">
        <v>0.42708333333333331</v>
      </c>
      <c r="BU86" t="s">
        <v>435</v>
      </c>
      <c r="BV86" t="s">
        <v>85</v>
      </c>
      <c r="BY86">
        <v>488765.04</v>
      </c>
      <c r="CA86" t="s">
        <v>131</v>
      </c>
      <c r="CC86" t="s">
        <v>93</v>
      </c>
      <c r="CD86">
        <v>6020</v>
      </c>
      <c r="CE86" t="s">
        <v>87</v>
      </c>
      <c r="CF86" s="3">
        <v>43917</v>
      </c>
      <c r="CI86">
        <v>2</v>
      </c>
      <c r="CJ86">
        <v>2</v>
      </c>
      <c r="CK86" t="s">
        <v>436</v>
      </c>
      <c r="CL86" t="s">
        <v>88</v>
      </c>
    </row>
    <row r="87" spans="1:90">
      <c r="A87" t="s">
        <v>72</v>
      </c>
      <c r="B87" t="s">
        <v>73</v>
      </c>
      <c r="C87" t="s">
        <v>74</v>
      </c>
      <c r="E87" t="str">
        <f>"019911488775"</f>
        <v>019911488775</v>
      </c>
      <c r="F87" s="3">
        <v>43915</v>
      </c>
      <c r="G87">
        <v>202009</v>
      </c>
      <c r="H87" t="s">
        <v>106</v>
      </c>
      <c r="I87" t="s">
        <v>107</v>
      </c>
      <c r="J87" t="s">
        <v>108</v>
      </c>
      <c r="K87" t="s">
        <v>78</v>
      </c>
      <c r="L87" t="s">
        <v>174</v>
      </c>
      <c r="M87" t="s">
        <v>175</v>
      </c>
      <c r="N87" t="s">
        <v>437</v>
      </c>
      <c r="O87" t="s">
        <v>202</v>
      </c>
      <c r="P87" t="str">
        <f>"NA                            "</f>
        <v xml:space="preserve">NA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28.16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2</v>
      </c>
      <c r="BI87">
        <v>35.1</v>
      </c>
      <c r="BJ87">
        <v>35.1</v>
      </c>
      <c r="BK87">
        <v>36</v>
      </c>
      <c r="BL87" s="4">
        <v>189.6</v>
      </c>
      <c r="BM87" s="4">
        <v>28.44</v>
      </c>
      <c r="BN87" s="4">
        <v>218.04</v>
      </c>
      <c r="BO87" s="4">
        <v>218.04</v>
      </c>
      <c r="BQ87" t="s">
        <v>438</v>
      </c>
      <c r="BR87" t="s">
        <v>113</v>
      </c>
      <c r="BS87" s="3">
        <v>43920</v>
      </c>
      <c r="BT87" s="5">
        <v>0.40902777777777777</v>
      </c>
      <c r="BU87" t="s">
        <v>439</v>
      </c>
      <c r="BV87" t="s">
        <v>88</v>
      </c>
      <c r="BW87" t="s">
        <v>440</v>
      </c>
      <c r="BX87" t="s">
        <v>441</v>
      </c>
      <c r="BY87">
        <v>175339.83</v>
      </c>
      <c r="CA87" t="s">
        <v>442</v>
      </c>
      <c r="CC87" t="s">
        <v>175</v>
      </c>
      <c r="CD87">
        <v>5213</v>
      </c>
      <c r="CE87" t="s">
        <v>87</v>
      </c>
      <c r="CF87" s="3">
        <v>43920</v>
      </c>
      <c r="CI87">
        <v>2</v>
      </c>
      <c r="CJ87">
        <v>3</v>
      </c>
      <c r="CK87" t="s">
        <v>436</v>
      </c>
      <c r="CL87" t="s">
        <v>88</v>
      </c>
    </row>
    <row r="88" spans="1:90">
      <c r="A88" t="s">
        <v>72</v>
      </c>
      <c r="B88" t="s">
        <v>73</v>
      </c>
      <c r="C88" t="s">
        <v>74</v>
      </c>
      <c r="E88" t="str">
        <f>"080002567185"</f>
        <v>080002567185</v>
      </c>
      <c r="F88" s="3">
        <v>43915</v>
      </c>
      <c r="G88">
        <v>202009</v>
      </c>
      <c r="H88" t="s">
        <v>443</v>
      </c>
      <c r="I88" t="s">
        <v>444</v>
      </c>
      <c r="J88" t="s">
        <v>445</v>
      </c>
      <c r="K88" t="s">
        <v>78</v>
      </c>
      <c r="L88" t="s">
        <v>211</v>
      </c>
      <c r="M88" t="s">
        <v>107</v>
      </c>
      <c r="N88" t="s">
        <v>168</v>
      </c>
      <c r="O88" t="s">
        <v>202</v>
      </c>
      <c r="P88" t="str">
        <f>"                              "</f>
        <v xml:space="preserve">  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15.43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2.7</v>
      </c>
      <c r="BJ88">
        <v>3.8</v>
      </c>
      <c r="BK88">
        <v>4</v>
      </c>
      <c r="BL88" s="4">
        <v>106.14</v>
      </c>
      <c r="BM88" s="4">
        <v>15.92</v>
      </c>
      <c r="BN88" s="4">
        <v>122.06</v>
      </c>
      <c r="BO88" s="4">
        <v>122.06</v>
      </c>
      <c r="BQ88" t="s">
        <v>169</v>
      </c>
      <c r="BR88" t="s">
        <v>446</v>
      </c>
      <c r="BS88" s="3">
        <v>43917</v>
      </c>
      <c r="BT88" s="5">
        <v>0.41666666666666669</v>
      </c>
      <c r="BU88" t="s">
        <v>447</v>
      </c>
      <c r="BV88" t="s">
        <v>85</v>
      </c>
      <c r="BY88">
        <v>18811.3</v>
      </c>
      <c r="CC88" t="s">
        <v>107</v>
      </c>
      <c r="CD88">
        <v>7800</v>
      </c>
      <c r="CE88" t="s">
        <v>216</v>
      </c>
      <c r="CF88" s="3">
        <v>43920</v>
      </c>
      <c r="CI88">
        <v>2</v>
      </c>
      <c r="CJ88">
        <v>2</v>
      </c>
      <c r="CK88" t="s">
        <v>206</v>
      </c>
      <c r="CL88" t="s">
        <v>88</v>
      </c>
    </row>
    <row r="89" spans="1:90">
      <c r="A89" t="s">
        <v>72</v>
      </c>
      <c r="B89" t="s">
        <v>73</v>
      </c>
      <c r="C89" t="s">
        <v>74</v>
      </c>
      <c r="E89" t="str">
        <f>"009939780623"</f>
        <v>009939780623</v>
      </c>
      <c r="F89" s="3">
        <v>43915</v>
      </c>
      <c r="G89">
        <v>202009</v>
      </c>
      <c r="H89" t="s">
        <v>117</v>
      </c>
      <c r="I89" t="s">
        <v>118</v>
      </c>
      <c r="J89" t="s">
        <v>280</v>
      </c>
      <c r="K89" t="s">
        <v>78</v>
      </c>
      <c r="L89" t="s">
        <v>211</v>
      </c>
      <c r="M89" t="s">
        <v>107</v>
      </c>
      <c r="N89" t="s">
        <v>448</v>
      </c>
      <c r="O89" t="s">
        <v>202</v>
      </c>
      <c r="P89" t="str">
        <f>"NA                            "</f>
        <v xml:space="preserve">NA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237.39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34</v>
      </c>
      <c r="BI89">
        <v>350.3</v>
      </c>
      <c r="BJ89">
        <v>241.2</v>
      </c>
      <c r="BK89">
        <v>351</v>
      </c>
      <c r="BL89" s="4">
        <v>1561.22</v>
      </c>
      <c r="BM89" s="4">
        <v>234.18</v>
      </c>
      <c r="BN89" s="4">
        <v>1795.4</v>
      </c>
      <c r="BO89" s="4">
        <v>1795.4</v>
      </c>
      <c r="BQ89" t="s">
        <v>449</v>
      </c>
      <c r="BR89" t="s">
        <v>283</v>
      </c>
      <c r="BS89" s="3">
        <v>43920</v>
      </c>
      <c r="BT89" s="5">
        <v>0.41666666666666669</v>
      </c>
      <c r="BU89" t="s">
        <v>447</v>
      </c>
      <c r="BV89" t="s">
        <v>88</v>
      </c>
      <c r="BW89" t="s">
        <v>450</v>
      </c>
      <c r="BX89" t="s">
        <v>290</v>
      </c>
      <c r="BY89">
        <v>1206123.21</v>
      </c>
      <c r="CA89" t="s">
        <v>451</v>
      </c>
      <c r="CC89" t="s">
        <v>107</v>
      </c>
      <c r="CD89">
        <v>7800</v>
      </c>
      <c r="CE89" t="s">
        <v>87</v>
      </c>
      <c r="CF89" s="3">
        <v>43920</v>
      </c>
      <c r="CI89">
        <v>2</v>
      </c>
      <c r="CJ89">
        <v>3</v>
      </c>
      <c r="CK89" t="s">
        <v>206</v>
      </c>
      <c r="CL89" t="s">
        <v>88</v>
      </c>
    </row>
    <row r="90" spans="1:90">
      <c r="A90" t="s">
        <v>140</v>
      </c>
      <c r="B90" t="s">
        <v>73</v>
      </c>
      <c r="C90" t="s">
        <v>74</v>
      </c>
      <c r="E90" t="str">
        <f>"039902791469"</f>
        <v>039902791469</v>
      </c>
      <c r="F90" s="3">
        <v>43916</v>
      </c>
      <c r="G90">
        <v>202009</v>
      </c>
      <c r="H90" t="s">
        <v>157</v>
      </c>
      <c r="I90" t="s">
        <v>158</v>
      </c>
      <c r="J90" t="s">
        <v>99</v>
      </c>
      <c r="K90" t="s">
        <v>78</v>
      </c>
      <c r="L90" t="s">
        <v>92</v>
      </c>
      <c r="M90" t="s">
        <v>93</v>
      </c>
      <c r="N90" t="s">
        <v>99</v>
      </c>
      <c r="O90" t="s">
        <v>81</v>
      </c>
      <c r="P90" t="str">
        <f>"                              "</f>
        <v xml:space="preserve">  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14.6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</v>
      </c>
      <c r="BJ90">
        <v>0.3</v>
      </c>
      <c r="BK90">
        <v>1</v>
      </c>
      <c r="BL90" s="4">
        <v>95.72</v>
      </c>
      <c r="BM90" s="4">
        <v>14.36</v>
      </c>
      <c r="BN90" s="4">
        <v>110.08</v>
      </c>
      <c r="BO90" s="4">
        <v>110.08</v>
      </c>
      <c r="BQ90" t="s">
        <v>452</v>
      </c>
      <c r="BR90" t="s">
        <v>453</v>
      </c>
      <c r="BS90" t="s">
        <v>360</v>
      </c>
      <c r="BY90">
        <v>1739</v>
      </c>
      <c r="BZ90" t="s">
        <v>27</v>
      </c>
      <c r="CC90" t="s">
        <v>93</v>
      </c>
      <c r="CD90">
        <v>6000</v>
      </c>
      <c r="CE90" t="s">
        <v>87</v>
      </c>
      <c r="CI90">
        <v>1</v>
      </c>
      <c r="CJ90" t="s">
        <v>360</v>
      </c>
      <c r="CK90">
        <v>23</v>
      </c>
      <c r="CL90" t="s">
        <v>88</v>
      </c>
    </row>
    <row r="91" spans="1:90">
      <c r="A91" t="s">
        <v>72</v>
      </c>
      <c r="B91" t="s">
        <v>73</v>
      </c>
      <c r="C91" t="s">
        <v>74</v>
      </c>
      <c r="E91" t="str">
        <f>"019911488759"</f>
        <v>019911488759</v>
      </c>
      <c r="F91" s="3">
        <v>43916</v>
      </c>
      <c r="G91">
        <v>202009</v>
      </c>
      <c r="H91" t="s">
        <v>106</v>
      </c>
      <c r="I91" t="s">
        <v>107</v>
      </c>
      <c r="J91" t="s">
        <v>108</v>
      </c>
      <c r="K91" t="s">
        <v>78</v>
      </c>
      <c r="L91" t="s">
        <v>109</v>
      </c>
      <c r="M91" t="s">
        <v>110</v>
      </c>
      <c r="N91" t="s">
        <v>454</v>
      </c>
      <c r="O91" t="s">
        <v>81</v>
      </c>
      <c r="P91" t="str">
        <f>"HOSPITAL SCRUBS-ESSENTIAL SERV"</f>
        <v>HOSPITAL SCRUBS-ESSENTIAL SERV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7.54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1</v>
      </c>
      <c r="BJ91">
        <v>0.2</v>
      </c>
      <c r="BK91">
        <v>1</v>
      </c>
      <c r="BL91" s="4">
        <v>49.41</v>
      </c>
      <c r="BM91" s="4">
        <v>7.41</v>
      </c>
      <c r="BN91" s="4">
        <v>56.82</v>
      </c>
      <c r="BO91" s="4">
        <v>56.82</v>
      </c>
      <c r="BQ91" t="s">
        <v>455</v>
      </c>
      <c r="BR91" t="s">
        <v>113</v>
      </c>
      <c r="BS91" s="3">
        <v>43917</v>
      </c>
      <c r="BT91" s="5">
        <v>0.39583333333333331</v>
      </c>
      <c r="BU91" t="s">
        <v>456</v>
      </c>
      <c r="BV91" t="s">
        <v>85</v>
      </c>
      <c r="BY91">
        <v>1200</v>
      </c>
      <c r="BZ91" t="s">
        <v>27</v>
      </c>
      <c r="CC91" t="s">
        <v>110</v>
      </c>
      <c r="CD91">
        <v>2</v>
      </c>
      <c r="CE91" t="s">
        <v>87</v>
      </c>
      <c r="CF91" s="3">
        <v>43918</v>
      </c>
      <c r="CI91">
        <v>1</v>
      </c>
      <c r="CJ91">
        <v>1</v>
      </c>
      <c r="CK91">
        <v>21</v>
      </c>
      <c r="CL91" t="s">
        <v>88</v>
      </c>
    </row>
    <row r="92" spans="1:90">
      <c r="A92" t="s">
        <v>72</v>
      </c>
      <c r="B92" t="s">
        <v>73</v>
      </c>
      <c r="C92" t="s">
        <v>74</v>
      </c>
      <c r="E92" t="str">
        <f>"019911488758"</f>
        <v>019911488758</v>
      </c>
      <c r="F92" s="3">
        <v>43916</v>
      </c>
      <c r="G92">
        <v>202009</v>
      </c>
      <c r="H92" t="s">
        <v>106</v>
      </c>
      <c r="I92" t="s">
        <v>107</v>
      </c>
      <c r="J92" t="s">
        <v>108</v>
      </c>
      <c r="K92" t="s">
        <v>78</v>
      </c>
      <c r="L92" t="s">
        <v>174</v>
      </c>
      <c r="M92" t="s">
        <v>175</v>
      </c>
      <c r="N92" t="s">
        <v>457</v>
      </c>
      <c r="O92" t="s">
        <v>81</v>
      </c>
      <c r="P92" t="str">
        <f>"HOSPTAL SCRUBS-ESSENTIAL SERVI"</f>
        <v>HOSPTAL SCRUBS-ESSENTIAL SERVI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7.54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 s="4">
        <v>49.41</v>
      </c>
      <c r="BM92" s="4">
        <v>7.41</v>
      </c>
      <c r="BN92" s="4">
        <v>56.82</v>
      </c>
      <c r="BO92" s="4">
        <v>56.82</v>
      </c>
      <c r="BQ92" t="s">
        <v>458</v>
      </c>
      <c r="BR92" t="s">
        <v>113</v>
      </c>
      <c r="BS92" s="3">
        <v>43917</v>
      </c>
      <c r="BT92" s="5">
        <v>0.40208333333333335</v>
      </c>
      <c r="BU92" t="s">
        <v>459</v>
      </c>
      <c r="BV92" t="s">
        <v>85</v>
      </c>
      <c r="BY92">
        <v>1200</v>
      </c>
      <c r="BZ92" t="s">
        <v>27</v>
      </c>
      <c r="CA92" t="s">
        <v>460</v>
      </c>
      <c r="CC92" t="s">
        <v>175</v>
      </c>
      <c r="CD92">
        <v>5201</v>
      </c>
      <c r="CE92" t="s">
        <v>87</v>
      </c>
      <c r="CF92" s="3">
        <v>43917</v>
      </c>
      <c r="CI92">
        <v>1</v>
      </c>
      <c r="CJ92">
        <v>1</v>
      </c>
      <c r="CK92">
        <v>21</v>
      </c>
      <c r="CL92" t="s">
        <v>88</v>
      </c>
    </row>
    <row r="93" spans="1:90">
      <c r="A93" t="s">
        <v>72</v>
      </c>
      <c r="B93" t="s">
        <v>73</v>
      </c>
      <c r="C93" t="s">
        <v>74</v>
      </c>
      <c r="E93" t="str">
        <f>"009937632867"</f>
        <v>009937632867</v>
      </c>
      <c r="F93" s="3">
        <v>43916</v>
      </c>
      <c r="G93">
        <v>202009</v>
      </c>
      <c r="H93" t="s">
        <v>122</v>
      </c>
      <c r="I93" t="s">
        <v>123</v>
      </c>
      <c r="J93" t="s">
        <v>461</v>
      </c>
      <c r="K93" t="s">
        <v>78</v>
      </c>
      <c r="L93" t="s">
        <v>106</v>
      </c>
      <c r="M93" t="s">
        <v>107</v>
      </c>
      <c r="N93" t="s">
        <v>462</v>
      </c>
      <c r="O93" t="s">
        <v>81</v>
      </c>
      <c r="P93" t="str">
        <f>"30005000BS402190              "</f>
        <v xml:space="preserve">30005000BS402190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7.54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0.2</v>
      </c>
      <c r="BK93">
        <v>1</v>
      </c>
      <c r="BL93" s="4">
        <v>49.41</v>
      </c>
      <c r="BM93" s="4">
        <v>7.41</v>
      </c>
      <c r="BN93" s="4">
        <v>56.82</v>
      </c>
      <c r="BO93" s="4">
        <v>56.82</v>
      </c>
      <c r="BQ93" t="s">
        <v>197</v>
      </c>
      <c r="BR93" t="s">
        <v>463</v>
      </c>
      <c r="BS93" s="3">
        <v>43917</v>
      </c>
      <c r="BT93" s="5">
        <v>0.37083333333333335</v>
      </c>
      <c r="BU93" t="s">
        <v>464</v>
      </c>
      <c r="BV93" t="s">
        <v>85</v>
      </c>
      <c r="BY93">
        <v>1200</v>
      </c>
      <c r="BZ93" t="s">
        <v>27</v>
      </c>
      <c r="CA93" t="s">
        <v>465</v>
      </c>
      <c r="CC93" t="s">
        <v>107</v>
      </c>
      <c r="CD93">
        <v>7790</v>
      </c>
      <c r="CE93" t="s">
        <v>87</v>
      </c>
      <c r="CF93" s="3">
        <v>43917</v>
      </c>
      <c r="CI93">
        <v>1</v>
      </c>
      <c r="CJ93">
        <v>1</v>
      </c>
      <c r="CK93">
        <v>21</v>
      </c>
      <c r="CL93" t="s">
        <v>88</v>
      </c>
    </row>
    <row r="94" spans="1:90">
      <c r="A94" t="s">
        <v>72</v>
      </c>
      <c r="B94" t="s">
        <v>73</v>
      </c>
      <c r="C94" t="s">
        <v>74</v>
      </c>
      <c r="E94" t="str">
        <f>"009938650913"</f>
        <v>009938650913</v>
      </c>
      <c r="F94" s="3">
        <v>43916</v>
      </c>
      <c r="G94">
        <v>202009</v>
      </c>
      <c r="H94" t="s">
        <v>122</v>
      </c>
      <c r="I94" t="s">
        <v>123</v>
      </c>
      <c r="J94" t="s">
        <v>466</v>
      </c>
      <c r="K94" t="s">
        <v>78</v>
      </c>
      <c r="L94" t="s">
        <v>106</v>
      </c>
      <c r="M94" t="s">
        <v>107</v>
      </c>
      <c r="N94" t="s">
        <v>467</v>
      </c>
      <c r="O94" t="s">
        <v>81</v>
      </c>
      <c r="P94" t="str">
        <f>"3000500BS402190               "</f>
        <v xml:space="preserve">3000500BS402190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7.54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1</v>
      </c>
      <c r="BJ94">
        <v>0.2</v>
      </c>
      <c r="BK94">
        <v>1</v>
      </c>
      <c r="BL94" s="4">
        <v>49.41</v>
      </c>
      <c r="BM94" s="4">
        <v>7.41</v>
      </c>
      <c r="BN94" s="4">
        <v>56.82</v>
      </c>
      <c r="BO94" s="4">
        <v>56.82</v>
      </c>
      <c r="BQ94" t="s">
        <v>468</v>
      </c>
      <c r="BR94" t="s">
        <v>463</v>
      </c>
      <c r="BS94" s="3">
        <v>43917</v>
      </c>
      <c r="BT94" s="5">
        <v>0.37291666666666662</v>
      </c>
      <c r="BU94" t="s">
        <v>469</v>
      </c>
      <c r="BV94" t="s">
        <v>85</v>
      </c>
      <c r="BY94">
        <v>1200</v>
      </c>
      <c r="BZ94" t="s">
        <v>27</v>
      </c>
      <c r="CA94" t="s">
        <v>172</v>
      </c>
      <c r="CC94" t="s">
        <v>107</v>
      </c>
      <c r="CD94">
        <v>7800</v>
      </c>
      <c r="CE94" t="s">
        <v>87</v>
      </c>
      <c r="CF94" s="3">
        <v>43917</v>
      </c>
      <c r="CI94">
        <v>1</v>
      </c>
      <c r="CJ94">
        <v>1</v>
      </c>
      <c r="CK94">
        <v>21</v>
      </c>
      <c r="CL94" t="s">
        <v>88</v>
      </c>
    </row>
    <row r="95" spans="1:90">
      <c r="A95" t="s">
        <v>72</v>
      </c>
      <c r="B95" t="s">
        <v>73</v>
      </c>
      <c r="C95" t="s">
        <v>74</v>
      </c>
      <c r="E95" t="str">
        <f>"009939209587"</f>
        <v>009939209587</v>
      </c>
      <c r="F95" s="3">
        <v>43916</v>
      </c>
      <c r="G95">
        <v>202009</v>
      </c>
      <c r="H95" t="s">
        <v>122</v>
      </c>
      <c r="I95" t="s">
        <v>123</v>
      </c>
      <c r="J95" t="s">
        <v>152</v>
      </c>
      <c r="K95" t="s">
        <v>78</v>
      </c>
      <c r="L95" t="s">
        <v>106</v>
      </c>
      <c r="M95" t="s">
        <v>107</v>
      </c>
      <c r="N95" t="s">
        <v>470</v>
      </c>
      <c r="O95" t="s">
        <v>81</v>
      </c>
      <c r="P95" t="str">
        <f>"3000500B402190                "</f>
        <v xml:space="preserve">3000500B402190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7.54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 s="4">
        <v>49.41</v>
      </c>
      <c r="BM95" s="4">
        <v>7.41</v>
      </c>
      <c r="BN95" s="4">
        <v>56.82</v>
      </c>
      <c r="BO95" s="4">
        <v>56.82</v>
      </c>
      <c r="BQ95" t="s">
        <v>471</v>
      </c>
      <c r="BR95" t="s">
        <v>472</v>
      </c>
      <c r="BS95" s="3">
        <v>43917</v>
      </c>
      <c r="BT95" s="5">
        <v>0.58819444444444446</v>
      </c>
      <c r="BU95" t="s">
        <v>473</v>
      </c>
      <c r="BV95" t="s">
        <v>88</v>
      </c>
      <c r="BW95" t="s">
        <v>474</v>
      </c>
      <c r="BX95" t="s">
        <v>290</v>
      </c>
      <c r="BY95">
        <v>1200</v>
      </c>
      <c r="BZ95" t="s">
        <v>27</v>
      </c>
      <c r="CC95" t="s">
        <v>107</v>
      </c>
      <c r="CD95">
        <v>7460</v>
      </c>
      <c r="CE95" t="s">
        <v>87</v>
      </c>
      <c r="CF95" s="3">
        <v>43920</v>
      </c>
      <c r="CI95">
        <v>1</v>
      </c>
      <c r="CJ95">
        <v>1</v>
      </c>
      <c r="CK95">
        <v>21</v>
      </c>
      <c r="CL95" t="s">
        <v>88</v>
      </c>
    </row>
    <row r="96" spans="1:90">
      <c r="A96" t="s">
        <v>72</v>
      </c>
      <c r="B96" t="s">
        <v>73</v>
      </c>
      <c r="C96" t="s">
        <v>74</v>
      </c>
      <c r="E96" t="str">
        <f>"009939209586"</f>
        <v>009939209586</v>
      </c>
      <c r="F96" s="3">
        <v>43916</v>
      </c>
      <c r="G96">
        <v>202009</v>
      </c>
      <c r="H96" t="s">
        <v>122</v>
      </c>
      <c r="I96" t="s">
        <v>123</v>
      </c>
      <c r="J96" t="s">
        <v>152</v>
      </c>
      <c r="K96" t="s">
        <v>78</v>
      </c>
      <c r="L96" t="s">
        <v>122</v>
      </c>
      <c r="M96" t="s">
        <v>123</v>
      </c>
      <c r="N96" t="s">
        <v>475</v>
      </c>
      <c r="O96" t="s">
        <v>81</v>
      </c>
      <c r="P96" t="str">
        <f>"30005000BS                    "</f>
        <v xml:space="preserve">30005000BS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5.89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0.2</v>
      </c>
      <c r="BK96">
        <v>1</v>
      </c>
      <c r="BL96" s="4">
        <v>38.6</v>
      </c>
      <c r="BM96" s="4">
        <v>5.79</v>
      </c>
      <c r="BN96" s="4">
        <v>44.39</v>
      </c>
      <c r="BO96" s="4">
        <v>44.39</v>
      </c>
      <c r="BQ96" t="s">
        <v>197</v>
      </c>
      <c r="BR96" t="s">
        <v>463</v>
      </c>
      <c r="BS96" t="s">
        <v>360</v>
      </c>
      <c r="BY96">
        <v>1200</v>
      </c>
      <c r="BZ96" t="s">
        <v>27</v>
      </c>
      <c r="CC96" t="s">
        <v>123</v>
      </c>
      <c r="CD96">
        <v>2192</v>
      </c>
      <c r="CE96" t="s">
        <v>87</v>
      </c>
      <c r="CI96">
        <v>1</v>
      </c>
      <c r="CJ96" t="s">
        <v>360</v>
      </c>
      <c r="CK96">
        <v>22</v>
      </c>
      <c r="CL96" t="s">
        <v>88</v>
      </c>
    </row>
    <row r="97" spans="1:90">
      <c r="A97" t="s">
        <v>72</v>
      </c>
      <c r="B97" t="s">
        <v>73</v>
      </c>
      <c r="C97" t="s">
        <v>74</v>
      </c>
      <c r="E97" t="str">
        <f>"009939209588"</f>
        <v>009939209588</v>
      </c>
      <c r="F97" s="3">
        <v>43916</v>
      </c>
      <c r="G97">
        <v>202009</v>
      </c>
      <c r="H97" t="s">
        <v>122</v>
      </c>
      <c r="I97" t="s">
        <v>123</v>
      </c>
      <c r="J97" t="s">
        <v>152</v>
      </c>
      <c r="K97" t="s">
        <v>78</v>
      </c>
      <c r="L97" t="s">
        <v>106</v>
      </c>
      <c r="M97" t="s">
        <v>107</v>
      </c>
      <c r="N97" t="s">
        <v>476</v>
      </c>
      <c r="O97" t="s">
        <v>81</v>
      </c>
      <c r="P97" t="str">
        <f>"11005506HR460040              "</f>
        <v xml:space="preserve">11005506HR460040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15.07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4</v>
      </c>
      <c r="BJ97">
        <v>2.1</v>
      </c>
      <c r="BK97">
        <v>4</v>
      </c>
      <c r="BL97" s="4">
        <v>98.78</v>
      </c>
      <c r="BM97" s="4">
        <v>14.82</v>
      </c>
      <c r="BN97" s="4">
        <v>113.6</v>
      </c>
      <c r="BO97" s="4">
        <v>113.6</v>
      </c>
      <c r="BQ97" t="s">
        <v>477</v>
      </c>
      <c r="BR97" t="s">
        <v>478</v>
      </c>
      <c r="BS97" s="3">
        <v>43917</v>
      </c>
      <c r="BT97" s="5">
        <v>0.58819444444444446</v>
      </c>
      <c r="BU97" t="s">
        <v>473</v>
      </c>
      <c r="BV97" t="s">
        <v>88</v>
      </c>
      <c r="BW97" t="s">
        <v>474</v>
      </c>
      <c r="BX97" t="s">
        <v>290</v>
      </c>
      <c r="BY97">
        <v>10734.47</v>
      </c>
      <c r="BZ97" t="s">
        <v>27</v>
      </c>
      <c r="CC97" t="s">
        <v>107</v>
      </c>
      <c r="CD97">
        <v>7915</v>
      </c>
      <c r="CE97" t="s">
        <v>87</v>
      </c>
      <c r="CF97" s="3">
        <v>43920</v>
      </c>
      <c r="CI97">
        <v>1</v>
      </c>
      <c r="CJ97">
        <v>1</v>
      </c>
      <c r="CK97">
        <v>21</v>
      </c>
      <c r="CL97" t="s">
        <v>88</v>
      </c>
    </row>
    <row r="98" spans="1:90">
      <c r="A98" t="s">
        <v>72</v>
      </c>
      <c r="B98" t="s">
        <v>73</v>
      </c>
      <c r="C98" t="s">
        <v>74</v>
      </c>
      <c r="E98" t="str">
        <f>"009938650918"</f>
        <v>009938650918</v>
      </c>
      <c r="F98" s="3">
        <v>43916</v>
      </c>
      <c r="G98">
        <v>202009</v>
      </c>
      <c r="H98" t="s">
        <v>122</v>
      </c>
      <c r="I98" t="s">
        <v>123</v>
      </c>
      <c r="J98" t="s">
        <v>479</v>
      </c>
      <c r="K98" t="s">
        <v>78</v>
      </c>
      <c r="L98" t="s">
        <v>189</v>
      </c>
      <c r="M98" t="s">
        <v>190</v>
      </c>
      <c r="N98" t="s">
        <v>480</v>
      </c>
      <c r="O98" t="s">
        <v>81</v>
      </c>
      <c r="P98" t="str">
        <f>"30005000BS                    "</f>
        <v xml:space="preserve">30005000BS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7.54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</v>
      </c>
      <c r="BJ98">
        <v>0.2</v>
      </c>
      <c r="BK98">
        <v>1</v>
      </c>
      <c r="BL98" s="4">
        <v>49.41</v>
      </c>
      <c r="BM98" s="4">
        <v>7.41</v>
      </c>
      <c r="BN98" s="4">
        <v>56.82</v>
      </c>
      <c r="BO98" s="4">
        <v>56.82</v>
      </c>
      <c r="BQ98" t="s">
        <v>197</v>
      </c>
      <c r="BR98" t="s">
        <v>463</v>
      </c>
      <c r="BS98" t="s">
        <v>360</v>
      </c>
      <c r="BY98">
        <v>1200</v>
      </c>
      <c r="BZ98" t="s">
        <v>27</v>
      </c>
      <c r="CC98" t="s">
        <v>190</v>
      </c>
      <c r="CD98">
        <v>4093</v>
      </c>
      <c r="CE98" t="s">
        <v>87</v>
      </c>
      <c r="CI98">
        <v>1</v>
      </c>
      <c r="CJ98" t="s">
        <v>360</v>
      </c>
      <c r="CK98">
        <v>21</v>
      </c>
      <c r="CL98" t="s">
        <v>88</v>
      </c>
    </row>
    <row r="99" spans="1:90">
      <c r="A99" t="s">
        <v>72</v>
      </c>
      <c r="B99" t="s">
        <v>73</v>
      </c>
      <c r="C99" t="s">
        <v>74</v>
      </c>
      <c r="E99" t="str">
        <f>"009939209582"</f>
        <v>009939209582</v>
      </c>
      <c r="F99" s="3">
        <v>43916</v>
      </c>
      <c r="G99">
        <v>202009</v>
      </c>
      <c r="H99" t="s">
        <v>122</v>
      </c>
      <c r="I99" t="s">
        <v>123</v>
      </c>
      <c r="J99" t="s">
        <v>152</v>
      </c>
      <c r="K99" t="s">
        <v>78</v>
      </c>
      <c r="L99" t="s">
        <v>106</v>
      </c>
      <c r="M99" t="s">
        <v>107</v>
      </c>
      <c r="N99" t="s">
        <v>299</v>
      </c>
      <c r="O99" t="s">
        <v>81</v>
      </c>
      <c r="P99" t="str">
        <f>"11005500HR 460040             "</f>
        <v xml:space="preserve">11005500HR 460040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7.54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0.2</v>
      </c>
      <c r="BK99">
        <v>1</v>
      </c>
      <c r="BL99" s="4">
        <v>49.41</v>
      </c>
      <c r="BM99" s="4">
        <v>7.41</v>
      </c>
      <c r="BN99" s="4">
        <v>56.82</v>
      </c>
      <c r="BO99" s="4">
        <v>56.82</v>
      </c>
      <c r="BQ99" t="s">
        <v>481</v>
      </c>
      <c r="BR99" t="s">
        <v>482</v>
      </c>
      <c r="BS99" s="3">
        <v>43917</v>
      </c>
      <c r="BT99" s="5">
        <v>0.65138888888888891</v>
      </c>
      <c r="BU99" t="s">
        <v>473</v>
      </c>
      <c r="BV99" t="s">
        <v>88</v>
      </c>
      <c r="BW99" t="s">
        <v>474</v>
      </c>
      <c r="BX99" t="s">
        <v>290</v>
      </c>
      <c r="BY99">
        <v>1200</v>
      </c>
      <c r="BZ99" t="s">
        <v>27</v>
      </c>
      <c r="CC99" t="s">
        <v>107</v>
      </c>
      <c r="CD99">
        <v>7460</v>
      </c>
      <c r="CE99" t="s">
        <v>87</v>
      </c>
      <c r="CF99" s="3">
        <v>43920</v>
      </c>
      <c r="CI99">
        <v>1</v>
      </c>
      <c r="CJ99">
        <v>1</v>
      </c>
      <c r="CK99">
        <v>21</v>
      </c>
      <c r="CL99" t="s">
        <v>88</v>
      </c>
    </row>
    <row r="100" spans="1:90">
      <c r="A100" t="s">
        <v>72</v>
      </c>
      <c r="B100" t="s">
        <v>73</v>
      </c>
      <c r="C100" t="s">
        <v>74</v>
      </c>
      <c r="E100" t="str">
        <f>"009939209585"</f>
        <v>009939209585</v>
      </c>
      <c r="F100" s="3">
        <v>43916</v>
      </c>
      <c r="G100">
        <v>202009</v>
      </c>
      <c r="H100" t="s">
        <v>122</v>
      </c>
      <c r="I100" t="s">
        <v>123</v>
      </c>
      <c r="J100" t="s">
        <v>152</v>
      </c>
      <c r="K100" t="s">
        <v>78</v>
      </c>
      <c r="L100" t="s">
        <v>189</v>
      </c>
      <c r="M100" t="s">
        <v>190</v>
      </c>
      <c r="N100" t="s">
        <v>483</v>
      </c>
      <c r="O100" t="s">
        <v>81</v>
      </c>
      <c r="P100" t="str">
        <f>"30005000BS                    "</f>
        <v xml:space="preserve">30005000BS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7.54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0.2</v>
      </c>
      <c r="BK100">
        <v>1</v>
      </c>
      <c r="BL100" s="4">
        <v>49.41</v>
      </c>
      <c r="BM100" s="4">
        <v>7.41</v>
      </c>
      <c r="BN100" s="4">
        <v>56.82</v>
      </c>
      <c r="BO100" s="4">
        <v>56.82</v>
      </c>
      <c r="BQ100" t="s">
        <v>197</v>
      </c>
      <c r="BR100" t="s">
        <v>484</v>
      </c>
      <c r="BS100" t="s">
        <v>360</v>
      </c>
      <c r="BY100">
        <v>1200</v>
      </c>
      <c r="BZ100" t="s">
        <v>27</v>
      </c>
      <c r="CC100" t="s">
        <v>190</v>
      </c>
      <c r="CD100">
        <v>4030</v>
      </c>
      <c r="CE100" t="s">
        <v>87</v>
      </c>
      <c r="CI100">
        <v>1</v>
      </c>
      <c r="CJ100" t="s">
        <v>360</v>
      </c>
      <c r="CK100">
        <v>21</v>
      </c>
      <c r="CL100" t="s">
        <v>88</v>
      </c>
    </row>
    <row r="101" spans="1:90">
      <c r="A101" t="s">
        <v>72</v>
      </c>
      <c r="B101" t="s">
        <v>73</v>
      </c>
      <c r="C101" t="s">
        <v>74</v>
      </c>
      <c r="E101" t="str">
        <f>"009937632868"</f>
        <v>009937632868</v>
      </c>
      <c r="F101" s="3">
        <v>43916</v>
      </c>
      <c r="G101">
        <v>202009</v>
      </c>
      <c r="H101" t="s">
        <v>122</v>
      </c>
      <c r="I101" t="s">
        <v>123</v>
      </c>
      <c r="J101" t="s">
        <v>485</v>
      </c>
      <c r="K101" t="s">
        <v>78</v>
      </c>
      <c r="L101" t="s">
        <v>222</v>
      </c>
      <c r="M101" t="s">
        <v>223</v>
      </c>
      <c r="N101" t="s">
        <v>486</v>
      </c>
      <c r="O101" t="s">
        <v>81</v>
      </c>
      <c r="P101" t="str">
        <f>"3000500BS 402190              "</f>
        <v xml:space="preserve">3000500BS 402190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11.3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0.9</v>
      </c>
      <c r="BJ101">
        <v>2.7</v>
      </c>
      <c r="BK101">
        <v>3</v>
      </c>
      <c r="BL101" s="4">
        <v>74.09</v>
      </c>
      <c r="BM101" s="4">
        <v>11.11</v>
      </c>
      <c r="BN101" s="4">
        <v>85.2</v>
      </c>
      <c r="BO101" s="4">
        <v>85.2</v>
      </c>
      <c r="BQ101" t="s">
        <v>197</v>
      </c>
      <c r="BR101" t="s">
        <v>197</v>
      </c>
      <c r="BS101" t="s">
        <v>360</v>
      </c>
      <c r="BY101">
        <v>13385.45</v>
      </c>
      <c r="BZ101" t="s">
        <v>27</v>
      </c>
      <c r="CC101" t="s">
        <v>223</v>
      </c>
      <c r="CD101">
        <v>4319</v>
      </c>
      <c r="CE101" t="s">
        <v>87</v>
      </c>
      <c r="CI101">
        <v>1</v>
      </c>
      <c r="CJ101" t="s">
        <v>360</v>
      </c>
      <c r="CK101">
        <v>21</v>
      </c>
      <c r="CL101" t="s">
        <v>88</v>
      </c>
    </row>
    <row r="102" spans="1:90">
      <c r="A102" t="s">
        <v>72</v>
      </c>
      <c r="B102" t="s">
        <v>73</v>
      </c>
      <c r="C102" t="s">
        <v>74</v>
      </c>
      <c r="E102" t="str">
        <f>"009939209583"</f>
        <v>009939209583</v>
      </c>
      <c r="F102" s="3">
        <v>43916</v>
      </c>
      <c r="G102">
        <v>202009</v>
      </c>
      <c r="H102" t="s">
        <v>122</v>
      </c>
      <c r="I102" t="s">
        <v>123</v>
      </c>
      <c r="J102" t="s">
        <v>152</v>
      </c>
      <c r="K102" t="s">
        <v>78</v>
      </c>
      <c r="L102" t="s">
        <v>189</v>
      </c>
      <c r="M102" t="s">
        <v>190</v>
      </c>
      <c r="N102" t="s">
        <v>148</v>
      </c>
      <c r="O102" t="s">
        <v>81</v>
      </c>
      <c r="P102" t="str">
        <f>"11113848BS402190              "</f>
        <v xml:space="preserve">11113848BS402190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7.54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0.2</v>
      </c>
      <c r="BK102">
        <v>1</v>
      </c>
      <c r="BL102" s="4">
        <v>49.41</v>
      </c>
      <c r="BM102" s="4">
        <v>7.41</v>
      </c>
      <c r="BN102" s="4">
        <v>56.82</v>
      </c>
      <c r="BO102" s="4">
        <v>56.82</v>
      </c>
      <c r="BQ102" t="s">
        <v>487</v>
      </c>
      <c r="BR102" t="s">
        <v>488</v>
      </c>
      <c r="BS102" s="3">
        <v>43920</v>
      </c>
      <c r="BT102" s="5">
        <v>0.375</v>
      </c>
      <c r="BU102" t="s">
        <v>489</v>
      </c>
      <c r="BV102" t="s">
        <v>88</v>
      </c>
      <c r="BW102" t="s">
        <v>490</v>
      </c>
      <c r="BX102" t="s">
        <v>491</v>
      </c>
      <c r="BY102">
        <v>1200</v>
      </c>
      <c r="BZ102" t="s">
        <v>27</v>
      </c>
      <c r="CA102" t="s">
        <v>492</v>
      </c>
      <c r="CC102" t="s">
        <v>190</v>
      </c>
      <c r="CD102">
        <v>4000</v>
      </c>
      <c r="CE102" t="s">
        <v>87</v>
      </c>
      <c r="CF102" s="3">
        <v>43920</v>
      </c>
      <c r="CI102">
        <v>1</v>
      </c>
      <c r="CJ102">
        <v>2</v>
      </c>
      <c r="CK102">
        <v>21</v>
      </c>
      <c r="CL102" t="s">
        <v>88</v>
      </c>
    </row>
    <row r="103" spans="1:90">
      <c r="A103" t="s">
        <v>72</v>
      </c>
      <c r="B103" t="s">
        <v>73</v>
      </c>
      <c r="C103" t="s">
        <v>74</v>
      </c>
      <c r="E103" t="str">
        <f>"009938822284"</f>
        <v>009938822284</v>
      </c>
      <c r="F103" s="3">
        <v>43916</v>
      </c>
      <c r="G103">
        <v>202009</v>
      </c>
      <c r="H103" t="s">
        <v>79</v>
      </c>
      <c r="I103" t="s">
        <v>80</v>
      </c>
      <c r="J103" t="s">
        <v>94</v>
      </c>
      <c r="K103" t="s">
        <v>78</v>
      </c>
      <c r="L103" t="s">
        <v>106</v>
      </c>
      <c r="M103" t="s">
        <v>107</v>
      </c>
      <c r="N103" t="s">
        <v>162</v>
      </c>
      <c r="O103" t="s">
        <v>81</v>
      </c>
      <c r="P103" t="str">
        <f>"...                           "</f>
        <v xml:space="preserve">...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7.54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0.2</v>
      </c>
      <c r="BK103">
        <v>1</v>
      </c>
      <c r="BL103" s="4">
        <v>49.41</v>
      </c>
      <c r="BM103" s="4">
        <v>7.41</v>
      </c>
      <c r="BN103" s="4">
        <v>56.82</v>
      </c>
      <c r="BO103" s="4">
        <v>56.82</v>
      </c>
      <c r="BQ103" t="s">
        <v>179</v>
      </c>
      <c r="BR103" t="s">
        <v>180</v>
      </c>
      <c r="BS103" t="s">
        <v>360</v>
      </c>
      <c r="BY103">
        <v>1200</v>
      </c>
      <c r="BZ103" t="s">
        <v>27</v>
      </c>
      <c r="CC103" t="s">
        <v>107</v>
      </c>
      <c r="CD103">
        <v>7460</v>
      </c>
      <c r="CE103" t="s">
        <v>87</v>
      </c>
      <c r="CI103">
        <v>1</v>
      </c>
      <c r="CJ103" t="s">
        <v>360</v>
      </c>
      <c r="CK103">
        <v>21</v>
      </c>
      <c r="CL103" t="s">
        <v>88</v>
      </c>
    </row>
    <row r="104" spans="1:90">
      <c r="A104" t="s">
        <v>72</v>
      </c>
      <c r="B104" t="s">
        <v>73</v>
      </c>
      <c r="C104" t="s">
        <v>74</v>
      </c>
      <c r="E104" t="str">
        <f>"019911488720"</f>
        <v>019911488720</v>
      </c>
      <c r="F104" s="3">
        <v>43916</v>
      </c>
      <c r="G104">
        <v>202009</v>
      </c>
      <c r="H104" t="s">
        <v>106</v>
      </c>
      <c r="I104" t="s">
        <v>107</v>
      </c>
      <c r="J104" t="s">
        <v>108</v>
      </c>
      <c r="K104" t="s">
        <v>78</v>
      </c>
      <c r="L104" t="s">
        <v>189</v>
      </c>
      <c r="M104" t="s">
        <v>190</v>
      </c>
      <c r="N104" t="s">
        <v>493</v>
      </c>
      <c r="O104" t="s">
        <v>202</v>
      </c>
      <c r="P104" t="str">
        <f>"HOSPITAL SCRUB SUITS ESSENTIAL"</f>
        <v>HOSPITAL SCRUB SUITS ESSENTIAL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17.41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17.2</v>
      </c>
      <c r="BJ104">
        <v>15.1</v>
      </c>
      <c r="BK104">
        <v>18</v>
      </c>
      <c r="BL104" s="4">
        <v>119.13</v>
      </c>
      <c r="BM104" s="4">
        <v>17.87</v>
      </c>
      <c r="BN104" s="4">
        <v>137</v>
      </c>
      <c r="BO104" s="4">
        <v>137</v>
      </c>
      <c r="BQ104" t="s">
        <v>429</v>
      </c>
      <c r="BR104" t="s">
        <v>113</v>
      </c>
      <c r="BS104" t="s">
        <v>360</v>
      </c>
      <c r="BY104">
        <v>75344.850000000006</v>
      </c>
      <c r="CC104" t="s">
        <v>190</v>
      </c>
      <c r="CD104">
        <v>4068</v>
      </c>
      <c r="CE104" t="s">
        <v>87</v>
      </c>
      <c r="CI104">
        <v>2</v>
      </c>
      <c r="CJ104" t="s">
        <v>360</v>
      </c>
      <c r="CK104" t="s">
        <v>206</v>
      </c>
      <c r="CL104" t="s">
        <v>88</v>
      </c>
    </row>
    <row r="105" spans="1:90">
      <c r="A105" t="s">
        <v>72</v>
      </c>
      <c r="B105" t="s">
        <v>73</v>
      </c>
      <c r="C105" t="s">
        <v>74</v>
      </c>
      <c r="E105" t="str">
        <f>"009935227678"</f>
        <v>009935227678</v>
      </c>
      <c r="F105" s="3">
        <v>43916</v>
      </c>
      <c r="G105">
        <v>202009</v>
      </c>
      <c r="H105" t="s">
        <v>79</v>
      </c>
      <c r="I105" t="s">
        <v>80</v>
      </c>
      <c r="J105" t="s">
        <v>161</v>
      </c>
      <c r="K105" t="s">
        <v>78</v>
      </c>
      <c r="L105" t="s">
        <v>211</v>
      </c>
      <c r="M105" t="s">
        <v>107</v>
      </c>
      <c r="N105" t="s">
        <v>162</v>
      </c>
      <c r="O105" t="s">
        <v>202</v>
      </c>
      <c r="P105" t="str">
        <f>"...                           "</f>
        <v xml:space="preserve">...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15.43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0.2</v>
      </c>
      <c r="BK105">
        <v>1</v>
      </c>
      <c r="BL105" s="4">
        <v>106.14</v>
      </c>
      <c r="BM105" s="4">
        <v>15.92</v>
      </c>
      <c r="BN105" s="4">
        <v>122.06</v>
      </c>
      <c r="BO105" s="4">
        <v>122.06</v>
      </c>
      <c r="BQ105" t="s">
        <v>348</v>
      </c>
      <c r="BR105" t="s">
        <v>365</v>
      </c>
      <c r="BS105" t="s">
        <v>360</v>
      </c>
      <c r="BY105">
        <v>1200</v>
      </c>
      <c r="CC105" t="s">
        <v>107</v>
      </c>
      <c r="CD105">
        <v>8000</v>
      </c>
      <c r="CE105" t="s">
        <v>87</v>
      </c>
      <c r="CI105">
        <v>2</v>
      </c>
      <c r="CJ105" t="s">
        <v>360</v>
      </c>
      <c r="CK105" t="s">
        <v>206</v>
      </c>
      <c r="CL105" t="s">
        <v>88</v>
      </c>
    </row>
    <row r="106" spans="1:90">
      <c r="A106" t="s">
        <v>140</v>
      </c>
      <c r="B106" t="s">
        <v>73</v>
      </c>
      <c r="C106" t="s">
        <v>74</v>
      </c>
      <c r="E106" t="str">
        <f>"009938650915"</f>
        <v>009938650915</v>
      </c>
      <c r="F106" s="3">
        <v>43916</v>
      </c>
      <c r="G106">
        <v>202009</v>
      </c>
      <c r="H106" t="s">
        <v>122</v>
      </c>
      <c r="I106" t="s">
        <v>123</v>
      </c>
      <c r="J106" t="s">
        <v>461</v>
      </c>
      <c r="K106" t="s">
        <v>78</v>
      </c>
      <c r="L106" t="s">
        <v>92</v>
      </c>
      <c r="M106" t="s">
        <v>93</v>
      </c>
      <c r="N106" t="s">
        <v>494</v>
      </c>
      <c r="O106" t="s">
        <v>202</v>
      </c>
      <c r="P106" t="str">
        <f>"11005506HR                    "</f>
        <v xml:space="preserve">11005506HR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15.43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1.4</v>
      </c>
      <c r="BJ106">
        <v>1.2</v>
      </c>
      <c r="BK106">
        <v>2</v>
      </c>
      <c r="BL106" s="4">
        <v>106.14</v>
      </c>
      <c r="BM106" s="4">
        <v>15.92</v>
      </c>
      <c r="BN106" s="4">
        <v>122.06</v>
      </c>
      <c r="BO106" s="4">
        <v>122.06</v>
      </c>
      <c r="BQ106" t="s">
        <v>197</v>
      </c>
      <c r="BR106" t="s">
        <v>495</v>
      </c>
      <c r="BS106" t="s">
        <v>360</v>
      </c>
      <c r="BY106">
        <v>5836.74</v>
      </c>
      <c r="CC106" t="s">
        <v>93</v>
      </c>
      <c r="CD106">
        <v>6000</v>
      </c>
      <c r="CE106" t="s">
        <v>87</v>
      </c>
      <c r="CI106">
        <v>2</v>
      </c>
      <c r="CJ106" t="s">
        <v>360</v>
      </c>
      <c r="CK106" t="s">
        <v>206</v>
      </c>
      <c r="CL106" t="s">
        <v>88</v>
      </c>
    </row>
    <row r="107" spans="1:90">
      <c r="A107" t="s">
        <v>72</v>
      </c>
      <c r="B107" t="s">
        <v>73</v>
      </c>
      <c r="C107" t="s">
        <v>74</v>
      </c>
      <c r="E107" t="str">
        <f>"009938650914"</f>
        <v>009938650914</v>
      </c>
      <c r="F107" s="3">
        <v>43916</v>
      </c>
      <c r="G107">
        <v>202009</v>
      </c>
      <c r="H107" t="s">
        <v>122</v>
      </c>
      <c r="I107" t="s">
        <v>123</v>
      </c>
      <c r="J107" t="s">
        <v>148</v>
      </c>
      <c r="K107" t="s">
        <v>78</v>
      </c>
      <c r="L107" t="s">
        <v>181</v>
      </c>
      <c r="M107" t="s">
        <v>182</v>
      </c>
      <c r="N107" t="s">
        <v>461</v>
      </c>
      <c r="O107" t="s">
        <v>202</v>
      </c>
      <c r="P107" t="str">
        <f>"11005506HR                    "</f>
        <v xml:space="preserve">11005506HR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10.6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1.3</v>
      </c>
      <c r="BJ107">
        <v>1.6</v>
      </c>
      <c r="BK107">
        <v>2</v>
      </c>
      <c r="BL107" s="4">
        <v>74.48</v>
      </c>
      <c r="BM107" s="4">
        <v>11.17</v>
      </c>
      <c r="BN107" s="4">
        <v>85.65</v>
      </c>
      <c r="BO107" s="4">
        <v>85.65</v>
      </c>
      <c r="BQ107" t="s">
        <v>496</v>
      </c>
      <c r="BR107" t="s">
        <v>197</v>
      </c>
      <c r="BS107" t="s">
        <v>360</v>
      </c>
      <c r="BY107">
        <v>8244.7000000000007</v>
      </c>
      <c r="CC107" t="s">
        <v>182</v>
      </c>
      <c r="CD107">
        <v>9300</v>
      </c>
      <c r="CE107" t="s">
        <v>87</v>
      </c>
      <c r="CI107">
        <v>1</v>
      </c>
      <c r="CJ107" t="s">
        <v>360</v>
      </c>
      <c r="CK107" t="s">
        <v>497</v>
      </c>
      <c r="CL107" t="s">
        <v>88</v>
      </c>
    </row>
    <row r="108" spans="1:90">
      <c r="A108" t="s">
        <v>72</v>
      </c>
      <c r="B108" t="s">
        <v>73</v>
      </c>
      <c r="C108" t="s">
        <v>74</v>
      </c>
      <c r="E108" t="str">
        <f>"009938650916"</f>
        <v>009938650916</v>
      </c>
      <c r="F108" s="3">
        <v>43916</v>
      </c>
      <c r="G108">
        <v>202009</v>
      </c>
      <c r="H108" t="s">
        <v>122</v>
      </c>
      <c r="I108" t="s">
        <v>123</v>
      </c>
      <c r="J108" t="s">
        <v>466</v>
      </c>
      <c r="K108" t="s">
        <v>78</v>
      </c>
      <c r="L108" t="s">
        <v>498</v>
      </c>
      <c r="M108" t="s">
        <v>499</v>
      </c>
      <c r="N108" t="s">
        <v>466</v>
      </c>
      <c r="O108" t="s">
        <v>202</v>
      </c>
      <c r="P108" t="str">
        <f>"11016559PC                    "</f>
        <v xml:space="preserve">11016559PC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10.6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0.2</v>
      </c>
      <c r="BK108">
        <v>1</v>
      </c>
      <c r="BL108" s="4">
        <v>74.48</v>
      </c>
      <c r="BM108" s="4">
        <v>11.17</v>
      </c>
      <c r="BN108" s="4">
        <v>85.65</v>
      </c>
      <c r="BO108" s="4">
        <v>85.65</v>
      </c>
      <c r="BQ108" t="s">
        <v>500</v>
      </c>
      <c r="BR108" t="s">
        <v>501</v>
      </c>
      <c r="BS108" t="s">
        <v>360</v>
      </c>
      <c r="BY108">
        <v>1200</v>
      </c>
      <c r="CC108" t="s">
        <v>499</v>
      </c>
      <c r="CD108">
        <v>3608</v>
      </c>
      <c r="CE108" t="s">
        <v>87</v>
      </c>
      <c r="CI108">
        <v>1</v>
      </c>
      <c r="CJ108" t="s">
        <v>360</v>
      </c>
      <c r="CK108" t="s">
        <v>228</v>
      </c>
      <c r="CL108" t="s">
        <v>88</v>
      </c>
    </row>
    <row r="109" spans="1:90">
      <c r="A109" t="s">
        <v>72</v>
      </c>
      <c r="B109" t="s">
        <v>73</v>
      </c>
      <c r="C109" t="s">
        <v>74</v>
      </c>
      <c r="E109" t="str">
        <f>"009938650917"</f>
        <v>009938650917</v>
      </c>
      <c r="F109" s="3">
        <v>43916</v>
      </c>
      <c r="G109">
        <v>202009</v>
      </c>
      <c r="H109" t="s">
        <v>122</v>
      </c>
      <c r="I109" t="s">
        <v>123</v>
      </c>
      <c r="J109" t="s">
        <v>479</v>
      </c>
      <c r="K109" t="s">
        <v>78</v>
      </c>
      <c r="L109" t="s">
        <v>189</v>
      </c>
      <c r="M109" t="s">
        <v>190</v>
      </c>
      <c r="N109" t="s">
        <v>502</v>
      </c>
      <c r="O109" t="s">
        <v>202</v>
      </c>
      <c r="P109" t="str">
        <f>"11016559PC                    "</f>
        <v xml:space="preserve">11016559PC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10.6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0.2</v>
      </c>
      <c r="BK109">
        <v>1</v>
      </c>
      <c r="BL109" s="4">
        <v>74.48</v>
      </c>
      <c r="BM109" s="4">
        <v>11.17</v>
      </c>
      <c r="BN109" s="4">
        <v>85.65</v>
      </c>
      <c r="BO109" s="4">
        <v>85.65</v>
      </c>
      <c r="BQ109" t="s">
        <v>197</v>
      </c>
      <c r="BR109" t="s">
        <v>501</v>
      </c>
      <c r="BS109" t="s">
        <v>360</v>
      </c>
      <c r="BY109">
        <v>1200</v>
      </c>
      <c r="CC109" t="s">
        <v>190</v>
      </c>
      <c r="CD109">
        <v>4000</v>
      </c>
      <c r="CE109" t="s">
        <v>87</v>
      </c>
      <c r="CI109">
        <v>1</v>
      </c>
      <c r="CJ109" t="s">
        <v>360</v>
      </c>
      <c r="CK109" t="s">
        <v>228</v>
      </c>
      <c r="CL109" t="s">
        <v>88</v>
      </c>
    </row>
    <row r="110" spans="1:90">
      <c r="A110" t="s">
        <v>72</v>
      </c>
      <c r="B110" t="s">
        <v>73</v>
      </c>
      <c r="C110" t="s">
        <v>74</v>
      </c>
      <c r="E110" t="str">
        <f>"009939401028"</f>
        <v>009939401028</v>
      </c>
      <c r="F110" s="3">
        <v>43916</v>
      </c>
      <c r="G110">
        <v>202009</v>
      </c>
      <c r="H110" t="s">
        <v>92</v>
      </c>
      <c r="I110" t="s">
        <v>93</v>
      </c>
      <c r="J110" t="s">
        <v>503</v>
      </c>
      <c r="K110" t="s">
        <v>78</v>
      </c>
      <c r="L110" t="s">
        <v>117</v>
      </c>
      <c r="M110" t="s">
        <v>118</v>
      </c>
      <c r="N110" t="s">
        <v>504</v>
      </c>
      <c r="O110" t="s">
        <v>202</v>
      </c>
      <c r="P110" t="str">
        <f>"                              "</f>
        <v xml:space="preserve">  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24.02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2</v>
      </c>
      <c r="BI110">
        <v>20</v>
      </c>
      <c r="BJ110">
        <v>28</v>
      </c>
      <c r="BK110">
        <v>28</v>
      </c>
      <c r="BL110" s="4">
        <v>162.44</v>
      </c>
      <c r="BM110" s="4">
        <v>24.37</v>
      </c>
      <c r="BN110" s="4">
        <v>186.81</v>
      </c>
      <c r="BO110" s="4">
        <v>186.81</v>
      </c>
      <c r="BQ110" t="s">
        <v>505</v>
      </c>
      <c r="BR110" t="s">
        <v>506</v>
      </c>
      <c r="BS110" t="s">
        <v>360</v>
      </c>
      <c r="BY110">
        <v>69936</v>
      </c>
      <c r="CC110" t="s">
        <v>118</v>
      </c>
      <c r="CD110">
        <v>1682</v>
      </c>
      <c r="CE110" t="s">
        <v>87</v>
      </c>
      <c r="CI110">
        <v>2</v>
      </c>
      <c r="CJ110" t="s">
        <v>360</v>
      </c>
      <c r="CK110" t="s">
        <v>206</v>
      </c>
      <c r="CL110" t="s">
        <v>88</v>
      </c>
    </row>
    <row r="111" spans="1:90">
      <c r="A111" t="s">
        <v>72</v>
      </c>
      <c r="B111" t="s">
        <v>73</v>
      </c>
      <c r="C111" t="s">
        <v>74</v>
      </c>
      <c r="E111" t="str">
        <f>"009938634434"</f>
        <v>009938634434</v>
      </c>
      <c r="F111" s="3">
        <v>43916</v>
      </c>
      <c r="G111">
        <v>202009</v>
      </c>
      <c r="H111" t="s">
        <v>109</v>
      </c>
      <c r="I111" t="s">
        <v>110</v>
      </c>
      <c r="J111" t="s">
        <v>91</v>
      </c>
      <c r="K111" t="s">
        <v>78</v>
      </c>
      <c r="L111" t="s">
        <v>229</v>
      </c>
      <c r="M111" t="s">
        <v>230</v>
      </c>
      <c r="N111" t="s">
        <v>94</v>
      </c>
      <c r="O111" t="s">
        <v>81</v>
      </c>
      <c r="P111" t="str">
        <f>"NAS                           "</f>
        <v xml:space="preserve">NAS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11.3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2</v>
      </c>
      <c r="BJ111">
        <v>2.7</v>
      </c>
      <c r="BK111">
        <v>3</v>
      </c>
      <c r="BL111" s="4">
        <v>74.09</v>
      </c>
      <c r="BM111" s="4">
        <v>11.11</v>
      </c>
      <c r="BN111" s="4">
        <v>85.2</v>
      </c>
      <c r="BO111" s="4">
        <v>85.2</v>
      </c>
      <c r="BQ111" t="s">
        <v>359</v>
      </c>
      <c r="BR111" t="s">
        <v>349</v>
      </c>
      <c r="BS111" s="3">
        <v>43917</v>
      </c>
      <c r="BT111" s="5">
        <v>0.40972222222222227</v>
      </c>
      <c r="BU111" t="s">
        <v>507</v>
      </c>
      <c r="BV111" t="s">
        <v>85</v>
      </c>
      <c r="BY111">
        <v>13322.93</v>
      </c>
      <c r="BZ111" t="s">
        <v>27</v>
      </c>
      <c r="CA111" t="s">
        <v>508</v>
      </c>
      <c r="CC111" t="s">
        <v>230</v>
      </c>
      <c r="CD111">
        <v>700</v>
      </c>
      <c r="CE111" t="s">
        <v>87</v>
      </c>
      <c r="CF111" s="3">
        <v>43917</v>
      </c>
      <c r="CI111">
        <v>1</v>
      </c>
      <c r="CJ111">
        <v>1</v>
      </c>
      <c r="CK111">
        <v>21</v>
      </c>
      <c r="CL111" t="s">
        <v>88</v>
      </c>
    </row>
    <row r="112" spans="1:90">
      <c r="A112" t="s">
        <v>72</v>
      </c>
      <c r="B112" t="s">
        <v>73</v>
      </c>
      <c r="C112" t="s">
        <v>74</v>
      </c>
      <c r="E112" t="str">
        <f>"019911488722"</f>
        <v>019911488722</v>
      </c>
      <c r="F112" s="3">
        <v>43920</v>
      </c>
      <c r="G112">
        <v>202009</v>
      </c>
      <c r="H112" t="s">
        <v>106</v>
      </c>
      <c r="I112" t="s">
        <v>107</v>
      </c>
      <c r="J112" t="s">
        <v>108</v>
      </c>
      <c r="K112" t="s">
        <v>78</v>
      </c>
      <c r="L112" t="s">
        <v>211</v>
      </c>
      <c r="M112" t="s">
        <v>107</v>
      </c>
      <c r="N112" t="s">
        <v>509</v>
      </c>
      <c r="O112" t="s">
        <v>202</v>
      </c>
      <c r="P112" t="str">
        <f>"NA                            "</f>
        <v xml:space="preserve">NA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10.6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2</v>
      </c>
      <c r="BI112">
        <v>25.6</v>
      </c>
      <c r="BJ112">
        <v>2.8</v>
      </c>
      <c r="BK112">
        <v>3</v>
      </c>
      <c r="BL112" s="4">
        <v>74.48</v>
      </c>
      <c r="BM112" s="4">
        <v>11.17</v>
      </c>
      <c r="BN112" s="4">
        <v>85.65</v>
      </c>
      <c r="BO112" s="4">
        <v>85.65</v>
      </c>
      <c r="BQ112" t="s">
        <v>510</v>
      </c>
      <c r="BR112" t="s">
        <v>113</v>
      </c>
      <c r="BS112" s="3">
        <v>43922</v>
      </c>
      <c r="BT112" s="5">
        <v>0.35416666666666669</v>
      </c>
      <c r="BU112" t="s">
        <v>511</v>
      </c>
      <c r="BY112">
        <v>146326.06</v>
      </c>
      <c r="CA112" t="s">
        <v>512</v>
      </c>
      <c r="CC112" t="s">
        <v>107</v>
      </c>
      <c r="CD112">
        <v>7500</v>
      </c>
      <c r="CE112" t="s">
        <v>87</v>
      </c>
      <c r="CF112" s="3">
        <v>43922</v>
      </c>
      <c r="CI112">
        <v>1</v>
      </c>
      <c r="CJ112">
        <v>1</v>
      </c>
      <c r="CK112" t="s">
        <v>291</v>
      </c>
      <c r="CL112" t="s">
        <v>88</v>
      </c>
    </row>
    <row r="113" spans="1:90">
      <c r="A113" t="s">
        <v>72</v>
      </c>
      <c r="B113" t="s">
        <v>73</v>
      </c>
      <c r="C113" t="s">
        <v>74</v>
      </c>
      <c r="E113" t="str">
        <f>"019911488723"</f>
        <v>019911488723</v>
      </c>
      <c r="F113" s="3">
        <v>43920</v>
      </c>
      <c r="G113">
        <v>202009</v>
      </c>
      <c r="H113" t="s">
        <v>106</v>
      </c>
      <c r="I113" t="s">
        <v>107</v>
      </c>
      <c r="J113" t="s">
        <v>108</v>
      </c>
      <c r="K113" t="s">
        <v>78</v>
      </c>
      <c r="L113" t="s">
        <v>211</v>
      </c>
      <c r="M113" t="s">
        <v>107</v>
      </c>
      <c r="N113" t="s">
        <v>513</v>
      </c>
      <c r="O113" t="s">
        <v>202</v>
      </c>
      <c r="P113" t="str">
        <f>"NA                            "</f>
        <v xml:space="preserve">NA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10.6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1.3</v>
      </c>
      <c r="BJ113">
        <v>0.9</v>
      </c>
      <c r="BK113">
        <v>2</v>
      </c>
      <c r="BL113" s="4">
        <v>74.48</v>
      </c>
      <c r="BM113" s="4">
        <v>11.17</v>
      </c>
      <c r="BN113" s="4">
        <v>85.65</v>
      </c>
      <c r="BO113" s="4">
        <v>85.65</v>
      </c>
      <c r="BQ113" t="s">
        <v>514</v>
      </c>
      <c r="BR113" t="s">
        <v>113</v>
      </c>
      <c r="BS113" s="3">
        <v>43921</v>
      </c>
      <c r="BT113" s="5">
        <v>0.35902777777777778</v>
      </c>
      <c r="BU113" t="s">
        <v>515</v>
      </c>
      <c r="BV113" t="s">
        <v>85</v>
      </c>
      <c r="BY113">
        <v>4352</v>
      </c>
      <c r="CA113" t="s">
        <v>307</v>
      </c>
      <c r="CC113" t="s">
        <v>107</v>
      </c>
      <c r="CD113">
        <v>7806</v>
      </c>
      <c r="CE113" t="s">
        <v>87</v>
      </c>
      <c r="CI113">
        <v>1</v>
      </c>
      <c r="CJ113">
        <v>1</v>
      </c>
      <c r="CK113" t="s">
        <v>291</v>
      </c>
      <c r="CL113" t="s">
        <v>88</v>
      </c>
    </row>
    <row r="114" spans="1:90">
      <c r="A114" t="s">
        <v>72</v>
      </c>
      <c r="B114" t="s">
        <v>73</v>
      </c>
      <c r="C114" t="s">
        <v>74</v>
      </c>
      <c r="E114" t="str">
        <f>"019911488721"</f>
        <v>019911488721</v>
      </c>
      <c r="F114" s="3">
        <v>43920</v>
      </c>
      <c r="G114">
        <v>202009</v>
      </c>
      <c r="H114" t="s">
        <v>106</v>
      </c>
      <c r="I114" t="s">
        <v>107</v>
      </c>
      <c r="J114" t="s">
        <v>108</v>
      </c>
      <c r="K114" t="s">
        <v>78</v>
      </c>
      <c r="L114" t="s">
        <v>92</v>
      </c>
      <c r="M114" t="s">
        <v>93</v>
      </c>
      <c r="N114" t="s">
        <v>516</v>
      </c>
      <c r="O114" t="s">
        <v>202</v>
      </c>
      <c r="P114" t="str">
        <f>"NA                            "</f>
        <v xml:space="preserve">NA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82.63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5</v>
      </c>
      <c r="BI114">
        <v>102.8</v>
      </c>
      <c r="BJ114">
        <v>125</v>
      </c>
      <c r="BK114">
        <v>125</v>
      </c>
      <c r="BL114" s="4">
        <v>546.66999999999996</v>
      </c>
      <c r="BM114" s="4">
        <v>82</v>
      </c>
      <c r="BN114" s="4">
        <v>628.66999999999996</v>
      </c>
      <c r="BO114" s="4">
        <v>628.66999999999996</v>
      </c>
      <c r="BQ114" t="s">
        <v>517</v>
      </c>
      <c r="BR114" t="s">
        <v>113</v>
      </c>
      <c r="BS114" s="3">
        <v>43921</v>
      </c>
      <c r="BT114" s="5">
        <v>0.53472222222222221</v>
      </c>
      <c r="BU114" t="s">
        <v>518</v>
      </c>
      <c r="BV114" t="s">
        <v>85</v>
      </c>
      <c r="BY114">
        <v>625096.44999999995</v>
      </c>
      <c r="CA114" t="s">
        <v>131</v>
      </c>
      <c r="CC114" t="s">
        <v>93</v>
      </c>
      <c r="CD114">
        <v>6020</v>
      </c>
      <c r="CE114" t="s">
        <v>87</v>
      </c>
      <c r="CF114" s="3">
        <v>43921</v>
      </c>
      <c r="CI114">
        <v>2</v>
      </c>
      <c r="CJ114">
        <v>1</v>
      </c>
      <c r="CK114" t="s">
        <v>436</v>
      </c>
      <c r="CL114" t="s">
        <v>88</v>
      </c>
    </row>
    <row r="115" spans="1:90">
      <c r="A115" t="s">
        <v>72</v>
      </c>
      <c r="B115" t="s">
        <v>73</v>
      </c>
      <c r="C115" t="s">
        <v>74</v>
      </c>
      <c r="E115" t="str">
        <f>"019911488754"</f>
        <v>019911488754</v>
      </c>
      <c r="F115" s="3">
        <v>43920</v>
      </c>
      <c r="G115">
        <v>202009</v>
      </c>
      <c r="H115" t="s">
        <v>106</v>
      </c>
      <c r="I115" t="s">
        <v>107</v>
      </c>
      <c r="J115" t="s">
        <v>108</v>
      </c>
      <c r="K115" t="s">
        <v>78</v>
      </c>
      <c r="L115" t="s">
        <v>117</v>
      </c>
      <c r="M115" t="s">
        <v>118</v>
      </c>
      <c r="N115" t="s">
        <v>519</v>
      </c>
      <c r="O115" t="s">
        <v>81</v>
      </c>
      <c r="P115" t="str">
        <f>"NA                            "</f>
        <v xml:space="preserve">NA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13.19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1.5</v>
      </c>
      <c r="BJ115">
        <v>3.5</v>
      </c>
      <c r="BK115">
        <v>3.5</v>
      </c>
      <c r="BL115" s="4">
        <v>86.44</v>
      </c>
      <c r="BM115" s="4">
        <v>12.97</v>
      </c>
      <c r="BN115" s="4">
        <v>99.41</v>
      </c>
      <c r="BO115" s="4">
        <v>99.41</v>
      </c>
      <c r="BQ115" t="s">
        <v>520</v>
      </c>
      <c r="BR115" t="s">
        <v>113</v>
      </c>
      <c r="BS115" s="3">
        <v>43921</v>
      </c>
      <c r="BT115" s="5">
        <v>0.36736111111111108</v>
      </c>
      <c r="BU115" t="s">
        <v>521</v>
      </c>
      <c r="BV115" t="s">
        <v>85</v>
      </c>
      <c r="BY115">
        <v>17732.16</v>
      </c>
      <c r="BZ115" t="s">
        <v>27</v>
      </c>
      <c r="CC115" t="s">
        <v>118</v>
      </c>
      <c r="CD115">
        <v>1683</v>
      </c>
      <c r="CE115" t="s">
        <v>522</v>
      </c>
      <c r="CF115" s="3">
        <v>43922</v>
      </c>
      <c r="CI115">
        <v>1</v>
      </c>
      <c r="CJ115">
        <v>1</v>
      </c>
      <c r="CK115">
        <v>21</v>
      </c>
      <c r="CL115" t="s">
        <v>88</v>
      </c>
    </row>
    <row r="116" spans="1:90">
      <c r="A116" t="s">
        <v>72</v>
      </c>
      <c r="B116" t="s">
        <v>73</v>
      </c>
      <c r="C116" t="s">
        <v>74</v>
      </c>
      <c r="E116" t="str">
        <f>"019911488760"</f>
        <v>019911488760</v>
      </c>
      <c r="F116" s="3">
        <v>43916</v>
      </c>
      <c r="G116">
        <v>202009</v>
      </c>
      <c r="H116" t="s">
        <v>106</v>
      </c>
      <c r="I116" t="s">
        <v>107</v>
      </c>
      <c r="J116" t="s">
        <v>108</v>
      </c>
      <c r="K116" t="s">
        <v>78</v>
      </c>
      <c r="L116" t="s">
        <v>208</v>
      </c>
      <c r="M116" t="s">
        <v>209</v>
      </c>
      <c r="N116" t="s">
        <v>523</v>
      </c>
      <c r="O116" t="s">
        <v>202</v>
      </c>
      <c r="P116" t="str">
        <f>"HOSPITAL SCRUBS SUITS-ESSENTIA"</f>
        <v>HOSPITAL SCRUBS SUITS-ESSENTIA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34.619999999999997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30</v>
      </c>
      <c r="BJ116">
        <v>23</v>
      </c>
      <c r="BK116">
        <v>30</v>
      </c>
      <c r="BL116" s="4">
        <v>231.98</v>
      </c>
      <c r="BM116" s="4">
        <v>34.799999999999997</v>
      </c>
      <c r="BN116" s="4">
        <v>266.77999999999997</v>
      </c>
      <c r="BO116" s="4">
        <v>266.77999999999997</v>
      </c>
      <c r="BQ116" t="s">
        <v>524</v>
      </c>
      <c r="BR116" t="s">
        <v>113</v>
      </c>
      <c r="BS116" s="3">
        <v>43921</v>
      </c>
      <c r="BT116" s="5">
        <v>0.54652777777777783</v>
      </c>
      <c r="BU116" t="s">
        <v>525</v>
      </c>
      <c r="BV116" t="s">
        <v>88</v>
      </c>
      <c r="BW116" t="s">
        <v>138</v>
      </c>
      <c r="BX116" t="s">
        <v>526</v>
      </c>
      <c r="BY116">
        <v>114868</v>
      </c>
      <c r="CA116" t="s">
        <v>527</v>
      </c>
      <c r="CC116" t="s">
        <v>209</v>
      </c>
      <c r="CD116">
        <v>8301</v>
      </c>
      <c r="CE116" t="s">
        <v>87</v>
      </c>
      <c r="CF116" s="3">
        <v>43921</v>
      </c>
      <c r="CI116">
        <v>2</v>
      </c>
      <c r="CJ116">
        <v>3</v>
      </c>
      <c r="CK116" t="s">
        <v>323</v>
      </c>
      <c r="CL116" t="s">
        <v>88</v>
      </c>
    </row>
    <row r="117" spans="1:90">
      <c r="A117" t="s">
        <v>72</v>
      </c>
      <c r="B117" t="s">
        <v>73</v>
      </c>
      <c r="C117" t="s">
        <v>74</v>
      </c>
      <c r="E117" t="str">
        <f>"019911488757"</f>
        <v>019911488757</v>
      </c>
      <c r="F117" s="3">
        <v>43917</v>
      </c>
      <c r="G117">
        <v>202009</v>
      </c>
      <c r="H117" t="s">
        <v>106</v>
      </c>
      <c r="I117" t="s">
        <v>107</v>
      </c>
      <c r="J117" t="s">
        <v>108</v>
      </c>
      <c r="K117" t="s">
        <v>78</v>
      </c>
      <c r="L117" t="s">
        <v>92</v>
      </c>
      <c r="M117" t="s">
        <v>93</v>
      </c>
      <c r="N117" t="s">
        <v>528</v>
      </c>
      <c r="O117" t="s">
        <v>81</v>
      </c>
      <c r="P117" t="str">
        <f>"HOSPITAL SCRUBS-ESSENTIAL SERV"</f>
        <v>HOSPITAL SCRUBS-ESSENTIAL SERV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7.54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0.6</v>
      </c>
      <c r="BJ117">
        <v>1.2</v>
      </c>
      <c r="BK117">
        <v>1.5</v>
      </c>
      <c r="BL117" s="4">
        <v>49.41</v>
      </c>
      <c r="BM117" s="4">
        <v>7.41</v>
      </c>
      <c r="BN117" s="4">
        <v>56.82</v>
      </c>
      <c r="BO117" s="4">
        <v>56.82</v>
      </c>
      <c r="BQ117" t="s">
        <v>529</v>
      </c>
      <c r="BR117" t="s">
        <v>113</v>
      </c>
      <c r="BS117" s="3">
        <v>43920</v>
      </c>
      <c r="BT117" s="5">
        <v>0.42638888888888887</v>
      </c>
      <c r="BU117" t="s">
        <v>530</v>
      </c>
      <c r="BV117" t="s">
        <v>85</v>
      </c>
      <c r="BY117">
        <v>6150.2</v>
      </c>
      <c r="BZ117" t="s">
        <v>27</v>
      </c>
      <c r="CA117" t="s">
        <v>531</v>
      </c>
      <c r="CC117" t="s">
        <v>93</v>
      </c>
      <c r="CD117">
        <v>6000</v>
      </c>
      <c r="CE117" t="s">
        <v>87</v>
      </c>
      <c r="CF117" s="3">
        <v>43920</v>
      </c>
      <c r="CI117">
        <v>1</v>
      </c>
      <c r="CJ117">
        <v>1</v>
      </c>
      <c r="CK117">
        <v>21</v>
      </c>
      <c r="CL117" t="s">
        <v>88</v>
      </c>
    </row>
    <row r="118" spans="1:90">
      <c r="A118" t="s">
        <v>72</v>
      </c>
      <c r="B118" t="s">
        <v>73</v>
      </c>
      <c r="C118" t="s">
        <v>74</v>
      </c>
      <c r="E118" t="str">
        <f>"019911488756"</f>
        <v>019911488756</v>
      </c>
      <c r="F118" s="3">
        <v>43917</v>
      </c>
      <c r="G118">
        <v>202009</v>
      </c>
      <c r="H118" t="s">
        <v>106</v>
      </c>
      <c r="I118" t="s">
        <v>107</v>
      </c>
      <c r="J118" t="s">
        <v>108</v>
      </c>
      <c r="K118" t="s">
        <v>78</v>
      </c>
      <c r="L118" t="s">
        <v>109</v>
      </c>
      <c r="M118" t="s">
        <v>110</v>
      </c>
      <c r="N118" t="s">
        <v>532</v>
      </c>
      <c r="O118" t="s">
        <v>81</v>
      </c>
      <c r="P118" t="str">
        <f>"HOSPITAL SCRUBS-ESSENTIAL SERV"</f>
        <v>HOSPITAL SCRUBS-ESSENTIAL SERV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7.54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0.9</v>
      </c>
      <c r="BJ118">
        <v>1.3</v>
      </c>
      <c r="BK118">
        <v>1.5</v>
      </c>
      <c r="BL118" s="4">
        <v>49.41</v>
      </c>
      <c r="BM118" s="4">
        <v>7.41</v>
      </c>
      <c r="BN118" s="4">
        <v>56.82</v>
      </c>
      <c r="BO118" s="4">
        <v>56.82</v>
      </c>
      <c r="BQ118" t="s">
        <v>333</v>
      </c>
      <c r="BR118" t="s">
        <v>113</v>
      </c>
      <c r="BS118" t="s">
        <v>360</v>
      </c>
      <c r="BY118">
        <v>6696</v>
      </c>
      <c r="BZ118" t="s">
        <v>27</v>
      </c>
      <c r="CC118" t="s">
        <v>110</v>
      </c>
      <c r="CD118">
        <v>41</v>
      </c>
      <c r="CE118" t="s">
        <v>87</v>
      </c>
      <c r="CI118">
        <v>1</v>
      </c>
      <c r="CJ118" t="s">
        <v>360</v>
      </c>
      <c r="CK118">
        <v>21</v>
      </c>
      <c r="CL118" t="s">
        <v>88</v>
      </c>
    </row>
    <row r="119" spans="1:90">
      <c r="A119" t="s">
        <v>72</v>
      </c>
      <c r="B119" t="s">
        <v>73</v>
      </c>
      <c r="C119" t="s">
        <v>74</v>
      </c>
      <c r="E119" t="str">
        <f>"019911488755"</f>
        <v>019911488755</v>
      </c>
      <c r="F119" s="3">
        <v>43917</v>
      </c>
      <c r="G119">
        <v>202009</v>
      </c>
      <c r="H119" t="s">
        <v>106</v>
      </c>
      <c r="I119" t="s">
        <v>107</v>
      </c>
      <c r="J119" t="s">
        <v>108</v>
      </c>
      <c r="K119" t="s">
        <v>78</v>
      </c>
      <c r="L119" t="s">
        <v>181</v>
      </c>
      <c r="M119" t="s">
        <v>182</v>
      </c>
      <c r="N119" t="s">
        <v>533</v>
      </c>
      <c r="O119" t="s">
        <v>202</v>
      </c>
      <c r="P119" t="str">
        <f>"HOSPITAL SCRUBS-ESSENTIAL SERV"</f>
        <v>HOSPITAL SCRUBS-ESSENTIAL SERV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15.43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1.3</v>
      </c>
      <c r="BJ119">
        <v>1.7</v>
      </c>
      <c r="BK119">
        <v>2</v>
      </c>
      <c r="BL119" s="4">
        <v>106.14</v>
      </c>
      <c r="BM119" s="4">
        <v>15.92</v>
      </c>
      <c r="BN119" s="4">
        <v>122.06</v>
      </c>
      <c r="BO119" s="4">
        <v>122.06</v>
      </c>
      <c r="BQ119" t="s">
        <v>534</v>
      </c>
      <c r="BR119" t="s">
        <v>113</v>
      </c>
      <c r="BS119" t="s">
        <v>360</v>
      </c>
      <c r="BY119">
        <v>8252.65</v>
      </c>
      <c r="CC119" t="s">
        <v>182</v>
      </c>
      <c r="CD119">
        <v>9301</v>
      </c>
      <c r="CE119" t="s">
        <v>87</v>
      </c>
      <c r="CI119">
        <v>2</v>
      </c>
      <c r="CJ119" t="s">
        <v>360</v>
      </c>
      <c r="CK119" t="s">
        <v>206</v>
      </c>
      <c r="CL119" t="s">
        <v>88</v>
      </c>
    </row>
    <row r="120" spans="1:90">
      <c r="A120" t="s">
        <v>72</v>
      </c>
      <c r="B120" t="s">
        <v>73</v>
      </c>
      <c r="C120" t="s">
        <v>74</v>
      </c>
      <c r="E120" t="str">
        <f>"009939752378"</f>
        <v>009939752378</v>
      </c>
      <c r="F120" s="3">
        <v>43916</v>
      </c>
      <c r="G120">
        <v>202009</v>
      </c>
      <c r="H120" t="s">
        <v>189</v>
      </c>
      <c r="I120" t="s">
        <v>190</v>
      </c>
      <c r="J120" t="s">
        <v>535</v>
      </c>
      <c r="K120" t="s">
        <v>78</v>
      </c>
      <c r="L120" t="s">
        <v>106</v>
      </c>
      <c r="M120" t="s">
        <v>107</v>
      </c>
      <c r="N120" t="s">
        <v>536</v>
      </c>
      <c r="O120" t="s">
        <v>202</v>
      </c>
      <c r="P120" t="str">
        <f>"                              "</f>
        <v xml:space="preserve">  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282.31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17</v>
      </c>
      <c r="BI120">
        <v>419</v>
      </c>
      <c r="BJ120">
        <v>204</v>
      </c>
      <c r="BK120">
        <v>419</v>
      </c>
      <c r="BL120" s="4">
        <v>1855.7</v>
      </c>
      <c r="BM120" s="4">
        <v>278.36</v>
      </c>
      <c r="BN120" s="4">
        <v>2134.06</v>
      </c>
      <c r="BO120" s="4">
        <v>2134.06</v>
      </c>
      <c r="BS120" s="3">
        <v>43920</v>
      </c>
      <c r="BT120" s="5">
        <v>0.41666666666666669</v>
      </c>
      <c r="BU120" t="s">
        <v>537</v>
      </c>
      <c r="BV120" t="s">
        <v>85</v>
      </c>
      <c r="BY120">
        <v>60000</v>
      </c>
      <c r="CC120" t="s">
        <v>107</v>
      </c>
      <c r="CD120">
        <v>7800</v>
      </c>
      <c r="CE120" t="s">
        <v>87</v>
      </c>
      <c r="CI120">
        <v>3</v>
      </c>
      <c r="CJ120">
        <v>2</v>
      </c>
      <c r="CK120" t="s">
        <v>206</v>
      </c>
      <c r="CL120" t="s">
        <v>88</v>
      </c>
    </row>
    <row r="121" spans="1:90">
      <c r="A121" t="s">
        <v>72</v>
      </c>
      <c r="B121" t="s">
        <v>73</v>
      </c>
      <c r="C121" t="s">
        <v>74</v>
      </c>
      <c r="E121" t="str">
        <f>"029904436032"</f>
        <v>029904436032</v>
      </c>
      <c r="F121" s="3">
        <v>43917</v>
      </c>
      <c r="G121">
        <v>202009</v>
      </c>
      <c r="H121" t="s">
        <v>189</v>
      </c>
      <c r="I121" t="s">
        <v>190</v>
      </c>
      <c r="J121" t="s">
        <v>538</v>
      </c>
      <c r="K121" t="s">
        <v>78</v>
      </c>
      <c r="L121" t="s">
        <v>181</v>
      </c>
      <c r="M121" t="s">
        <v>182</v>
      </c>
      <c r="N121" t="s">
        <v>533</v>
      </c>
      <c r="O121" t="s">
        <v>81</v>
      </c>
      <c r="P121" t="str">
        <f>"                              "</f>
        <v xml:space="preserve">   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7.54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0.8</v>
      </c>
      <c r="BJ121">
        <v>1.3</v>
      </c>
      <c r="BK121">
        <v>1.5</v>
      </c>
      <c r="BL121" s="4">
        <v>49.41</v>
      </c>
      <c r="BM121" s="4">
        <v>7.41</v>
      </c>
      <c r="BN121" s="4">
        <v>56.82</v>
      </c>
      <c r="BO121" s="4">
        <v>56.82</v>
      </c>
      <c r="BQ121" t="s">
        <v>539</v>
      </c>
      <c r="BR121" t="s">
        <v>540</v>
      </c>
      <c r="BS121" s="3">
        <v>43921</v>
      </c>
      <c r="BT121" s="5">
        <v>0.40972222222222227</v>
      </c>
      <c r="BU121" t="s">
        <v>541</v>
      </c>
      <c r="BV121" t="s">
        <v>85</v>
      </c>
      <c r="BY121">
        <v>6713.7</v>
      </c>
      <c r="BZ121" t="s">
        <v>27</v>
      </c>
      <c r="CA121" t="s">
        <v>542</v>
      </c>
      <c r="CC121" t="s">
        <v>182</v>
      </c>
      <c r="CD121">
        <v>9300</v>
      </c>
      <c r="CE121" t="s">
        <v>87</v>
      </c>
      <c r="CF121" s="3">
        <v>43921</v>
      </c>
      <c r="CI121">
        <v>2</v>
      </c>
      <c r="CJ121">
        <v>2</v>
      </c>
      <c r="CK121">
        <v>21</v>
      </c>
      <c r="CL121" t="s">
        <v>88</v>
      </c>
    </row>
    <row r="122" spans="1:90">
      <c r="A122" t="s">
        <v>72</v>
      </c>
      <c r="B122" t="s">
        <v>73</v>
      </c>
      <c r="C122" t="s">
        <v>74</v>
      </c>
      <c r="E122" t="str">
        <f>"069907160856"</f>
        <v>069907160856</v>
      </c>
      <c r="F122" s="3">
        <v>43902</v>
      </c>
      <c r="G122">
        <v>202009</v>
      </c>
      <c r="H122" t="s">
        <v>229</v>
      </c>
      <c r="I122" t="s">
        <v>230</v>
      </c>
      <c r="J122" t="s">
        <v>99</v>
      </c>
      <c r="K122" t="s">
        <v>78</v>
      </c>
      <c r="L122" t="s">
        <v>109</v>
      </c>
      <c r="M122" t="s">
        <v>110</v>
      </c>
      <c r="N122" t="s">
        <v>543</v>
      </c>
      <c r="O122" t="s">
        <v>81</v>
      </c>
      <c r="P122" t="str">
        <f>"                              "</f>
        <v xml:space="preserve">   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7.54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0.2</v>
      </c>
      <c r="BK122">
        <v>1</v>
      </c>
      <c r="BL122" s="4">
        <v>49.41</v>
      </c>
      <c r="BM122" s="4">
        <v>7.41</v>
      </c>
      <c r="BN122" s="4">
        <v>56.82</v>
      </c>
      <c r="BO122" s="4">
        <v>56.82</v>
      </c>
      <c r="BQ122" t="s">
        <v>544</v>
      </c>
      <c r="BR122" t="s">
        <v>545</v>
      </c>
      <c r="BS122" s="3">
        <v>43903</v>
      </c>
      <c r="BT122" s="5">
        <v>0.5</v>
      </c>
      <c r="BU122" t="s">
        <v>544</v>
      </c>
      <c r="BV122" t="s">
        <v>85</v>
      </c>
      <c r="BY122">
        <v>1200</v>
      </c>
      <c r="BZ122" t="s">
        <v>27</v>
      </c>
      <c r="CC122" t="s">
        <v>110</v>
      </c>
      <c r="CD122">
        <v>200</v>
      </c>
      <c r="CE122" t="s">
        <v>87</v>
      </c>
      <c r="CF122" s="3">
        <v>43906</v>
      </c>
      <c r="CI122">
        <v>1</v>
      </c>
      <c r="CJ122">
        <v>1</v>
      </c>
      <c r="CK122">
        <v>21</v>
      </c>
      <c r="CL122" t="s">
        <v>88</v>
      </c>
    </row>
    <row r="123" spans="1:90">
      <c r="A123" t="s">
        <v>72</v>
      </c>
      <c r="B123" t="s">
        <v>73</v>
      </c>
      <c r="C123" t="s">
        <v>74</v>
      </c>
      <c r="E123" t="str">
        <f>"019911488725"</f>
        <v>019911488725</v>
      </c>
      <c r="F123" s="3">
        <v>43920</v>
      </c>
      <c r="G123">
        <v>202009</v>
      </c>
      <c r="H123" t="s">
        <v>106</v>
      </c>
      <c r="I123" t="s">
        <v>107</v>
      </c>
      <c r="J123" t="s">
        <v>108</v>
      </c>
      <c r="K123" t="s">
        <v>78</v>
      </c>
      <c r="L123" t="s">
        <v>92</v>
      </c>
      <c r="M123" t="s">
        <v>93</v>
      </c>
      <c r="N123" t="s">
        <v>546</v>
      </c>
      <c r="O123" t="s">
        <v>81</v>
      </c>
      <c r="P123" t="str">
        <f>"NA                            "</f>
        <v xml:space="preserve">NA 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7.54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0.3</v>
      </c>
      <c r="BJ123">
        <v>0.5</v>
      </c>
      <c r="BK123">
        <v>0.5</v>
      </c>
      <c r="BL123" s="4">
        <v>49.41</v>
      </c>
      <c r="BM123" s="4">
        <v>7.41</v>
      </c>
      <c r="BN123" s="4">
        <v>56.82</v>
      </c>
      <c r="BO123" s="4">
        <v>56.82</v>
      </c>
      <c r="BQ123" t="s">
        <v>129</v>
      </c>
      <c r="BR123" t="s">
        <v>113</v>
      </c>
      <c r="BS123" s="3">
        <v>43921</v>
      </c>
      <c r="BT123" s="5">
        <v>0.40763888888888888</v>
      </c>
      <c r="BU123" t="s">
        <v>547</v>
      </c>
      <c r="BV123" t="s">
        <v>85</v>
      </c>
      <c r="BY123">
        <v>2729.16</v>
      </c>
      <c r="BZ123" t="s">
        <v>27</v>
      </c>
      <c r="CA123" t="s">
        <v>131</v>
      </c>
      <c r="CC123" t="s">
        <v>93</v>
      </c>
      <c r="CD123">
        <v>6001</v>
      </c>
      <c r="CE123" t="s">
        <v>548</v>
      </c>
      <c r="CF123" s="3">
        <v>43921</v>
      </c>
      <c r="CI123">
        <v>1</v>
      </c>
      <c r="CJ123">
        <v>1</v>
      </c>
      <c r="CK123">
        <v>21</v>
      </c>
      <c r="CL123" t="s">
        <v>88</v>
      </c>
    </row>
    <row r="124" spans="1:90">
      <c r="A124" t="s">
        <v>72</v>
      </c>
      <c r="B124" t="s">
        <v>73</v>
      </c>
      <c r="C124" t="s">
        <v>74</v>
      </c>
      <c r="E124" t="str">
        <f>"019911488726"</f>
        <v>019911488726</v>
      </c>
      <c r="F124" s="3">
        <v>43920</v>
      </c>
      <c r="G124">
        <v>202009</v>
      </c>
      <c r="H124" t="s">
        <v>106</v>
      </c>
      <c r="I124" t="s">
        <v>107</v>
      </c>
      <c r="J124" t="s">
        <v>108</v>
      </c>
      <c r="K124" t="s">
        <v>78</v>
      </c>
      <c r="L124" t="s">
        <v>189</v>
      </c>
      <c r="M124" t="s">
        <v>190</v>
      </c>
      <c r="N124" t="s">
        <v>549</v>
      </c>
      <c r="O124" t="s">
        <v>81</v>
      </c>
      <c r="P124" t="str">
        <f>"NA                            "</f>
        <v xml:space="preserve">NA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7.54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0.3</v>
      </c>
      <c r="BJ124">
        <v>0.5</v>
      </c>
      <c r="BK124">
        <v>0.5</v>
      </c>
      <c r="BL124" s="4">
        <v>49.41</v>
      </c>
      <c r="BM124" s="4">
        <v>7.41</v>
      </c>
      <c r="BN124" s="4">
        <v>56.82</v>
      </c>
      <c r="BO124" s="4">
        <v>56.82</v>
      </c>
      <c r="BQ124" t="s">
        <v>550</v>
      </c>
      <c r="BR124" t="s">
        <v>113</v>
      </c>
      <c r="BS124" t="s">
        <v>360</v>
      </c>
      <c r="BY124">
        <v>2429.25</v>
      </c>
      <c r="BZ124" t="s">
        <v>27</v>
      </c>
      <c r="CC124" t="s">
        <v>190</v>
      </c>
      <c r="CD124">
        <v>4091</v>
      </c>
      <c r="CE124" t="s">
        <v>116</v>
      </c>
      <c r="CI124">
        <v>1</v>
      </c>
      <c r="CJ124" t="s">
        <v>360</v>
      </c>
      <c r="CK124">
        <v>21</v>
      </c>
      <c r="CL124" t="s">
        <v>88</v>
      </c>
    </row>
    <row r="125" spans="1:90">
      <c r="A125" t="s">
        <v>140</v>
      </c>
      <c r="B125" t="s">
        <v>73</v>
      </c>
      <c r="C125" t="s">
        <v>74</v>
      </c>
      <c r="E125" t="str">
        <f>"009939780624"</f>
        <v>009939780624</v>
      </c>
      <c r="F125" s="3">
        <v>43920</v>
      </c>
      <c r="G125">
        <v>202009</v>
      </c>
      <c r="H125" t="s">
        <v>117</v>
      </c>
      <c r="I125" t="s">
        <v>118</v>
      </c>
      <c r="J125" t="s">
        <v>327</v>
      </c>
      <c r="K125" t="s">
        <v>78</v>
      </c>
      <c r="L125" t="s">
        <v>211</v>
      </c>
      <c r="M125" t="s">
        <v>107</v>
      </c>
      <c r="N125" t="s">
        <v>551</v>
      </c>
      <c r="O125" t="s">
        <v>202</v>
      </c>
      <c r="P125" t="str">
        <f>"NA                            "</f>
        <v xml:space="preserve">NA   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159.44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29</v>
      </c>
      <c r="BI125">
        <v>233</v>
      </c>
      <c r="BJ125">
        <v>111.2</v>
      </c>
      <c r="BK125">
        <v>233</v>
      </c>
      <c r="BL125" s="4">
        <v>1050.21</v>
      </c>
      <c r="BM125" s="4">
        <v>157.53</v>
      </c>
      <c r="BN125" s="4">
        <v>1207.74</v>
      </c>
      <c r="BO125" s="4">
        <v>1207.74</v>
      </c>
      <c r="BQ125" t="s">
        <v>449</v>
      </c>
      <c r="BR125" t="s">
        <v>283</v>
      </c>
      <c r="BS125" t="s">
        <v>360</v>
      </c>
      <c r="BY125">
        <v>556206.21</v>
      </c>
      <c r="CC125" t="s">
        <v>107</v>
      </c>
      <c r="CD125">
        <v>7800</v>
      </c>
      <c r="CE125" t="s">
        <v>87</v>
      </c>
      <c r="CI125">
        <v>2</v>
      </c>
      <c r="CJ125" t="s">
        <v>360</v>
      </c>
      <c r="CK125" t="s">
        <v>206</v>
      </c>
      <c r="CL125" t="s">
        <v>88</v>
      </c>
    </row>
    <row r="126" spans="1:90">
      <c r="A126" t="s">
        <v>72</v>
      </c>
      <c r="B126" t="s">
        <v>73</v>
      </c>
      <c r="C126" t="s">
        <v>74</v>
      </c>
      <c r="E126" t="str">
        <f>"019911488724"</f>
        <v>019911488724</v>
      </c>
      <c r="F126" s="3">
        <v>43920</v>
      </c>
      <c r="G126">
        <v>202009</v>
      </c>
      <c r="H126" t="s">
        <v>106</v>
      </c>
      <c r="I126" t="s">
        <v>107</v>
      </c>
      <c r="J126" t="s">
        <v>108</v>
      </c>
      <c r="K126" t="s">
        <v>78</v>
      </c>
      <c r="L126" t="s">
        <v>189</v>
      </c>
      <c r="M126" t="s">
        <v>190</v>
      </c>
      <c r="N126" t="s">
        <v>552</v>
      </c>
      <c r="O126" t="s">
        <v>202</v>
      </c>
      <c r="P126" t="str">
        <f>"NA                            "</f>
        <v xml:space="preserve">NA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18.73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19.100000000000001</v>
      </c>
      <c r="BJ126">
        <v>16.399999999999999</v>
      </c>
      <c r="BK126">
        <v>20</v>
      </c>
      <c r="BL126" s="4">
        <v>127.79</v>
      </c>
      <c r="BM126" s="4">
        <v>19.170000000000002</v>
      </c>
      <c r="BN126" s="4">
        <v>146.96</v>
      </c>
      <c r="BO126" s="4">
        <v>146.96</v>
      </c>
      <c r="BQ126" t="s">
        <v>553</v>
      </c>
      <c r="BR126" t="s">
        <v>113</v>
      </c>
      <c r="BS126" t="s">
        <v>360</v>
      </c>
      <c r="BY126">
        <v>82212</v>
      </c>
      <c r="CC126" t="s">
        <v>190</v>
      </c>
      <c r="CD126">
        <v>4000</v>
      </c>
      <c r="CE126" t="s">
        <v>205</v>
      </c>
      <c r="CI126">
        <v>2</v>
      </c>
      <c r="CJ126" t="s">
        <v>360</v>
      </c>
      <c r="CK126" t="s">
        <v>206</v>
      </c>
      <c r="CL126" t="s">
        <v>88</v>
      </c>
    </row>
    <row r="127" spans="1:90">
      <c r="A127" t="s">
        <v>140</v>
      </c>
      <c r="B127" t="s">
        <v>73</v>
      </c>
      <c r="C127" t="s">
        <v>74</v>
      </c>
      <c r="E127" t="str">
        <f>"009939899860"</f>
        <v>009939899860</v>
      </c>
      <c r="F127" s="3">
        <v>43920</v>
      </c>
      <c r="G127">
        <v>202009</v>
      </c>
      <c r="H127" t="s">
        <v>122</v>
      </c>
      <c r="I127" t="s">
        <v>123</v>
      </c>
      <c r="J127" t="s">
        <v>108</v>
      </c>
      <c r="K127" t="s">
        <v>78</v>
      </c>
      <c r="L127" t="s">
        <v>211</v>
      </c>
      <c r="M127" t="s">
        <v>107</v>
      </c>
      <c r="N127" t="s">
        <v>554</v>
      </c>
      <c r="O127" t="s">
        <v>202</v>
      </c>
      <c r="P127" t="str">
        <f>"NA                            "</f>
        <v xml:space="preserve">NA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204.36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17</v>
      </c>
      <c r="BI127">
        <v>238</v>
      </c>
      <c r="BJ127">
        <v>300.8</v>
      </c>
      <c r="BK127">
        <v>301</v>
      </c>
      <c r="BL127" s="4">
        <v>1344.69</v>
      </c>
      <c r="BM127" s="4">
        <v>201.7</v>
      </c>
      <c r="BN127" s="4">
        <v>1546.39</v>
      </c>
      <c r="BO127" s="4">
        <v>1546.39</v>
      </c>
      <c r="BQ127" t="s">
        <v>197</v>
      </c>
      <c r="BR127" t="s">
        <v>555</v>
      </c>
      <c r="BS127" t="s">
        <v>360</v>
      </c>
      <c r="BY127">
        <v>1503823.16</v>
      </c>
      <c r="CC127" t="s">
        <v>107</v>
      </c>
      <c r="CD127">
        <v>7505</v>
      </c>
      <c r="CE127" t="s">
        <v>87</v>
      </c>
      <c r="CI127">
        <v>2</v>
      </c>
      <c r="CJ127" t="s">
        <v>360</v>
      </c>
      <c r="CK127" t="s">
        <v>206</v>
      </c>
      <c r="CL127" t="s">
        <v>88</v>
      </c>
    </row>
    <row r="128" spans="1:90">
      <c r="A128" t="s">
        <v>72</v>
      </c>
      <c r="B128" t="s">
        <v>73</v>
      </c>
      <c r="C128" t="s">
        <v>74</v>
      </c>
      <c r="E128" t="str">
        <f>"009939401023"</f>
        <v>009939401023</v>
      </c>
      <c r="F128" s="3">
        <v>43916</v>
      </c>
      <c r="G128">
        <v>202009</v>
      </c>
      <c r="H128" t="s">
        <v>92</v>
      </c>
      <c r="I128" t="s">
        <v>93</v>
      </c>
      <c r="J128" t="s">
        <v>556</v>
      </c>
      <c r="K128" t="s">
        <v>78</v>
      </c>
      <c r="L128" t="s">
        <v>106</v>
      </c>
      <c r="M128" t="s">
        <v>107</v>
      </c>
      <c r="N128" t="s">
        <v>108</v>
      </c>
      <c r="O128" t="s">
        <v>202</v>
      </c>
      <c r="P128" t="str">
        <f>"                              "</f>
        <v xml:space="preserve">   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426.57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2</v>
      </c>
      <c r="BI128">
        <v>687</v>
      </c>
      <c r="BJ128">
        <v>537.6</v>
      </c>
      <c r="BK128">
        <v>687</v>
      </c>
      <c r="BL128" s="4">
        <v>2801.41</v>
      </c>
      <c r="BM128" s="4">
        <v>420.21</v>
      </c>
      <c r="BN128" s="4">
        <v>3221.62</v>
      </c>
      <c r="BO128" s="4">
        <v>3221.62</v>
      </c>
      <c r="BQ128" t="s">
        <v>557</v>
      </c>
      <c r="BR128" t="s">
        <v>558</v>
      </c>
      <c r="BS128" t="s">
        <v>360</v>
      </c>
      <c r="BY128">
        <v>2688000</v>
      </c>
      <c r="CC128" t="s">
        <v>107</v>
      </c>
      <c r="CD128">
        <v>8000</v>
      </c>
      <c r="CE128" t="s">
        <v>559</v>
      </c>
      <c r="CI128">
        <v>2</v>
      </c>
      <c r="CJ128" t="s">
        <v>360</v>
      </c>
      <c r="CK128" t="s">
        <v>436</v>
      </c>
      <c r="CL128" t="s">
        <v>88</v>
      </c>
    </row>
    <row r="130" spans="5:66">
      <c r="E130" t="s">
        <v>560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437.5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3354.59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I130">
        <v>2737.3</v>
      </c>
      <c r="BJ130">
        <v>2367.1</v>
      </c>
      <c r="BK130">
        <v>3073.5</v>
      </c>
      <c r="BL130" s="4">
        <v>22096.68</v>
      </c>
      <c r="BM130" s="4">
        <v>3314.4</v>
      </c>
      <c r="BN130" s="4">
        <v>25411.08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J17991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2020-04-01T07:29:53Z</dcterms:created>
  <dcterms:modified xsi:type="dcterms:W3CDTF">2020-04-01T07:30:04Z</dcterms:modified>
</cp:coreProperties>
</file>